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ate1904="1" codeName="ThisWorkbook" hidePivotFieldList="1"/>
  <mc:AlternateContent xmlns:mc="http://schemas.openxmlformats.org/markup-compatibility/2006">
    <mc:Choice Requires="x15">
      <x15ac:absPath xmlns:x15ac="http://schemas.microsoft.com/office/spreadsheetml/2010/11/ac" url="U:\Administration\Secrétariat\20 - Typo3 PDF+CAPTURE\2021\12.07.2021\"/>
    </mc:Choice>
  </mc:AlternateContent>
  <xr:revisionPtr revIDLastSave="0" documentId="8_{42C96630-F361-4FE3-8E74-5D0D68D654DF}" xr6:coauthVersionLast="45" xr6:coauthVersionMax="45" xr10:uidLastSave="{00000000-0000-0000-0000-000000000000}"/>
  <bookViews>
    <workbookView xWindow="28680" yWindow="-120" windowWidth="29040" windowHeight="15840" tabRatio="923" activeTab="1" xr2:uid="{00000000-000D-0000-FFFF-FFFF00000000}"/>
  </bookViews>
  <sheets>
    <sheet name="Paramètres" sheetId="40" r:id="rId1"/>
    <sheet name="Recherche" sheetId="48" r:id="rId2"/>
    <sheet name="A) Base RI" sheetId="42" r:id="rId3"/>
    <sheet name="B) D RI" sheetId="19" r:id="rId4"/>
    <sheet name="C) Prél. conj." sheetId="32" r:id="rId5"/>
    <sheet name="D) Ecrêtage" sheetId="33" r:id="rId6"/>
    <sheet name="E) Fact soc" sheetId="9" r:id="rId7"/>
    <sheet name="F) Population" sheetId="36" r:id="rId8"/>
    <sheet name="G) Solidarité" sheetId="37" r:id="rId9"/>
    <sheet name="H) Péréquation directe" sheetId="34" r:id="rId10"/>
    <sheet name="I) Dépenses thématiques" sheetId="11" r:id="rId11"/>
    <sheet name="J) Plafonnement effort" sheetId="12" r:id="rId12"/>
    <sheet name="K) Plafonnement aide" sheetId="39" r:id="rId13"/>
    <sheet name="L) Plafonnement taux" sheetId="13" r:id="rId14"/>
    <sheet name="M) Police" sheetId="49" r:id="rId15"/>
    <sheet name="Synthèse" sheetId="25" r:id="rId16"/>
    <sheet name="Acomptes vs Décompte" sheetId="54" r:id="rId17"/>
  </sheets>
  <definedNames>
    <definedName name="_xlnm._FilterDatabase" localSheetId="4" hidden="1">'C) Prél. conj.'!$A$3:$H$314</definedName>
    <definedName name="_xlnm._FilterDatabase" localSheetId="6" hidden="1">'E) Fact soc'!$A$9:$G$320</definedName>
    <definedName name="_xlnm._FilterDatabase" localSheetId="9" hidden="1">'H) Péréquation directe'!$A$14:$I$325</definedName>
    <definedName name="_xlnm._FilterDatabase" localSheetId="15" hidden="1">Synthèse!$A$4:$L$317</definedName>
    <definedName name="_xlnm.Database" localSheetId="16">#REF!</definedName>
    <definedName name="_xlnm.Database">#REF!</definedName>
    <definedName name="_xlnm.Print_Titles" localSheetId="4">'C) Prél. conj.'!$3:$4</definedName>
    <definedName name="_xlnm.Print_Titles" localSheetId="6">'E) Fact soc'!$9:$10</definedName>
    <definedName name="_xlnm.Print_Titles" localSheetId="10">'I) Dépenses thématiques'!$3:$4</definedName>
    <definedName name="_xlnm.Print_Titles" localSheetId="11">'J) Plafonnement effort'!$3:$4</definedName>
    <definedName name="_xlnm.Print_Titles" localSheetId="13">'L) Plafonnement taux'!$4:$5</definedName>
    <definedName name="_xlnm.Print_Titles" localSheetId="14">'M) Police'!$4:$4</definedName>
    <definedName name="_xlnm.Print_Titles" localSheetId="15">Synthèse!$4:$5</definedName>
    <definedName name="ind">2</definedName>
    <definedName name="_xlnm.Print_Area" localSheetId="2">'A) Base RI'!#REF!</definedName>
    <definedName name="_xlnm.Print_Area" localSheetId="9">'H) Péréquation directe'!$316:$347</definedName>
    <definedName name="_xlnm.Print_Area" localSheetId="13">'L) Plafonnement taux'!$A$1:$R$316</definedName>
    <definedName name="_xlnm.Print_Area" localSheetId="14">'M) Police'!$A$1:$O$315</definedName>
    <definedName name="_xlnm.Print_Area" localSheetId="1">Recherche!$B$6:$F$68</definedName>
    <definedName name="_xlnm.Print_Area" localSheetId="15">Synthèse!$A$1:$N$315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6" i="12" l="1"/>
  <c r="F7" i="12"/>
  <c r="F8" i="12"/>
  <c r="F9" i="12"/>
  <c r="F10" i="12"/>
  <c r="F11" i="12"/>
  <c r="F12" i="12"/>
  <c r="F13" i="12"/>
  <c r="F14" i="12"/>
  <c r="F15" i="12"/>
  <c r="F16" i="12"/>
  <c r="F17" i="12"/>
  <c r="F18" i="12"/>
  <c r="F19" i="12"/>
  <c r="F20" i="12"/>
  <c r="F21" i="12"/>
  <c r="F22" i="12"/>
  <c r="F23" i="12"/>
  <c r="F24" i="12"/>
  <c r="F25" i="12"/>
  <c r="F26" i="12"/>
  <c r="F27" i="12"/>
  <c r="F28" i="12"/>
  <c r="F29" i="12"/>
  <c r="F30" i="12"/>
  <c r="F31" i="12"/>
  <c r="F32" i="12"/>
  <c r="F33" i="12"/>
  <c r="F34" i="12"/>
  <c r="F35" i="12"/>
  <c r="F36" i="12"/>
  <c r="F37" i="12"/>
  <c r="F38" i="12"/>
  <c r="F39" i="12"/>
  <c r="F40" i="12"/>
  <c r="F41" i="12"/>
  <c r="F42" i="12"/>
  <c r="F43" i="12"/>
  <c r="F44" i="12"/>
  <c r="F45" i="12"/>
  <c r="F46" i="12"/>
  <c r="F47" i="12"/>
  <c r="F48" i="12"/>
  <c r="F49" i="12"/>
  <c r="F50" i="12"/>
  <c r="F51" i="12"/>
  <c r="F52" i="12"/>
  <c r="F53" i="12"/>
  <c r="F54" i="12"/>
  <c r="F55" i="12"/>
  <c r="F56" i="12"/>
  <c r="F57" i="12"/>
  <c r="F58" i="12"/>
  <c r="F59" i="12"/>
  <c r="F60" i="12"/>
  <c r="F61" i="12"/>
  <c r="F62" i="12"/>
  <c r="F63" i="12"/>
  <c r="F64" i="12"/>
  <c r="F65" i="12"/>
  <c r="F66" i="12"/>
  <c r="F67" i="12"/>
  <c r="F68" i="12"/>
  <c r="F69" i="12"/>
  <c r="F70" i="12"/>
  <c r="F71" i="12"/>
  <c r="F72" i="12"/>
  <c r="F73" i="12"/>
  <c r="F74" i="12"/>
  <c r="F75" i="12"/>
  <c r="F76" i="12"/>
  <c r="F77" i="12"/>
  <c r="F78" i="12"/>
  <c r="F79" i="12"/>
  <c r="F80" i="12"/>
  <c r="F81" i="12"/>
  <c r="F82" i="12"/>
  <c r="F83" i="12"/>
  <c r="F84" i="12"/>
  <c r="F85" i="12"/>
  <c r="F86" i="12"/>
  <c r="F87" i="12"/>
  <c r="F88" i="12"/>
  <c r="F89" i="12"/>
  <c r="F90" i="12"/>
  <c r="F91" i="12"/>
  <c r="F92" i="12"/>
  <c r="F93" i="12"/>
  <c r="F94" i="12"/>
  <c r="F95" i="12"/>
  <c r="F96" i="12"/>
  <c r="F97" i="12"/>
  <c r="F98" i="12"/>
  <c r="F99" i="12"/>
  <c r="F100" i="12"/>
  <c r="F101" i="12"/>
  <c r="F102" i="12"/>
  <c r="F103" i="12"/>
  <c r="F104" i="12"/>
  <c r="F105" i="12"/>
  <c r="F106" i="12"/>
  <c r="F107" i="12"/>
  <c r="F108" i="12"/>
  <c r="F109" i="12"/>
  <c r="F110" i="12"/>
  <c r="F111" i="12"/>
  <c r="F112" i="12"/>
  <c r="F113" i="12"/>
  <c r="F114" i="12"/>
  <c r="F115" i="12"/>
  <c r="F116" i="12"/>
  <c r="F117" i="12"/>
  <c r="F118" i="12"/>
  <c r="F119" i="12"/>
  <c r="F120" i="12"/>
  <c r="F121" i="12"/>
  <c r="F122" i="12"/>
  <c r="F123" i="12"/>
  <c r="F124" i="12"/>
  <c r="F125" i="12"/>
  <c r="F126" i="12"/>
  <c r="F127" i="12"/>
  <c r="F128" i="12"/>
  <c r="F129" i="12"/>
  <c r="F130" i="12"/>
  <c r="F131" i="12"/>
  <c r="F132" i="12"/>
  <c r="F133" i="12"/>
  <c r="F134" i="12"/>
  <c r="F135" i="12"/>
  <c r="F136" i="12"/>
  <c r="F137" i="12"/>
  <c r="F138" i="12"/>
  <c r="F139" i="12"/>
  <c r="F140" i="12"/>
  <c r="F141" i="12"/>
  <c r="F142" i="12"/>
  <c r="F143" i="12"/>
  <c r="F144" i="12"/>
  <c r="F145" i="12"/>
  <c r="F146" i="12"/>
  <c r="F147" i="12"/>
  <c r="F148" i="12"/>
  <c r="F149" i="12"/>
  <c r="F150" i="12"/>
  <c r="F151" i="12"/>
  <c r="F152" i="12"/>
  <c r="F153" i="12"/>
  <c r="F154" i="12"/>
  <c r="F155" i="12"/>
  <c r="F156" i="12"/>
  <c r="F157" i="12"/>
  <c r="F158" i="12"/>
  <c r="F159" i="12"/>
  <c r="F160" i="12"/>
  <c r="F161" i="12"/>
  <c r="F162" i="12"/>
  <c r="F163" i="12"/>
  <c r="F164" i="12"/>
  <c r="F165" i="12"/>
  <c r="F166" i="12"/>
  <c r="F167" i="12"/>
  <c r="F168" i="12"/>
  <c r="F169" i="12"/>
  <c r="F170" i="12"/>
  <c r="F171" i="12"/>
  <c r="F172" i="12"/>
  <c r="F173" i="12"/>
  <c r="F174" i="12"/>
  <c r="F175" i="12"/>
  <c r="F176" i="12"/>
  <c r="F177" i="12"/>
  <c r="F178" i="12"/>
  <c r="F179" i="12"/>
  <c r="F180" i="12"/>
  <c r="F181" i="12"/>
  <c r="F182" i="12"/>
  <c r="F183" i="12"/>
  <c r="F184" i="12"/>
  <c r="F185" i="12"/>
  <c r="F186" i="12"/>
  <c r="F187" i="12"/>
  <c r="F188" i="12"/>
  <c r="F189" i="12"/>
  <c r="F190" i="12"/>
  <c r="F191" i="12"/>
  <c r="F192" i="12"/>
  <c r="F193" i="12"/>
  <c r="F194" i="12"/>
  <c r="F195" i="12"/>
  <c r="F196" i="12"/>
  <c r="F197" i="12"/>
  <c r="F198" i="12"/>
  <c r="F199" i="12"/>
  <c r="F200" i="12"/>
  <c r="F201" i="12"/>
  <c r="F202" i="12"/>
  <c r="F203" i="12"/>
  <c r="F204" i="12"/>
  <c r="F205" i="12"/>
  <c r="F206" i="12"/>
  <c r="F207" i="12"/>
  <c r="F208" i="12"/>
  <c r="F209" i="12"/>
  <c r="F210" i="12"/>
  <c r="F211" i="12"/>
  <c r="F212" i="12"/>
  <c r="F213" i="12"/>
  <c r="F214" i="12"/>
  <c r="F215" i="12"/>
  <c r="F216" i="12"/>
  <c r="F217" i="12"/>
  <c r="F218" i="12"/>
  <c r="F219" i="12"/>
  <c r="F220" i="12"/>
  <c r="F221" i="12"/>
  <c r="F222" i="12"/>
  <c r="F223" i="12"/>
  <c r="F224" i="12"/>
  <c r="F225" i="12"/>
  <c r="F226" i="12"/>
  <c r="F227" i="12"/>
  <c r="F228" i="12"/>
  <c r="F229" i="12"/>
  <c r="F230" i="12"/>
  <c r="F231" i="12"/>
  <c r="F232" i="12"/>
  <c r="F233" i="12"/>
  <c r="F234" i="12"/>
  <c r="F235" i="12"/>
  <c r="F236" i="12"/>
  <c r="F237" i="12"/>
  <c r="F238" i="12"/>
  <c r="F239" i="12"/>
  <c r="F240" i="12"/>
  <c r="F241" i="12"/>
  <c r="F242" i="12"/>
  <c r="F243" i="12"/>
  <c r="F244" i="12"/>
  <c r="F245" i="12"/>
  <c r="F246" i="12"/>
  <c r="F247" i="12"/>
  <c r="F248" i="12"/>
  <c r="F249" i="12"/>
  <c r="F250" i="12"/>
  <c r="F251" i="12"/>
  <c r="F252" i="12"/>
  <c r="F253" i="12"/>
  <c r="F254" i="12"/>
  <c r="F255" i="12"/>
  <c r="F256" i="12"/>
  <c r="F257" i="12"/>
  <c r="F258" i="12"/>
  <c r="F259" i="12"/>
  <c r="F260" i="12"/>
  <c r="F261" i="12"/>
  <c r="F262" i="12"/>
  <c r="F263" i="12"/>
  <c r="F264" i="12"/>
  <c r="F265" i="12"/>
  <c r="F266" i="12"/>
  <c r="F267" i="12"/>
  <c r="F268" i="12"/>
  <c r="F269" i="12"/>
  <c r="F270" i="12"/>
  <c r="F271" i="12"/>
  <c r="F272" i="12"/>
  <c r="F273" i="12"/>
  <c r="F274" i="12"/>
  <c r="F275" i="12"/>
  <c r="F276" i="12"/>
  <c r="F277" i="12"/>
  <c r="F278" i="12"/>
  <c r="F279" i="12"/>
  <c r="F280" i="12"/>
  <c r="F281" i="12"/>
  <c r="F282" i="12"/>
  <c r="F283" i="12"/>
  <c r="F284" i="12"/>
  <c r="F285" i="12"/>
  <c r="F286" i="12"/>
  <c r="F287" i="12"/>
  <c r="F288" i="12"/>
  <c r="F289" i="12"/>
  <c r="F290" i="12"/>
  <c r="F291" i="12"/>
  <c r="F292" i="12"/>
  <c r="F293" i="12"/>
  <c r="F294" i="12"/>
  <c r="F295" i="12"/>
  <c r="F296" i="12"/>
  <c r="F297" i="12"/>
  <c r="F298" i="12"/>
  <c r="F299" i="12"/>
  <c r="F300" i="12"/>
  <c r="F301" i="12"/>
  <c r="F302" i="12"/>
  <c r="F303" i="12"/>
  <c r="F304" i="12"/>
  <c r="F305" i="12"/>
  <c r="F306" i="12"/>
  <c r="F307" i="12"/>
  <c r="F308" i="12"/>
  <c r="F309" i="12"/>
  <c r="F310" i="12"/>
  <c r="F311" i="12"/>
  <c r="F312" i="12"/>
  <c r="F313" i="12"/>
  <c r="F5" i="12"/>
  <c r="F6" i="39" l="1"/>
  <c r="F7" i="39"/>
  <c r="F8" i="39"/>
  <c r="F9" i="39"/>
  <c r="F10" i="39"/>
  <c r="F11" i="39"/>
  <c r="F12" i="39"/>
  <c r="F13" i="39"/>
  <c r="F14" i="39"/>
  <c r="F15" i="39"/>
  <c r="F16" i="39"/>
  <c r="F17" i="39"/>
  <c r="F18" i="39"/>
  <c r="F19" i="39"/>
  <c r="F20" i="39"/>
  <c r="F21" i="39"/>
  <c r="F22" i="39"/>
  <c r="F23" i="39"/>
  <c r="F24" i="39"/>
  <c r="F25" i="39"/>
  <c r="F26" i="39"/>
  <c r="F27" i="39"/>
  <c r="F28" i="39"/>
  <c r="F29" i="39"/>
  <c r="F30" i="39"/>
  <c r="F31" i="39"/>
  <c r="F32" i="39"/>
  <c r="F33" i="39"/>
  <c r="F34" i="39"/>
  <c r="F35" i="39"/>
  <c r="F36" i="39"/>
  <c r="F37" i="39"/>
  <c r="F38" i="39"/>
  <c r="F39" i="39"/>
  <c r="F40" i="39"/>
  <c r="F41" i="39"/>
  <c r="F42" i="39"/>
  <c r="F43" i="39"/>
  <c r="F44" i="39"/>
  <c r="F45" i="39"/>
  <c r="F46" i="39"/>
  <c r="F47" i="39"/>
  <c r="F48" i="39"/>
  <c r="F49" i="39"/>
  <c r="F50" i="39"/>
  <c r="F51" i="39"/>
  <c r="F52" i="39"/>
  <c r="F53" i="39"/>
  <c r="F54" i="39"/>
  <c r="F55" i="39"/>
  <c r="F56" i="39"/>
  <c r="F57" i="39"/>
  <c r="F58" i="39"/>
  <c r="F59" i="39"/>
  <c r="F60" i="39"/>
  <c r="F61" i="39"/>
  <c r="F62" i="39"/>
  <c r="F63" i="39"/>
  <c r="F64" i="39"/>
  <c r="F65" i="39"/>
  <c r="F66" i="39"/>
  <c r="F67" i="39"/>
  <c r="F68" i="39"/>
  <c r="F69" i="39"/>
  <c r="F70" i="39"/>
  <c r="F71" i="39"/>
  <c r="F72" i="39"/>
  <c r="F73" i="39"/>
  <c r="F74" i="39"/>
  <c r="F75" i="39"/>
  <c r="F76" i="39"/>
  <c r="F77" i="39"/>
  <c r="F78" i="39"/>
  <c r="F79" i="39"/>
  <c r="F80" i="39"/>
  <c r="F81" i="39"/>
  <c r="F82" i="39"/>
  <c r="F83" i="39"/>
  <c r="F84" i="39"/>
  <c r="F85" i="39"/>
  <c r="F86" i="39"/>
  <c r="F87" i="39"/>
  <c r="F88" i="39"/>
  <c r="F89" i="39"/>
  <c r="F90" i="39"/>
  <c r="F91" i="39"/>
  <c r="F92" i="39"/>
  <c r="F93" i="39"/>
  <c r="F94" i="39"/>
  <c r="F95" i="39"/>
  <c r="F96" i="39"/>
  <c r="F97" i="39"/>
  <c r="F98" i="39"/>
  <c r="F99" i="39"/>
  <c r="F100" i="39"/>
  <c r="F101" i="39"/>
  <c r="F102" i="39"/>
  <c r="F103" i="39"/>
  <c r="F104" i="39"/>
  <c r="F105" i="39"/>
  <c r="F106" i="39"/>
  <c r="F107" i="39"/>
  <c r="F108" i="39"/>
  <c r="F109" i="39"/>
  <c r="F110" i="39"/>
  <c r="F111" i="39"/>
  <c r="F112" i="39"/>
  <c r="F113" i="39"/>
  <c r="F114" i="39"/>
  <c r="F115" i="39"/>
  <c r="F116" i="39"/>
  <c r="F117" i="39"/>
  <c r="F118" i="39"/>
  <c r="F119" i="39"/>
  <c r="F120" i="39"/>
  <c r="F121" i="39"/>
  <c r="F122" i="39"/>
  <c r="F123" i="39"/>
  <c r="F124" i="39"/>
  <c r="F125" i="39"/>
  <c r="F126" i="39"/>
  <c r="F127" i="39"/>
  <c r="F128" i="39"/>
  <c r="F129" i="39"/>
  <c r="F130" i="39"/>
  <c r="F131" i="39"/>
  <c r="F132" i="39"/>
  <c r="F133" i="39"/>
  <c r="F134" i="39"/>
  <c r="F135" i="39"/>
  <c r="F136" i="39"/>
  <c r="F137" i="39"/>
  <c r="F138" i="39"/>
  <c r="F139" i="39"/>
  <c r="F140" i="39"/>
  <c r="F141" i="39"/>
  <c r="F142" i="39"/>
  <c r="F143" i="39"/>
  <c r="F144" i="39"/>
  <c r="F145" i="39"/>
  <c r="F146" i="39"/>
  <c r="F147" i="39"/>
  <c r="F148" i="39"/>
  <c r="F149" i="39"/>
  <c r="F150" i="39"/>
  <c r="F151" i="39"/>
  <c r="F152" i="39"/>
  <c r="F153" i="39"/>
  <c r="F154" i="39"/>
  <c r="F155" i="39"/>
  <c r="F156" i="39"/>
  <c r="F157" i="39"/>
  <c r="F158" i="39"/>
  <c r="F159" i="39"/>
  <c r="F160" i="39"/>
  <c r="F161" i="39"/>
  <c r="F162" i="39"/>
  <c r="F163" i="39"/>
  <c r="F164" i="39"/>
  <c r="F165" i="39"/>
  <c r="F166" i="39"/>
  <c r="F167" i="39"/>
  <c r="F168" i="39"/>
  <c r="F169" i="39"/>
  <c r="F170" i="39"/>
  <c r="F171" i="39"/>
  <c r="F172" i="39"/>
  <c r="F173" i="39"/>
  <c r="F174" i="39"/>
  <c r="F175" i="39"/>
  <c r="F176" i="39"/>
  <c r="F177" i="39"/>
  <c r="F178" i="39"/>
  <c r="F179" i="39"/>
  <c r="F180" i="39"/>
  <c r="F181" i="39"/>
  <c r="F182" i="39"/>
  <c r="F183" i="39"/>
  <c r="F184" i="39"/>
  <c r="F185" i="39"/>
  <c r="F186" i="39"/>
  <c r="F187" i="39"/>
  <c r="F188" i="39"/>
  <c r="F189" i="39"/>
  <c r="F190" i="39"/>
  <c r="F191" i="39"/>
  <c r="F192" i="39"/>
  <c r="F193" i="39"/>
  <c r="F194" i="39"/>
  <c r="F195" i="39"/>
  <c r="F196" i="39"/>
  <c r="F197" i="39"/>
  <c r="F198" i="39"/>
  <c r="F199" i="39"/>
  <c r="F200" i="39"/>
  <c r="F201" i="39"/>
  <c r="F202" i="39"/>
  <c r="F203" i="39"/>
  <c r="F204" i="39"/>
  <c r="F205" i="39"/>
  <c r="F206" i="39"/>
  <c r="F207" i="39"/>
  <c r="F208" i="39"/>
  <c r="F209" i="39"/>
  <c r="F210" i="39"/>
  <c r="F211" i="39"/>
  <c r="F212" i="39"/>
  <c r="F213" i="39"/>
  <c r="F214" i="39"/>
  <c r="F215" i="39"/>
  <c r="F216" i="39"/>
  <c r="F217" i="39"/>
  <c r="F218" i="39"/>
  <c r="F219" i="39"/>
  <c r="F220" i="39"/>
  <c r="F221" i="39"/>
  <c r="F222" i="39"/>
  <c r="F223" i="39"/>
  <c r="F224" i="39"/>
  <c r="F225" i="39"/>
  <c r="F226" i="39"/>
  <c r="F227" i="39"/>
  <c r="F228" i="39"/>
  <c r="F229" i="39"/>
  <c r="F230" i="39"/>
  <c r="F231" i="39"/>
  <c r="F232" i="39"/>
  <c r="F233" i="39"/>
  <c r="F234" i="39"/>
  <c r="F235" i="39"/>
  <c r="F236" i="39"/>
  <c r="F237" i="39"/>
  <c r="F238" i="39"/>
  <c r="F239" i="39"/>
  <c r="F240" i="39"/>
  <c r="F241" i="39"/>
  <c r="F242" i="39"/>
  <c r="F243" i="39"/>
  <c r="F244" i="39"/>
  <c r="F245" i="39"/>
  <c r="F246" i="39"/>
  <c r="F247" i="39"/>
  <c r="F248" i="39"/>
  <c r="F249" i="39"/>
  <c r="F250" i="39"/>
  <c r="F251" i="39"/>
  <c r="F252" i="39"/>
  <c r="F253" i="39"/>
  <c r="F254" i="39"/>
  <c r="F255" i="39"/>
  <c r="F256" i="39"/>
  <c r="F257" i="39"/>
  <c r="F258" i="39"/>
  <c r="F259" i="39"/>
  <c r="F260" i="39"/>
  <c r="F261" i="39"/>
  <c r="F262" i="39"/>
  <c r="F263" i="39"/>
  <c r="F264" i="39"/>
  <c r="F265" i="39"/>
  <c r="F266" i="39"/>
  <c r="F267" i="39"/>
  <c r="F268" i="39"/>
  <c r="F269" i="39"/>
  <c r="F270" i="39"/>
  <c r="F271" i="39"/>
  <c r="F272" i="39"/>
  <c r="F273" i="39"/>
  <c r="F274" i="39"/>
  <c r="F275" i="39"/>
  <c r="F276" i="39"/>
  <c r="F277" i="39"/>
  <c r="F278" i="39"/>
  <c r="F279" i="39"/>
  <c r="F280" i="39"/>
  <c r="F281" i="39"/>
  <c r="F282" i="39"/>
  <c r="F283" i="39"/>
  <c r="F284" i="39"/>
  <c r="F285" i="39"/>
  <c r="F286" i="39"/>
  <c r="F287" i="39"/>
  <c r="F288" i="39"/>
  <c r="F289" i="39"/>
  <c r="F290" i="39"/>
  <c r="F291" i="39"/>
  <c r="F292" i="39"/>
  <c r="F293" i="39"/>
  <c r="F294" i="39"/>
  <c r="F295" i="39"/>
  <c r="F296" i="39"/>
  <c r="F297" i="39"/>
  <c r="F298" i="39"/>
  <c r="F299" i="39"/>
  <c r="F300" i="39"/>
  <c r="F301" i="39"/>
  <c r="F302" i="39"/>
  <c r="F303" i="39"/>
  <c r="F304" i="39"/>
  <c r="F305" i="39"/>
  <c r="F306" i="39"/>
  <c r="F307" i="39"/>
  <c r="F308" i="39"/>
  <c r="F309" i="39"/>
  <c r="F310" i="39"/>
  <c r="F311" i="39"/>
  <c r="F312" i="39"/>
  <c r="F313" i="39"/>
  <c r="F5" i="39"/>
  <c r="G116" i="11" l="1"/>
  <c r="E116" i="11" s="1"/>
  <c r="P234" i="11" l="1"/>
  <c r="F6" i="11" l="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4" i="11"/>
  <c r="F35" i="11"/>
  <c r="F36" i="11"/>
  <c r="F37" i="11"/>
  <c r="F38" i="11"/>
  <c r="F39" i="11"/>
  <c r="F40" i="11"/>
  <c r="F41" i="11"/>
  <c r="F42" i="11"/>
  <c r="F43" i="11"/>
  <c r="F44" i="11"/>
  <c r="F45" i="11"/>
  <c r="F46" i="11"/>
  <c r="F47" i="11"/>
  <c r="F48" i="11"/>
  <c r="F49" i="11"/>
  <c r="F50" i="11"/>
  <c r="F51" i="11"/>
  <c r="F52" i="11"/>
  <c r="F53" i="11"/>
  <c r="F54" i="11"/>
  <c r="F55" i="11"/>
  <c r="F56" i="11"/>
  <c r="F57" i="11"/>
  <c r="F58" i="11"/>
  <c r="F59" i="11"/>
  <c r="F60" i="11"/>
  <c r="F61" i="11"/>
  <c r="F62" i="11"/>
  <c r="F63" i="11"/>
  <c r="F64" i="11"/>
  <c r="F65" i="11"/>
  <c r="F66" i="11"/>
  <c r="F67" i="11"/>
  <c r="F68" i="11"/>
  <c r="F69" i="11"/>
  <c r="F70" i="11"/>
  <c r="F71" i="11"/>
  <c r="F72" i="11"/>
  <c r="F73" i="11"/>
  <c r="F74" i="11"/>
  <c r="F76" i="11"/>
  <c r="F77" i="11"/>
  <c r="F78" i="11"/>
  <c r="F79" i="11"/>
  <c r="F80" i="11"/>
  <c r="F81" i="11"/>
  <c r="F82" i="11"/>
  <c r="F83" i="11"/>
  <c r="F84" i="11"/>
  <c r="F85" i="11"/>
  <c r="F86" i="11"/>
  <c r="F87" i="11"/>
  <c r="F88" i="11"/>
  <c r="F89" i="11"/>
  <c r="F90" i="11"/>
  <c r="F91" i="11"/>
  <c r="F92" i="11"/>
  <c r="F93" i="11"/>
  <c r="F94" i="11"/>
  <c r="F95" i="11"/>
  <c r="F96" i="11"/>
  <c r="F97" i="11"/>
  <c r="F98" i="11"/>
  <c r="F99" i="11"/>
  <c r="F100" i="11"/>
  <c r="F101" i="11"/>
  <c r="F102" i="11"/>
  <c r="F103" i="11"/>
  <c r="F104" i="11"/>
  <c r="F105" i="11"/>
  <c r="F106" i="11"/>
  <c r="F107" i="11"/>
  <c r="F108" i="11"/>
  <c r="F109" i="11"/>
  <c r="F110" i="11"/>
  <c r="F111" i="11"/>
  <c r="F112" i="11"/>
  <c r="F113" i="11"/>
  <c r="F114" i="11"/>
  <c r="F115" i="11"/>
  <c r="F116" i="11"/>
  <c r="F117" i="11"/>
  <c r="F118" i="11"/>
  <c r="F119" i="11"/>
  <c r="F120" i="11"/>
  <c r="F121" i="11"/>
  <c r="F122" i="11"/>
  <c r="F123" i="11"/>
  <c r="F124" i="11"/>
  <c r="F125" i="11"/>
  <c r="F126" i="11"/>
  <c r="F127" i="11"/>
  <c r="F128" i="11"/>
  <c r="F129" i="11"/>
  <c r="F130" i="11"/>
  <c r="F131" i="11"/>
  <c r="F132" i="11"/>
  <c r="F133" i="11"/>
  <c r="F134" i="11"/>
  <c r="F135" i="11"/>
  <c r="F136" i="11"/>
  <c r="F137" i="11"/>
  <c r="F138" i="11"/>
  <c r="F139" i="11"/>
  <c r="F140" i="11"/>
  <c r="F141" i="11"/>
  <c r="F142" i="11"/>
  <c r="F143" i="11"/>
  <c r="F144" i="11"/>
  <c r="F145" i="11"/>
  <c r="F146" i="11"/>
  <c r="F147" i="11"/>
  <c r="F148" i="11"/>
  <c r="F149" i="11"/>
  <c r="F150" i="11"/>
  <c r="F151" i="11"/>
  <c r="F152" i="11"/>
  <c r="F153" i="11"/>
  <c r="F154" i="11"/>
  <c r="F155" i="11"/>
  <c r="F156" i="11"/>
  <c r="F157"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205" i="11"/>
  <c r="F206" i="11"/>
  <c r="F207" i="11"/>
  <c r="F208" i="11"/>
  <c r="F209" i="11"/>
  <c r="F210" i="11"/>
  <c r="F211" i="11"/>
  <c r="F212" i="11"/>
  <c r="F213" i="11"/>
  <c r="F214" i="11"/>
  <c r="F215" i="11"/>
  <c r="F216" i="11"/>
  <c r="F217" i="11"/>
  <c r="F218" i="11"/>
  <c r="F219" i="11"/>
  <c r="F220" i="11"/>
  <c r="F221" i="11"/>
  <c r="F222" i="11"/>
  <c r="F223" i="11"/>
  <c r="F224" i="11"/>
  <c r="F225" i="11"/>
  <c r="F226" i="11"/>
  <c r="F227" i="11"/>
  <c r="F228" i="11"/>
  <c r="F229" i="11"/>
  <c r="F230" i="11"/>
  <c r="F231" i="11"/>
  <c r="F232" i="11"/>
  <c r="F233" i="11"/>
  <c r="F234" i="11"/>
  <c r="F235" i="11"/>
  <c r="F236" i="11"/>
  <c r="F237" i="11"/>
  <c r="F238" i="11"/>
  <c r="F239" i="11"/>
  <c r="F240" i="11"/>
  <c r="F241" i="11"/>
  <c r="F242" i="11"/>
  <c r="F243" i="11"/>
  <c r="F244" i="11"/>
  <c r="F245" i="11"/>
  <c r="F246" i="11"/>
  <c r="F247" i="11"/>
  <c r="F248" i="11"/>
  <c r="F249" i="11"/>
  <c r="F250" i="11"/>
  <c r="F251" i="11"/>
  <c r="F252" i="11"/>
  <c r="F253" i="11"/>
  <c r="F254" i="11"/>
  <c r="F255" i="11"/>
  <c r="F256" i="11"/>
  <c r="F257" i="11"/>
  <c r="F258" i="11"/>
  <c r="F259" i="11"/>
  <c r="F260" i="11"/>
  <c r="F261" i="11"/>
  <c r="F262" i="11"/>
  <c r="F263" i="11"/>
  <c r="F264" i="11"/>
  <c r="F265" i="11"/>
  <c r="F266" i="11"/>
  <c r="F267" i="11"/>
  <c r="F268" i="11"/>
  <c r="F269" i="11"/>
  <c r="F270" i="11"/>
  <c r="F271" i="11"/>
  <c r="F272" i="11"/>
  <c r="F273" i="11"/>
  <c r="F274" i="11"/>
  <c r="F275" i="11"/>
  <c r="F276" i="11"/>
  <c r="F277" i="11"/>
  <c r="F278" i="11"/>
  <c r="F279" i="11"/>
  <c r="F280" i="11"/>
  <c r="F281" i="11"/>
  <c r="F282" i="11"/>
  <c r="F283" i="11"/>
  <c r="F284" i="11"/>
  <c r="F285" i="11"/>
  <c r="F286" i="11"/>
  <c r="F287" i="11"/>
  <c r="F288" i="11"/>
  <c r="F289" i="11"/>
  <c r="F290" i="11"/>
  <c r="F291" i="11"/>
  <c r="F292" i="11"/>
  <c r="F293" i="11"/>
  <c r="F294" i="11"/>
  <c r="F295" i="11"/>
  <c r="F296" i="11"/>
  <c r="F297" i="11"/>
  <c r="F298" i="11"/>
  <c r="F299" i="11"/>
  <c r="F300" i="11"/>
  <c r="F301" i="11"/>
  <c r="F302" i="11"/>
  <c r="F303" i="11"/>
  <c r="F304" i="11"/>
  <c r="F305" i="11"/>
  <c r="F306" i="11"/>
  <c r="F307" i="11"/>
  <c r="F308" i="11"/>
  <c r="F309" i="11"/>
  <c r="F310" i="11"/>
  <c r="F311" i="11"/>
  <c r="F312" i="11"/>
  <c r="F313" i="11"/>
  <c r="F5" i="11"/>
  <c r="F59" i="48" l="1"/>
  <c r="E59" i="48"/>
  <c r="D59" i="48"/>
  <c r="I315" i="54" l="1"/>
  <c r="F315" i="54"/>
  <c r="C315" i="54"/>
  <c r="C59" i="48" l="1"/>
  <c r="K7" i="13" l="1"/>
  <c r="K8" i="13"/>
  <c r="K9" i="13"/>
  <c r="K10" i="13"/>
  <c r="K11" i="13"/>
  <c r="K12" i="13"/>
  <c r="K13" i="13"/>
  <c r="K14" i="13"/>
  <c r="K15" i="13"/>
  <c r="K16" i="13"/>
  <c r="K17" i="13"/>
  <c r="K18" i="13"/>
  <c r="K19" i="13"/>
  <c r="K20" i="13"/>
  <c r="K21" i="13"/>
  <c r="K22" i="13"/>
  <c r="K23" i="13"/>
  <c r="K24" i="13"/>
  <c r="K25" i="13"/>
  <c r="K26" i="13"/>
  <c r="K27" i="13"/>
  <c r="K28" i="13"/>
  <c r="K29" i="13"/>
  <c r="K30" i="13"/>
  <c r="K31" i="13"/>
  <c r="K32" i="13"/>
  <c r="K33" i="13"/>
  <c r="K34" i="13"/>
  <c r="K35" i="13"/>
  <c r="K36" i="13"/>
  <c r="K37" i="13"/>
  <c r="K38" i="13"/>
  <c r="K39" i="13"/>
  <c r="K40" i="13"/>
  <c r="K41" i="13"/>
  <c r="K42" i="13"/>
  <c r="K43" i="13"/>
  <c r="K44" i="13"/>
  <c r="K45" i="13"/>
  <c r="K46" i="13"/>
  <c r="K47" i="13"/>
  <c r="K48" i="13"/>
  <c r="K49" i="13"/>
  <c r="K50" i="13"/>
  <c r="K51" i="13"/>
  <c r="K52" i="13"/>
  <c r="K53" i="13"/>
  <c r="K54" i="13"/>
  <c r="K55" i="13"/>
  <c r="K56" i="13"/>
  <c r="K57" i="13"/>
  <c r="K58" i="13"/>
  <c r="K59" i="13"/>
  <c r="K60" i="13"/>
  <c r="K61" i="13"/>
  <c r="K62" i="13"/>
  <c r="K63" i="13"/>
  <c r="K64" i="13"/>
  <c r="K65" i="13"/>
  <c r="K66" i="13"/>
  <c r="K67" i="13"/>
  <c r="K68" i="13"/>
  <c r="K69" i="13"/>
  <c r="K70" i="13"/>
  <c r="K71" i="13"/>
  <c r="K72" i="13"/>
  <c r="K73" i="13"/>
  <c r="K74" i="13"/>
  <c r="K75" i="13"/>
  <c r="K76" i="13"/>
  <c r="K77" i="13"/>
  <c r="K78" i="13"/>
  <c r="K79" i="13"/>
  <c r="K80" i="13"/>
  <c r="K81" i="13"/>
  <c r="K82" i="13"/>
  <c r="K83" i="13"/>
  <c r="K84" i="13"/>
  <c r="K85" i="13"/>
  <c r="K86" i="13"/>
  <c r="K87" i="13"/>
  <c r="K88" i="13"/>
  <c r="K89" i="13"/>
  <c r="K90" i="13"/>
  <c r="K91" i="13"/>
  <c r="K92" i="13"/>
  <c r="K93" i="13"/>
  <c r="K94" i="13"/>
  <c r="K95" i="13"/>
  <c r="K96" i="13"/>
  <c r="K97" i="13"/>
  <c r="K98" i="13"/>
  <c r="K99" i="13"/>
  <c r="K100" i="13"/>
  <c r="K101" i="13"/>
  <c r="K102" i="13"/>
  <c r="K103" i="13"/>
  <c r="K104" i="13"/>
  <c r="K105" i="13"/>
  <c r="K106" i="13"/>
  <c r="K107" i="13"/>
  <c r="K108" i="13"/>
  <c r="K109" i="13"/>
  <c r="K110" i="13"/>
  <c r="K111" i="13"/>
  <c r="K112" i="13"/>
  <c r="K113" i="13"/>
  <c r="K114" i="13"/>
  <c r="K115" i="13"/>
  <c r="K116" i="13"/>
  <c r="K117" i="13"/>
  <c r="K118" i="13"/>
  <c r="K119" i="13"/>
  <c r="K120" i="13"/>
  <c r="K121" i="13"/>
  <c r="K122" i="13"/>
  <c r="K123" i="13"/>
  <c r="K124" i="13"/>
  <c r="K125" i="13"/>
  <c r="K126" i="13"/>
  <c r="K127" i="13"/>
  <c r="K128" i="13"/>
  <c r="K129" i="13"/>
  <c r="K130" i="13"/>
  <c r="K131" i="13"/>
  <c r="K132" i="13"/>
  <c r="K133" i="13"/>
  <c r="K134" i="13"/>
  <c r="K135" i="13"/>
  <c r="K136" i="13"/>
  <c r="K137" i="13"/>
  <c r="K138" i="13"/>
  <c r="K139" i="13"/>
  <c r="K140" i="13"/>
  <c r="K141" i="13"/>
  <c r="K142" i="13"/>
  <c r="K143" i="13"/>
  <c r="K144" i="13"/>
  <c r="K145" i="13"/>
  <c r="K146" i="13"/>
  <c r="K147" i="13"/>
  <c r="K148" i="13"/>
  <c r="K149" i="13"/>
  <c r="K150" i="13"/>
  <c r="K151" i="13"/>
  <c r="K152" i="13"/>
  <c r="K153" i="13"/>
  <c r="K154" i="13"/>
  <c r="K155" i="13"/>
  <c r="K156" i="13"/>
  <c r="K157" i="13"/>
  <c r="K158" i="13"/>
  <c r="K159" i="13"/>
  <c r="K160" i="13"/>
  <c r="K161" i="13"/>
  <c r="K162" i="13"/>
  <c r="K163" i="13"/>
  <c r="K164" i="13"/>
  <c r="K165" i="13"/>
  <c r="K166" i="13"/>
  <c r="K167" i="13"/>
  <c r="K168" i="13"/>
  <c r="K169" i="13"/>
  <c r="K170" i="13"/>
  <c r="K171" i="13"/>
  <c r="K172" i="13"/>
  <c r="K173" i="13"/>
  <c r="K174" i="13"/>
  <c r="K175" i="13"/>
  <c r="K176" i="13"/>
  <c r="K177" i="13"/>
  <c r="K178" i="13"/>
  <c r="K179" i="13"/>
  <c r="K180" i="13"/>
  <c r="K181" i="13"/>
  <c r="K182" i="13"/>
  <c r="K183" i="13"/>
  <c r="K184" i="13"/>
  <c r="K185" i="13"/>
  <c r="K186" i="13"/>
  <c r="K187" i="13"/>
  <c r="K188" i="13"/>
  <c r="K189" i="13"/>
  <c r="K190" i="13"/>
  <c r="K191" i="13"/>
  <c r="K192" i="13"/>
  <c r="K193" i="13"/>
  <c r="K194" i="13"/>
  <c r="K195" i="13"/>
  <c r="K196" i="13"/>
  <c r="K197" i="13"/>
  <c r="K198" i="13"/>
  <c r="K199" i="13"/>
  <c r="K200" i="13"/>
  <c r="K201" i="13"/>
  <c r="K202" i="13"/>
  <c r="K203" i="13"/>
  <c r="K204" i="13"/>
  <c r="K205" i="13"/>
  <c r="K206" i="13"/>
  <c r="K207" i="13"/>
  <c r="K208" i="13"/>
  <c r="K209" i="13"/>
  <c r="K210" i="13"/>
  <c r="K211" i="13"/>
  <c r="K212" i="13"/>
  <c r="K213" i="13"/>
  <c r="K214" i="13"/>
  <c r="K215" i="13"/>
  <c r="K216" i="13"/>
  <c r="K217" i="13"/>
  <c r="K218" i="13"/>
  <c r="K219" i="13"/>
  <c r="K220" i="13"/>
  <c r="K221" i="13"/>
  <c r="K222" i="13"/>
  <c r="K223" i="13"/>
  <c r="K224" i="13"/>
  <c r="K225" i="13"/>
  <c r="K226" i="13"/>
  <c r="K227" i="13"/>
  <c r="K228" i="13"/>
  <c r="K229" i="13"/>
  <c r="K230" i="13"/>
  <c r="K231" i="13"/>
  <c r="K232" i="13"/>
  <c r="K233" i="13"/>
  <c r="K234" i="13"/>
  <c r="K235" i="13"/>
  <c r="K236" i="13"/>
  <c r="K237" i="13"/>
  <c r="K238" i="13"/>
  <c r="K239" i="13"/>
  <c r="K240" i="13"/>
  <c r="K241" i="13"/>
  <c r="K242" i="13"/>
  <c r="K243" i="13"/>
  <c r="K244" i="13"/>
  <c r="K245" i="13"/>
  <c r="K246" i="13"/>
  <c r="K247" i="13"/>
  <c r="K248" i="13"/>
  <c r="K249" i="13"/>
  <c r="K250" i="13"/>
  <c r="K251" i="13"/>
  <c r="K252" i="13"/>
  <c r="K253" i="13"/>
  <c r="K254" i="13"/>
  <c r="K255" i="13"/>
  <c r="K256" i="13"/>
  <c r="K257" i="13"/>
  <c r="K258" i="13"/>
  <c r="K259" i="13"/>
  <c r="K260" i="13"/>
  <c r="K261" i="13"/>
  <c r="K262" i="13"/>
  <c r="K263" i="13"/>
  <c r="K264" i="13"/>
  <c r="K265" i="13"/>
  <c r="K266" i="13"/>
  <c r="K267" i="13"/>
  <c r="K268" i="13"/>
  <c r="K269" i="13"/>
  <c r="K270" i="13"/>
  <c r="K271" i="13"/>
  <c r="K272" i="13"/>
  <c r="K273" i="13"/>
  <c r="K274" i="13"/>
  <c r="K275" i="13"/>
  <c r="K276" i="13"/>
  <c r="K277" i="13"/>
  <c r="K278" i="13"/>
  <c r="K279" i="13"/>
  <c r="K280" i="13"/>
  <c r="K281" i="13"/>
  <c r="K282" i="13"/>
  <c r="K283" i="13"/>
  <c r="K284" i="13"/>
  <c r="K285" i="13"/>
  <c r="K286" i="13"/>
  <c r="K287" i="13"/>
  <c r="K288" i="13"/>
  <c r="K289" i="13"/>
  <c r="K290" i="13"/>
  <c r="K291" i="13"/>
  <c r="K292" i="13"/>
  <c r="K293" i="13"/>
  <c r="K294" i="13"/>
  <c r="K295" i="13"/>
  <c r="K296" i="13"/>
  <c r="K297" i="13"/>
  <c r="K298" i="13"/>
  <c r="K299" i="13"/>
  <c r="K300" i="13"/>
  <c r="K301" i="13"/>
  <c r="K302" i="13"/>
  <c r="K303" i="13"/>
  <c r="K304" i="13"/>
  <c r="K305" i="13"/>
  <c r="K306" i="13"/>
  <c r="K307" i="13"/>
  <c r="K308" i="13"/>
  <c r="K309" i="13"/>
  <c r="K310" i="13"/>
  <c r="K311" i="13"/>
  <c r="K312" i="13"/>
  <c r="K313" i="13"/>
  <c r="K314" i="13"/>
  <c r="A6" i="39" l="1"/>
  <c r="B6" i="39"/>
  <c r="A7" i="39"/>
  <c r="B7" i="39"/>
  <c r="A8" i="39"/>
  <c r="B8" i="39"/>
  <c r="A9" i="39"/>
  <c r="B9" i="39"/>
  <c r="A10" i="39"/>
  <c r="B10" i="39"/>
  <c r="A11" i="39"/>
  <c r="B11" i="39"/>
  <c r="A12" i="39"/>
  <c r="B12" i="39"/>
  <c r="A13" i="39"/>
  <c r="B13" i="39"/>
  <c r="A14" i="39"/>
  <c r="B14" i="39"/>
  <c r="A15" i="39"/>
  <c r="B15" i="39"/>
  <c r="A16" i="39"/>
  <c r="B16" i="39"/>
  <c r="A17" i="39"/>
  <c r="B17" i="39"/>
  <c r="A18" i="39"/>
  <c r="B18" i="39"/>
  <c r="A19" i="39"/>
  <c r="B19" i="39"/>
  <c r="A20" i="39"/>
  <c r="B20" i="39"/>
  <c r="A21" i="39"/>
  <c r="B21" i="39"/>
  <c r="A22" i="39"/>
  <c r="B22" i="39"/>
  <c r="A23" i="39"/>
  <c r="B23" i="39"/>
  <c r="A24" i="39"/>
  <c r="B24" i="39"/>
  <c r="A25" i="39"/>
  <c r="B25" i="39"/>
  <c r="A26" i="39"/>
  <c r="B26" i="39"/>
  <c r="A27" i="39"/>
  <c r="B27" i="39"/>
  <c r="A28" i="39"/>
  <c r="B28" i="39"/>
  <c r="A29" i="39"/>
  <c r="B29" i="39"/>
  <c r="A30" i="39"/>
  <c r="B30" i="39"/>
  <c r="A31" i="39"/>
  <c r="B31" i="39"/>
  <c r="A32" i="39"/>
  <c r="B32" i="39"/>
  <c r="A33" i="39"/>
  <c r="B33" i="39"/>
  <c r="A34" i="39"/>
  <c r="B34" i="39"/>
  <c r="A35" i="39"/>
  <c r="B35" i="39"/>
  <c r="A36" i="39"/>
  <c r="B36" i="39"/>
  <c r="A37" i="39"/>
  <c r="B37" i="39"/>
  <c r="A38" i="39"/>
  <c r="B38" i="39"/>
  <c r="A39" i="39"/>
  <c r="B39" i="39"/>
  <c r="A40" i="39"/>
  <c r="B40" i="39"/>
  <c r="A41" i="39"/>
  <c r="B41" i="39"/>
  <c r="A42" i="39"/>
  <c r="B42" i="39"/>
  <c r="A43" i="39"/>
  <c r="B43" i="39"/>
  <c r="A44" i="39"/>
  <c r="B44" i="39"/>
  <c r="A45" i="39"/>
  <c r="B45" i="39"/>
  <c r="A46" i="39"/>
  <c r="B46" i="39"/>
  <c r="A47" i="39"/>
  <c r="B47" i="39"/>
  <c r="A48" i="39"/>
  <c r="B48" i="39"/>
  <c r="A49" i="39"/>
  <c r="B49" i="39"/>
  <c r="A50" i="39"/>
  <c r="B50" i="39"/>
  <c r="A51" i="39"/>
  <c r="B51" i="39"/>
  <c r="A52" i="39"/>
  <c r="B52" i="39"/>
  <c r="A53" i="39"/>
  <c r="B53" i="39"/>
  <c r="A54" i="39"/>
  <c r="B54" i="39"/>
  <c r="A55" i="39"/>
  <c r="B55" i="39"/>
  <c r="A56" i="39"/>
  <c r="B56" i="39"/>
  <c r="A57" i="39"/>
  <c r="B57" i="39"/>
  <c r="A58" i="39"/>
  <c r="B58" i="39"/>
  <c r="A59" i="39"/>
  <c r="B59" i="39"/>
  <c r="A60" i="39"/>
  <c r="B60" i="39"/>
  <c r="A61" i="39"/>
  <c r="B61" i="39"/>
  <c r="A62" i="39"/>
  <c r="B62" i="39"/>
  <c r="A63" i="39"/>
  <c r="B63" i="39"/>
  <c r="A64" i="39"/>
  <c r="B64" i="39"/>
  <c r="A65" i="39"/>
  <c r="B65" i="39"/>
  <c r="A66" i="39"/>
  <c r="B66" i="39"/>
  <c r="A67" i="39"/>
  <c r="B67" i="39"/>
  <c r="A68" i="39"/>
  <c r="B68" i="39"/>
  <c r="A69" i="39"/>
  <c r="B69" i="39"/>
  <c r="A70" i="39"/>
  <c r="B70" i="39"/>
  <c r="A71" i="39"/>
  <c r="B71" i="39"/>
  <c r="A72" i="39"/>
  <c r="B72" i="39"/>
  <c r="A73" i="39"/>
  <c r="B73" i="39"/>
  <c r="A74" i="39"/>
  <c r="B74" i="39"/>
  <c r="A75" i="39"/>
  <c r="B75" i="39"/>
  <c r="A76" i="39"/>
  <c r="B76" i="39"/>
  <c r="A77" i="39"/>
  <c r="B77" i="39"/>
  <c r="A78" i="39"/>
  <c r="B78" i="39"/>
  <c r="A79" i="39"/>
  <c r="B79" i="39"/>
  <c r="A80" i="39"/>
  <c r="B80" i="39"/>
  <c r="A81" i="39"/>
  <c r="B81" i="39"/>
  <c r="A82" i="39"/>
  <c r="B82" i="39"/>
  <c r="A83" i="39"/>
  <c r="B83" i="39"/>
  <c r="A84" i="39"/>
  <c r="B84" i="39"/>
  <c r="A85" i="39"/>
  <c r="B85" i="39"/>
  <c r="A86" i="39"/>
  <c r="B86" i="39"/>
  <c r="A87" i="39"/>
  <c r="B87" i="39"/>
  <c r="A88" i="39"/>
  <c r="B88" i="39"/>
  <c r="A89" i="39"/>
  <c r="B89" i="39"/>
  <c r="A90" i="39"/>
  <c r="B90" i="39"/>
  <c r="A91" i="39"/>
  <c r="B91" i="39"/>
  <c r="A92" i="39"/>
  <c r="B92" i="39"/>
  <c r="A93" i="39"/>
  <c r="B93" i="39"/>
  <c r="A94" i="39"/>
  <c r="B94" i="39"/>
  <c r="A95" i="39"/>
  <c r="B95" i="39"/>
  <c r="A96" i="39"/>
  <c r="B96" i="39"/>
  <c r="A97" i="39"/>
  <c r="B97" i="39"/>
  <c r="A98" i="39"/>
  <c r="B98" i="39"/>
  <c r="A99" i="39"/>
  <c r="B99" i="39"/>
  <c r="A100" i="39"/>
  <c r="B100" i="39"/>
  <c r="A101" i="39"/>
  <c r="B101" i="39"/>
  <c r="A102" i="39"/>
  <c r="B102" i="39"/>
  <c r="A103" i="39"/>
  <c r="B103" i="39"/>
  <c r="A104" i="39"/>
  <c r="B104" i="39"/>
  <c r="A105" i="39"/>
  <c r="B105" i="39"/>
  <c r="A106" i="39"/>
  <c r="B106" i="39"/>
  <c r="A107" i="39"/>
  <c r="B107" i="39"/>
  <c r="A108" i="39"/>
  <c r="B108" i="39"/>
  <c r="A109" i="39"/>
  <c r="B109" i="39"/>
  <c r="A110" i="39"/>
  <c r="B110" i="39"/>
  <c r="A111" i="39"/>
  <c r="B111" i="39"/>
  <c r="A112" i="39"/>
  <c r="B112" i="39"/>
  <c r="A113" i="39"/>
  <c r="B113" i="39"/>
  <c r="A114" i="39"/>
  <c r="B114" i="39"/>
  <c r="A115" i="39"/>
  <c r="B115" i="39"/>
  <c r="A116" i="39"/>
  <c r="B116" i="39"/>
  <c r="A117" i="39"/>
  <c r="B117" i="39"/>
  <c r="A118" i="39"/>
  <c r="B118" i="39"/>
  <c r="A119" i="39"/>
  <c r="B119" i="39"/>
  <c r="A120" i="39"/>
  <c r="B120" i="39"/>
  <c r="A121" i="39"/>
  <c r="B121" i="39"/>
  <c r="A122" i="39"/>
  <c r="B122" i="39"/>
  <c r="A123" i="39"/>
  <c r="B123" i="39"/>
  <c r="A124" i="39"/>
  <c r="B124" i="39"/>
  <c r="A125" i="39"/>
  <c r="B125" i="39"/>
  <c r="A126" i="39"/>
  <c r="B126" i="39"/>
  <c r="A127" i="39"/>
  <c r="B127" i="39"/>
  <c r="A128" i="39"/>
  <c r="B128" i="39"/>
  <c r="A129" i="39"/>
  <c r="B129" i="39"/>
  <c r="A130" i="39"/>
  <c r="B130" i="39"/>
  <c r="A131" i="39"/>
  <c r="B131" i="39"/>
  <c r="A132" i="39"/>
  <c r="B132" i="39"/>
  <c r="A133" i="39"/>
  <c r="B133" i="39"/>
  <c r="A134" i="39"/>
  <c r="B134" i="39"/>
  <c r="A135" i="39"/>
  <c r="B135" i="39"/>
  <c r="A136" i="39"/>
  <c r="B136" i="39"/>
  <c r="A137" i="39"/>
  <c r="B137" i="39"/>
  <c r="A138" i="39"/>
  <c r="B138" i="39"/>
  <c r="A139" i="39"/>
  <c r="B139" i="39"/>
  <c r="A140" i="39"/>
  <c r="B140" i="39"/>
  <c r="A141" i="39"/>
  <c r="B141" i="39"/>
  <c r="A142" i="39"/>
  <c r="B142" i="39"/>
  <c r="A143" i="39"/>
  <c r="B143" i="39"/>
  <c r="A144" i="39"/>
  <c r="B144" i="39"/>
  <c r="A145" i="39"/>
  <c r="B145" i="39"/>
  <c r="A146" i="39"/>
  <c r="B146" i="39"/>
  <c r="A147" i="39"/>
  <c r="B147" i="39"/>
  <c r="A148" i="39"/>
  <c r="B148" i="39"/>
  <c r="A149" i="39"/>
  <c r="B149" i="39"/>
  <c r="A150" i="39"/>
  <c r="B150" i="39"/>
  <c r="A151" i="39"/>
  <c r="B151" i="39"/>
  <c r="A152" i="39"/>
  <c r="B152" i="39"/>
  <c r="A153" i="39"/>
  <c r="B153" i="39"/>
  <c r="A154" i="39"/>
  <c r="B154" i="39"/>
  <c r="A155" i="39"/>
  <c r="B155" i="39"/>
  <c r="A156" i="39"/>
  <c r="B156" i="39"/>
  <c r="A157" i="39"/>
  <c r="B157" i="39"/>
  <c r="A158" i="39"/>
  <c r="B158" i="39"/>
  <c r="A159" i="39"/>
  <c r="B159" i="39"/>
  <c r="A160" i="39"/>
  <c r="B160" i="39"/>
  <c r="A161" i="39"/>
  <c r="B161" i="39"/>
  <c r="A162" i="39"/>
  <c r="B162" i="39"/>
  <c r="A163" i="39"/>
  <c r="B163" i="39"/>
  <c r="A164" i="39"/>
  <c r="B164" i="39"/>
  <c r="A165" i="39"/>
  <c r="B165" i="39"/>
  <c r="A166" i="39"/>
  <c r="B166" i="39"/>
  <c r="A167" i="39"/>
  <c r="B167" i="39"/>
  <c r="A168" i="39"/>
  <c r="B168" i="39"/>
  <c r="A169" i="39"/>
  <c r="B169" i="39"/>
  <c r="A170" i="39"/>
  <c r="B170" i="39"/>
  <c r="A171" i="39"/>
  <c r="B171" i="39"/>
  <c r="A172" i="39"/>
  <c r="B172" i="39"/>
  <c r="A173" i="39"/>
  <c r="B173" i="39"/>
  <c r="A174" i="39"/>
  <c r="B174" i="39"/>
  <c r="A175" i="39"/>
  <c r="B175" i="39"/>
  <c r="A176" i="39"/>
  <c r="B176" i="39"/>
  <c r="A177" i="39"/>
  <c r="B177" i="39"/>
  <c r="A178" i="39"/>
  <c r="B178" i="39"/>
  <c r="A179" i="39"/>
  <c r="B179" i="39"/>
  <c r="A180" i="39"/>
  <c r="B180" i="39"/>
  <c r="A181" i="39"/>
  <c r="B181" i="39"/>
  <c r="A182" i="39"/>
  <c r="B182" i="39"/>
  <c r="A183" i="39"/>
  <c r="B183" i="39"/>
  <c r="A184" i="39"/>
  <c r="B184" i="39"/>
  <c r="A185" i="39"/>
  <c r="B185" i="39"/>
  <c r="A186" i="39"/>
  <c r="B186" i="39"/>
  <c r="A187" i="39"/>
  <c r="B187" i="39"/>
  <c r="A188" i="39"/>
  <c r="B188" i="39"/>
  <c r="A189" i="39"/>
  <c r="B189" i="39"/>
  <c r="A190" i="39"/>
  <c r="B190" i="39"/>
  <c r="A191" i="39"/>
  <c r="B191" i="39"/>
  <c r="A192" i="39"/>
  <c r="B192" i="39"/>
  <c r="A193" i="39"/>
  <c r="B193" i="39"/>
  <c r="A194" i="39"/>
  <c r="B194" i="39"/>
  <c r="A195" i="39"/>
  <c r="B195" i="39"/>
  <c r="A196" i="39"/>
  <c r="B196" i="39"/>
  <c r="A197" i="39"/>
  <c r="B197" i="39"/>
  <c r="A198" i="39"/>
  <c r="B198" i="39"/>
  <c r="A199" i="39"/>
  <c r="B199" i="39"/>
  <c r="A200" i="39"/>
  <c r="B200" i="39"/>
  <c r="A201" i="39"/>
  <c r="B201" i="39"/>
  <c r="A202" i="39"/>
  <c r="B202" i="39"/>
  <c r="A203" i="39"/>
  <c r="B203" i="39"/>
  <c r="A204" i="39"/>
  <c r="B204" i="39"/>
  <c r="A205" i="39"/>
  <c r="B205" i="39"/>
  <c r="A206" i="39"/>
  <c r="B206" i="39"/>
  <c r="A207" i="39"/>
  <c r="B207" i="39"/>
  <c r="A208" i="39"/>
  <c r="B208" i="39"/>
  <c r="A209" i="39"/>
  <c r="B209" i="39"/>
  <c r="A210" i="39"/>
  <c r="B210" i="39"/>
  <c r="A211" i="39"/>
  <c r="B211" i="39"/>
  <c r="A212" i="39"/>
  <c r="B212" i="39"/>
  <c r="A213" i="39"/>
  <c r="B213" i="39"/>
  <c r="A214" i="39"/>
  <c r="B214" i="39"/>
  <c r="A215" i="39"/>
  <c r="B215" i="39"/>
  <c r="A216" i="39"/>
  <c r="B216" i="39"/>
  <c r="A217" i="39"/>
  <c r="B217" i="39"/>
  <c r="A218" i="39"/>
  <c r="B218" i="39"/>
  <c r="A219" i="39"/>
  <c r="B219" i="39"/>
  <c r="A220" i="39"/>
  <c r="B220" i="39"/>
  <c r="A221" i="39"/>
  <c r="B221" i="39"/>
  <c r="A222" i="39"/>
  <c r="B222" i="39"/>
  <c r="A223" i="39"/>
  <c r="B223" i="39"/>
  <c r="A224" i="39"/>
  <c r="B224" i="39"/>
  <c r="A225" i="39"/>
  <c r="B225" i="39"/>
  <c r="A226" i="39"/>
  <c r="B226" i="39"/>
  <c r="A227" i="39"/>
  <c r="B227" i="39"/>
  <c r="A228" i="39"/>
  <c r="B228" i="39"/>
  <c r="A229" i="39"/>
  <c r="B229" i="39"/>
  <c r="A230" i="39"/>
  <c r="B230" i="39"/>
  <c r="A231" i="39"/>
  <c r="B231" i="39"/>
  <c r="A232" i="39"/>
  <c r="B232" i="39"/>
  <c r="A233" i="39"/>
  <c r="B233" i="39"/>
  <c r="A234" i="39"/>
  <c r="B234" i="39"/>
  <c r="A235" i="39"/>
  <c r="B235" i="39"/>
  <c r="A236" i="39"/>
  <c r="B236" i="39"/>
  <c r="A237" i="39"/>
  <c r="B237" i="39"/>
  <c r="A238" i="39"/>
  <c r="B238" i="39"/>
  <c r="A239" i="39"/>
  <c r="B239" i="39"/>
  <c r="A240" i="39"/>
  <c r="B240" i="39"/>
  <c r="A241" i="39"/>
  <c r="B241" i="39"/>
  <c r="A242" i="39"/>
  <c r="B242" i="39"/>
  <c r="A243" i="39"/>
  <c r="B243" i="39"/>
  <c r="A244" i="39"/>
  <c r="B244" i="39"/>
  <c r="A245" i="39"/>
  <c r="B245" i="39"/>
  <c r="A246" i="39"/>
  <c r="B246" i="39"/>
  <c r="A247" i="39"/>
  <c r="B247" i="39"/>
  <c r="A248" i="39"/>
  <c r="B248" i="39"/>
  <c r="A249" i="39"/>
  <c r="B249" i="39"/>
  <c r="A250" i="39"/>
  <c r="B250" i="39"/>
  <c r="A251" i="39"/>
  <c r="B251" i="39"/>
  <c r="A252" i="39"/>
  <c r="B252" i="39"/>
  <c r="A253" i="39"/>
  <c r="B253" i="39"/>
  <c r="A254" i="39"/>
  <c r="B254" i="39"/>
  <c r="A255" i="39"/>
  <c r="B255" i="39"/>
  <c r="A256" i="39"/>
  <c r="B256" i="39"/>
  <c r="A257" i="39"/>
  <c r="B257" i="39"/>
  <c r="A258" i="39"/>
  <c r="B258" i="39"/>
  <c r="A259" i="39"/>
  <c r="B259" i="39"/>
  <c r="A260" i="39"/>
  <c r="B260" i="39"/>
  <c r="A261" i="39"/>
  <c r="B261" i="39"/>
  <c r="A262" i="39"/>
  <c r="B262" i="39"/>
  <c r="A263" i="39"/>
  <c r="B263" i="39"/>
  <c r="A264" i="39"/>
  <c r="B264" i="39"/>
  <c r="A265" i="39"/>
  <c r="B265" i="39"/>
  <c r="A266" i="39"/>
  <c r="B266" i="39"/>
  <c r="A267" i="39"/>
  <c r="B267" i="39"/>
  <c r="A268" i="39"/>
  <c r="B268" i="39"/>
  <c r="A269" i="39"/>
  <c r="B269" i="39"/>
  <c r="A270" i="39"/>
  <c r="B270" i="39"/>
  <c r="A271" i="39"/>
  <c r="B271" i="39"/>
  <c r="A272" i="39"/>
  <c r="B272" i="39"/>
  <c r="A273" i="39"/>
  <c r="B273" i="39"/>
  <c r="A274" i="39"/>
  <c r="B274" i="39"/>
  <c r="A275" i="39"/>
  <c r="B275" i="39"/>
  <c r="A276" i="39"/>
  <c r="B276" i="39"/>
  <c r="A277" i="39"/>
  <c r="B277" i="39"/>
  <c r="A278" i="39"/>
  <c r="B278" i="39"/>
  <c r="A279" i="39"/>
  <c r="B279" i="39"/>
  <c r="A280" i="39"/>
  <c r="B280" i="39"/>
  <c r="A281" i="39"/>
  <c r="B281" i="39"/>
  <c r="A282" i="39"/>
  <c r="B282" i="39"/>
  <c r="A283" i="39"/>
  <c r="B283" i="39"/>
  <c r="A284" i="39"/>
  <c r="B284" i="39"/>
  <c r="A285" i="39"/>
  <c r="B285" i="39"/>
  <c r="A286" i="39"/>
  <c r="B286" i="39"/>
  <c r="A287" i="39"/>
  <c r="B287" i="39"/>
  <c r="A288" i="39"/>
  <c r="B288" i="39"/>
  <c r="A289" i="39"/>
  <c r="B289" i="39"/>
  <c r="A290" i="39"/>
  <c r="B290" i="39"/>
  <c r="A291" i="39"/>
  <c r="B291" i="39"/>
  <c r="A292" i="39"/>
  <c r="B292" i="39"/>
  <c r="A293" i="39"/>
  <c r="B293" i="39"/>
  <c r="A294" i="39"/>
  <c r="B294" i="39"/>
  <c r="A295" i="39"/>
  <c r="B295" i="39"/>
  <c r="A296" i="39"/>
  <c r="B296" i="39"/>
  <c r="A297" i="39"/>
  <c r="B297" i="39"/>
  <c r="A298" i="39"/>
  <c r="B298" i="39"/>
  <c r="A299" i="39"/>
  <c r="B299" i="39"/>
  <c r="A300" i="39"/>
  <c r="B300" i="39"/>
  <c r="A301" i="39"/>
  <c r="B301" i="39"/>
  <c r="A302" i="39"/>
  <c r="B302" i="39"/>
  <c r="A303" i="39"/>
  <c r="B303" i="39"/>
  <c r="A304" i="39"/>
  <c r="B304" i="39"/>
  <c r="A305" i="39"/>
  <c r="B305" i="39"/>
  <c r="A306" i="39"/>
  <c r="B306" i="39"/>
  <c r="A307" i="39"/>
  <c r="B307" i="39"/>
  <c r="A308" i="39"/>
  <c r="B308" i="39"/>
  <c r="A309" i="39"/>
  <c r="B309" i="39"/>
  <c r="A310" i="39"/>
  <c r="B310" i="39"/>
  <c r="A311" i="39"/>
  <c r="B311" i="39"/>
  <c r="A312" i="39"/>
  <c r="B312" i="39"/>
  <c r="A313" i="39"/>
  <c r="B313" i="39"/>
  <c r="A6" i="12"/>
  <c r="B6" i="12"/>
  <c r="A7" i="12"/>
  <c r="B7" i="12"/>
  <c r="A8" i="12"/>
  <c r="B8" i="12"/>
  <c r="A9" i="12"/>
  <c r="B9" i="12"/>
  <c r="A10" i="12"/>
  <c r="B10" i="12"/>
  <c r="A11" i="12"/>
  <c r="B11" i="12"/>
  <c r="A12" i="12"/>
  <c r="B12" i="12"/>
  <c r="A13" i="12"/>
  <c r="B13" i="12"/>
  <c r="A14" i="12"/>
  <c r="B14" i="12"/>
  <c r="A15" i="12"/>
  <c r="B15" i="12"/>
  <c r="A16" i="12"/>
  <c r="B16" i="12"/>
  <c r="A17" i="12"/>
  <c r="B17" i="12"/>
  <c r="A18" i="12"/>
  <c r="B18" i="12"/>
  <c r="A19" i="12"/>
  <c r="B19" i="12"/>
  <c r="A20" i="12"/>
  <c r="B20" i="12"/>
  <c r="A21" i="12"/>
  <c r="B21" i="12"/>
  <c r="A22" i="12"/>
  <c r="B22" i="12"/>
  <c r="A23" i="12"/>
  <c r="B23" i="12"/>
  <c r="A24" i="12"/>
  <c r="B24" i="12"/>
  <c r="A25" i="12"/>
  <c r="B25" i="12"/>
  <c r="A26" i="12"/>
  <c r="B26" i="12"/>
  <c r="A27" i="12"/>
  <c r="B27" i="12"/>
  <c r="A28" i="12"/>
  <c r="B28" i="12"/>
  <c r="A29" i="12"/>
  <c r="B29" i="12"/>
  <c r="A30" i="12"/>
  <c r="B30" i="12"/>
  <c r="A31" i="12"/>
  <c r="B31" i="12"/>
  <c r="A32" i="12"/>
  <c r="B32" i="12"/>
  <c r="A33" i="12"/>
  <c r="B33" i="12"/>
  <c r="A34" i="12"/>
  <c r="B34" i="12"/>
  <c r="A35" i="12"/>
  <c r="B35" i="12"/>
  <c r="A36" i="12"/>
  <c r="B36" i="12"/>
  <c r="A37" i="12"/>
  <c r="B37" i="12"/>
  <c r="A38" i="12"/>
  <c r="B38" i="12"/>
  <c r="A39" i="12"/>
  <c r="B39" i="12"/>
  <c r="A40" i="12"/>
  <c r="B40" i="12"/>
  <c r="A41" i="12"/>
  <c r="B41" i="12"/>
  <c r="A42" i="12"/>
  <c r="B42" i="12"/>
  <c r="A43" i="12"/>
  <c r="B43" i="12"/>
  <c r="A44" i="12"/>
  <c r="B44" i="12"/>
  <c r="A45" i="12"/>
  <c r="B45" i="12"/>
  <c r="A46" i="12"/>
  <c r="B46" i="12"/>
  <c r="A47" i="12"/>
  <c r="B47" i="12"/>
  <c r="A48" i="12"/>
  <c r="B48" i="12"/>
  <c r="A49" i="12"/>
  <c r="B49" i="12"/>
  <c r="A50" i="12"/>
  <c r="B50" i="12"/>
  <c r="A51" i="12"/>
  <c r="B51" i="12"/>
  <c r="A52" i="12"/>
  <c r="B52" i="12"/>
  <c r="A53" i="12"/>
  <c r="B53" i="12"/>
  <c r="A54" i="12"/>
  <c r="B54" i="12"/>
  <c r="A55" i="12"/>
  <c r="B55" i="12"/>
  <c r="A56" i="12"/>
  <c r="B56" i="12"/>
  <c r="A57" i="12"/>
  <c r="B57" i="12"/>
  <c r="A58" i="12"/>
  <c r="B58" i="12"/>
  <c r="A59" i="12"/>
  <c r="B59" i="12"/>
  <c r="A60" i="12"/>
  <c r="B60" i="12"/>
  <c r="A61" i="12"/>
  <c r="B61" i="12"/>
  <c r="A62" i="12"/>
  <c r="B62" i="12"/>
  <c r="A63" i="12"/>
  <c r="B63" i="12"/>
  <c r="A64" i="12"/>
  <c r="B64" i="12"/>
  <c r="A65" i="12"/>
  <c r="B65" i="12"/>
  <c r="A66" i="12"/>
  <c r="B66" i="12"/>
  <c r="A67" i="12"/>
  <c r="B67" i="12"/>
  <c r="A68" i="12"/>
  <c r="B68" i="12"/>
  <c r="A69" i="12"/>
  <c r="B69" i="12"/>
  <c r="A70" i="12"/>
  <c r="B70" i="12"/>
  <c r="A71" i="12"/>
  <c r="B71" i="12"/>
  <c r="A72" i="12"/>
  <c r="B72" i="12"/>
  <c r="A73" i="12"/>
  <c r="B73" i="12"/>
  <c r="A74" i="12"/>
  <c r="B74" i="12"/>
  <c r="A75" i="12"/>
  <c r="B75" i="12"/>
  <c r="A76" i="12"/>
  <c r="B76" i="12"/>
  <c r="A77" i="12"/>
  <c r="B77" i="12"/>
  <c r="A78" i="12"/>
  <c r="B78" i="12"/>
  <c r="A79" i="12"/>
  <c r="B79" i="12"/>
  <c r="A80" i="12"/>
  <c r="B80" i="12"/>
  <c r="A81" i="12"/>
  <c r="B81" i="12"/>
  <c r="A82" i="12"/>
  <c r="B82" i="12"/>
  <c r="A83" i="12"/>
  <c r="B83" i="12"/>
  <c r="A84" i="12"/>
  <c r="B84" i="12"/>
  <c r="A85" i="12"/>
  <c r="B85" i="12"/>
  <c r="A86" i="12"/>
  <c r="B86" i="12"/>
  <c r="A87" i="12"/>
  <c r="B87" i="12"/>
  <c r="A88" i="12"/>
  <c r="B88" i="12"/>
  <c r="A89" i="12"/>
  <c r="B89" i="12"/>
  <c r="A90" i="12"/>
  <c r="B90" i="12"/>
  <c r="A91" i="12"/>
  <c r="B91" i="12"/>
  <c r="A92" i="12"/>
  <c r="B92" i="12"/>
  <c r="A93" i="12"/>
  <c r="B93" i="12"/>
  <c r="A94" i="12"/>
  <c r="B94" i="12"/>
  <c r="A95" i="12"/>
  <c r="B95" i="12"/>
  <c r="A96" i="12"/>
  <c r="B96" i="12"/>
  <c r="A97" i="12"/>
  <c r="B97" i="12"/>
  <c r="A98" i="12"/>
  <c r="B98" i="12"/>
  <c r="A99" i="12"/>
  <c r="B99" i="12"/>
  <c r="A100" i="12"/>
  <c r="B100" i="12"/>
  <c r="A101" i="12"/>
  <c r="B101" i="12"/>
  <c r="A102" i="12"/>
  <c r="B102" i="12"/>
  <c r="A103" i="12"/>
  <c r="B103" i="12"/>
  <c r="A104" i="12"/>
  <c r="B104" i="12"/>
  <c r="A105" i="12"/>
  <c r="B105" i="12"/>
  <c r="A106" i="12"/>
  <c r="B106" i="12"/>
  <c r="A107" i="12"/>
  <c r="B107" i="12"/>
  <c r="A108" i="12"/>
  <c r="B108" i="12"/>
  <c r="A109" i="12"/>
  <c r="B109" i="12"/>
  <c r="A110" i="12"/>
  <c r="B110" i="12"/>
  <c r="A111" i="12"/>
  <c r="B111" i="12"/>
  <c r="A112" i="12"/>
  <c r="B112" i="12"/>
  <c r="A113" i="12"/>
  <c r="B113" i="12"/>
  <c r="A114" i="12"/>
  <c r="B114" i="12"/>
  <c r="A115" i="12"/>
  <c r="B115" i="12"/>
  <c r="A116" i="12"/>
  <c r="B116" i="12"/>
  <c r="A117" i="12"/>
  <c r="B117" i="12"/>
  <c r="A118" i="12"/>
  <c r="B118" i="12"/>
  <c r="A119" i="12"/>
  <c r="B119" i="12"/>
  <c r="A120" i="12"/>
  <c r="B120" i="12"/>
  <c r="A121" i="12"/>
  <c r="B121" i="12"/>
  <c r="A122" i="12"/>
  <c r="B122" i="12"/>
  <c r="A123" i="12"/>
  <c r="B123" i="12"/>
  <c r="A124" i="12"/>
  <c r="B124" i="12"/>
  <c r="A125" i="12"/>
  <c r="B125" i="12"/>
  <c r="A126" i="12"/>
  <c r="B126" i="12"/>
  <c r="A127" i="12"/>
  <c r="B127" i="12"/>
  <c r="A128" i="12"/>
  <c r="B128" i="12"/>
  <c r="A129" i="12"/>
  <c r="B129" i="12"/>
  <c r="A130" i="12"/>
  <c r="B130" i="12"/>
  <c r="A131" i="12"/>
  <c r="B131" i="12"/>
  <c r="A132" i="12"/>
  <c r="B132" i="12"/>
  <c r="A133" i="12"/>
  <c r="B133" i="12"/>
  <c r="A134" i="12"/>
  <c r="B134" i="12"/>
  <c r="A135" i="12"/>
  <c r="B135" i="12"/>
  <c r="A136" i="12"/>
  <c r="B136" i="12"/>
  <c r="A137" i="12"/>
  <c r="B137" i="12"/>
  <c r="A138" i="12"/>
  <c r="B138" i="12"/>
  <c r="A139" i="12"/>
  <c r="B139" i="12"/>
  <c r="A140" i="12"/>
  <c r="B140" i="12"/>
  <c r="A141" i="12"/>
  <c r="B141" i="12"/>
  <c r="A142" i="12"/>
  <c r="B142" i="12"/>
  <c r="A143" i="12"/>
  <c r="B143" i="12"/>
  <c r="A144" i="12"/>
  <c r="B144" i="12"/>
  <c r="A145" i="12"/>
  <c r="B145" i="12"/>
  <c r="A146" i="12"/>
  <c r="B146" i="12"/>
  <c r="A147" i="12"/>
  <c r="B147" i="12"/>
  <c r="A148" i="12"/>
  <c r="B148" i="12"/>
  <c r="A149" i="12"/>
  <c r="B149" i="12"/>
  <c r="A150" i="12"/>
  <c r="B150" i="12"/>
  <c r="A151" i="12"/>
  <c r="B151" i="12"/>
  <c r="A152" i="12"/>
  <c r="B152" i="12"/>
  <c r="A153" i="12"/>
  <c r="B153" i="12"/>
  <c r="A154" i="12"/>
  <c r="B154" i="12"/>
  <c r="A155" i="12"/>
  <c r="B155" i="12"/>
  <c r="A156" i="12"/>
  <c r="B156" i="12"/>
  <c r="A157" i="12"/>
  <c r="B157" i="12"/>
  <c r="A158" i="12"/>
  <c r="B158" i="12"/>
  <c r="A159" i="12"/>
  <c r="B159" i="12"/>
  <c r="A160" i="12"/>
  <c r="B160" i="12"/>
  <c r="A161" i="12"/>
  <c r="B161" i="12"/>
  <c r="A162" i="12"/>
  <c r="B162" i="12"/>
  <c r="A163" i="12"/>
  <c r="B163" i="12"/>
  <c r="A164" i="12"/>
  <c r="B164" i="12"/>
  <c r="A165" i="12"/>
  <c r="B165" i="12"/>
  <c r="A166" i="12"/>
  <c r="B166" i="12"/>
  <c r="A167" i="12"/>
  <c r="B167" i="12"/>
  <c r="A168" i="12"/>
  <c r="B168" i="12"/>
  <c r="A169" i="12"/>
  <c r="B169" i="12"/>
  <c r="A170" i="12"/>
  <c r="B170" i="12"/>
  <c r="A171" i="12"/>
  <c r="B171" i="12"/>
  <c r="A172" i="12"/>
  <c r="B172" i="12"/>
  <c r="A173" i="12"/>
  <c r="B173" i="12"/>
  <c r="A174" i="12"/>
  <c r="B174" i="12"/>
  <c r="A175" i="12"/>
  <c r="B175" i="12"/>
  <c r="A176" i="12"/>
  <c r="B176" i="12"/>
  <c r="A177" i="12"/>
  <c r="B177" i="12"/>
  <c r="A178" i="12"/>
  <c r="B178" i="12"/>
  <c r="A179" i="12"/>
  <c r="B179" i="12"/>
  <c r="A180" i="12"/>
  <c r="B180" i="12"/>
  <c r="A181" i="12"/>
  <c r="B181" i="12"/>
  <c r="A182" i="12"/>
  <c r="B182" i="12"/>
  <c r="A183" i="12"/>
  <c r="B183" i="12"/>
  <c r="A184" i="12"/>
  <c r="B184" i="12"/>
  <c r="A185" i="12"/>
  <c r="B185" i="12"/>
  <c r="A186" i="12"/>
  <c r="B186" i="12"/>
  <c r="A187" i="12"/>
  <c r="B187" i="12"/>
  <c r="A188" i="12"/>
  <c r="B188" i="12"/>
  <c r="A189" i="12"/>
  <c r="B189" i="12"/>
  <c r="A190" i="12"/>
  <c r="B190" i="12"/>
  <c r="A191" i="12"/>
  <c r="B191" i="12"/>
  <c r="A192" i="12"/>
  <c r="B192" i="12"/>
  <c r="A193" i="12"/>
  <c r="B193" i="12"/>
  <c r="A194" i="12"/>
  <c r="B194" i="12"/>
  <c r="A195" i="12"/>
  <c r="B195" i="12"/>
  <c r="A196" i="12"/>
  <c r="B196" i="12"/>
  <c r="A197" i="12"/>
  <c r="B197" i="12"/>
  <c r="A198" i="12"/>
  <c r="B198" i="12"/>
  <c r="A199" i="12"/>
  <c r="B199" i="12"/>
  <c r="A200" i="12"/>
  <c r="B200" i="12"/>
  <c r="A201" i="12"/>
  <c r="B201" i="12"/>
  <c r="A202" i="12"/>
  <c r="B202" i="12"/>
  <c r="A203" i="12"/>
  <c r="B203" i="12"/>
  <c r="A204" i="12"/>
  <c r="B204" i="12"/>
  <c r="A205" i="12"/>
  <c r="B205" i="12"/>
  <c r="A206" i="12"/>
  <c r="B206" i="12"/>
  <c r="A207" i="12"/>
  <c r="B207" i="12"/>
  <c r="A208" i="12"/>
  <c r="B208" i="12"/>
  <c r="A209" i="12"/>
  <c r="B209" i="12"/>
  <c r="A210" i="12"/>
  <c r="B210" i="12"/>
  <c r="A211" i="12"/>
  <c r="B211" i="12"/>
  <c r="A212" i="12"/>
  <c r="B212" i="12"/>
  <c r="A213" i="12"/>
  <c r="B213" i="12"/>
  <c r="A214" i="12"/>
  <c r="B214" i="12"/>
  <c r="A215" i="12"/>
  <c r="B215" i="12"/>
  <c r="A216" i="12"/>
  <c r="B216" i="12"/>
  <c r="A217" i="12"/>
  <c r="B217" i="12"/>
  <c r="A218" i="12"/>
  <c r="B218" i="12"/>
  <c r="A219" i="12"/>
  <c r="B219" i="12"/>
  <c r="A220" i="12"/>
  <c r="B220" i="12"/>
  <c r="A221" i="12"/>
  <c r="B221" i="12"/>
  <c r="A222" i="12"/>
  <c r="B222" i="12"/>
  <c r="A223" i="12"/>
  <c r="B223" i="12"/>
  <c r="A224" i="12"/>
  <c r="B224" i="12"/>
  <c r="A225" i="12"/>
  <c r="B225" i="12"/>
  <c r="A226" i="12"/>
  <c r="B226" i="12"/>
  <c r="A227" i="12"/>
  <c r="B227" i="12"/>
  <c r="A228" i="12"/>
  <c r="B228" i="12"/>
  <c r="A229" i="12"/>
  <c r="B229" i="12"/>
  <c r="A230" i="12"/>
  <c r="B230" i="12"/>
  <c r="A231" i="12"/>
  <c r="B231" i="12"/>
  <c r="A232" i="12"/>
  <c r="B232" i="12"/>
  <c r="A233" i="12"/>
  <c r="B233" i="12"/>
  <c r="A234" i="12"/>
  <c r="B234" i="12"/>
  <c r="A235" i="12"/>
  <c r="B235" i="12"/>
  <c r="A236" i="12"/>
  <c r="B236" i="12"/>
  <c r="A237" i="12"/>
  <c r="B237" i="12"/>
  <c r="A238" i="12"/>
  <c r="B238" i="12"/>
  <c r="A239" i="12"/>
  <c r="B239" i="12"/>
  <c r="A240" i="12"/>
  <c r="B240" i="12"/>
  <c r="A241" i="12"/>
  <c r="B241" i="12"/>
  <c r="A242" i="12"/>
  <c r="B242" i="12"/>
  <c r="A243" i="12"/>
  <c r="B243" i="12"/>
  <c r="A244" i="12"/>
  <c r="B244" i="12"/>
  <c r="A245" i="12"/>
  <c r="B245" i="12"/>
  <c r="A246" i="12"/>
  <c r="B246" i="12"/>
  <c r="A247" i="12"/>
  <c r="B247" i="12"/>
  <c r="A248" i="12"/>
  <c r="B248" i="12"/>
  <c r="A249" i="12"/>
  <c r="B249" i="12"/>
  <c r="A250" i="12"/>
  <c r="B250" i="12"/>
  <c r="A251" i="12"/>
  <c r="B251" i="12"/>
  <c r="A252" i="12"/>
  <c r="B252" i="12"/>
  <c r="A253" i="12"/>
  <c r="B253" i="12"/>
  <c r="A254" i="12"/>
  <c r="B254" i="12"/>
  <c r="A255" i="12"/>
  <c r="B255" i="12"/>
  <c r="A256" i="12"/>
  <c r="B256" i="12"/>
  <c r="A257" i="12"/>
  <c r="B257" i="12"/>
  <c r="A258" i="12"/>
  <c r="B258" i="12"/>
  <c r="A259" i="12"/>
  <c r="B259" i="12"/>
  <c r="A260" i="12"/>
  <c r="B260" i="12"/>
  <c r="A261" i="12"/>
  <c r="B261" i="12"/>
  <c r="A262" i="12"/>
  <c r="B262" i="12"/>
  <c r="A263" i="12"/>
  <c r="B263" i="12"/>
  <c r="A264" i="12"/>
  <c r="B264" i="12"/>
  <c r="A265" i="12"/>
  <c r="B265" i="12"/>
  <c r="A266" i="12"/>
  <c r="B266" i="12"/>
  <c r="A267" i="12"/>
  <c r="B267" i="12"/>
  <c r="A268" i="12"/>
  <c r="B268" i="12"/>
  <c r="A269" i="12"/>
  <c r="B269" i="12"/>
  <c r="A270" i="12"/>
  <c r="B270" i="12"/>
  <c r="A271" i="12"/>
  <c r="B271" i="12"/>
  <c r="A272" i="12"/>
  <c r="B272" i="12"/>
  <c r="A273" i="12"/>
  <c r="B273" i="12"/>
  <c r="A274" i="12"/>
  <c r="B274" i="12"/>
  <c r="A275" i="12"/>
  <c r="B275" i="12"/>
  <c r="A276" i="12"/>
  <c r="B276" i="12"/>
  <c r="A277" i="12"/>
  <c r="B277" i="12"/>
  <c r="A278" i="12"/>
  <c r="B278" i="12"/>
  <c r="A279" i="12"/>
  <c r="B279" i="12"/>
  <c r="A280" i="12"/>
  <c r="B280" i="12"/>
  <c r="A281" i="12"/>
  <c r="B281" i="12"/>
  <c r="A282" i="12"/>
  <c r="B282" i="12"/>
  <c r="A283" i="12"/>
  <c r="B283" i="12"/>
  <c r="A284" i="12"/>
  <c r="B284" i="12"/>
  <c r="A285" i="12"/>
  <c r="B285" i="12"/>
  <c r="A286" i="12"/>
  <c r="B286" i="12"/>
  <c r="A287" i="12"/>
  <c r="B287" i="12"/>
  <c r="A288" i="12"/>
  <c r="B288" i="12"/>
  <c r="A289" i="12"/>
  <c r="B289" i="12"/>
  <c r="A290" i="12"/>
  <c r="B290" i="12"/>
  <c r="A291" i="12"/>
  <c r="B291" i="12"/>
  <c r="A292" i="12"/>
  <c r="B292" i="12"/>
  <c r="A293" i="12"/>
  <c r="B293" i="12"/>
  <c r="A294" i="12"/>
  <c r="B294" i="12"/>
  <c r="A295" i="12"/>
  <c r="B295" i="12"/>
  <c r="A296" i="12"/>
  <c r="B296" i="12"/>
  <c r="A297" i="12"/>
  <c r="B297" i="12"/>
  <c r="A298" i="12"/>
  <c r="B298" i="12"/>
  <c r="A299" i="12"/>
  <c r="B299" i="12"/>
  <c r="A300" i="12"/>
  <c r="B300" i="12"/>
  <c r="A301" i="12"/>
  <c r="B301" i="12"/>
  <c r="A302" i="12"/>
  <c r="B302" i="12"/>
  <c r="A303" i="12"/>
  <c r="B303" i="12"/>
  <c r="A304" i="12"/>
  <c r="B304" i="12"/>
  <c r="A305" i="12"/>
  <c r="B305" i="12"/>
  <c r="A306" i="12"/>
  <c r="B306" i="12"/>
  <c r="A307" i="12"/>
  <c r="B307" i="12"/>
  <c r="A308" i="12"/>
  <c r="B308" i="12"/>
  <c r="A309" i="12"/>
  <c r="B309" i="12"/>
  <c r="A310" i="12"/>
  <c r="B310" i="12"/>
  <c r="A311" i="12"/>
  <c r="B311" i="12"/>
  <c r="A312" i="12"/>
  <c r="B312" i="12"/>
  <c r="A313" i="12"/>
  <c r="B313" i="12"/>
  <c r="A17" i="34"/>
  <c r="B17" i="34"/>
  <c r="D17" i="34"/>
  <c r="A18" i="34"/>
  <c r="B18" i="34"/>
  <c r="D18" i="34"/>
  <c r="A19" i="34"/>
  <c r="B19" i="34"/>
  <c r="D19" i="34"/>
  <c r="A20" i="34"/>
  <c r="B20" i="34"/>
  <c r="D20" i="34"/>
  <c r="A21" i="34"/>
  <c r="B21" i="34"/>
  <c r="D21" i="34"/>
  <c r="A22" i="34"/>
  <c r="B22" i="34"/>
  <c r="D22" i="34"/>
  <c r="A23" i="34"/>
  <c r="B23" i="34"/>
  <c r="D23" i="34"/>
  <c r="A24" i="34"/>
  <c r="B24" i="34"/>
  <c r="D24" i="34"/>
  <c r="A25" i="34"/>
  <c r="B25" i="34"/>
  <c r="D25" i="34"/>
  <c r="A26" i="34"/>
  <c r="B26" i="34"/>
  <c r="D26" i="34"/>
  <c r="A27" i="34"/>
  <c r="B27" i="34"/>
  <c r="D27" i="34"/>
  <c r="A28" i="34"/>
  <c r="B28" i="34"/>
  <c r="D28" i="34"/>
  <c r="A29" i="34"/>
  <c r="B29" i="34"/>
  <c r="D29" i="34"/>
  <c r="A30" i="34"/>
  <c r="B30" i="34"/>
  <c r="D30" i="34"/>
  <c r="A31" i="34"/>
  <c r="B31" i="34"/>
  <c r="D31" i="34"/>
  <c r="A32" i="34"/>
  <c r="B32" i="34"/>
  <c r="D32" i="34"/>
  <c r="A33" i="34"/>
  <c r="B33" i="34"/>
  <c r="D33" i="34"/>
  <c r="A34" i="34"/>
  <c r="B34" i="34"/>
  <c r="D34" i="34"/>
  <c r="A35" i="34"/>
  <c r="B35" i="34"/>
  <c r="D35" i="34"/>
  <c r="A36" i="34"/>
  <c r="B36" i="34"/>
  <c r="D36" i="34"/>
  <c r="A37" i="34"/>
  <c r="B37" i="34"/>
  <c r="D37" i="34"/>
  <c r="A38" i="34"/>
  <c r="B38" i="34"/>
  <c r="D38" i="34"/>
  <c r="A39" i="34"/>
  <c r="B39" i="34"/>
  <c r="D39" i="34"/>
  <c r="A40" i="34"/>
  <c r="B40" i="34"/>
  <c r="D40" i="34"/>
  <c r="A41" i="34"/>
  <c r="B41" i="34"/>
  <c r="D41" i="34"/>
  <c r="A42" i="34"/>
  <c r="B42" i="34"/>
  <c r="D42" i="34"/>
  <c r="A43" i="34"/>
  <c r="B43" i="34"/>
  <c r="D43" i="34"/>
  <c r="A44" i="34"/>
  <c r="B44" i="34"/>
  <c r="D44" i="34"/>
  <c r="A45" i="34"/>
  <c r="B45" i="34"/>
  <c r="D45" i="34"/>
  <c r="A46" i="34"/>
  <c r="B46" i="34"/>
  <c r="D46" i="34"/>
  <c r="A47" i="34"/>
  <c r="B47" i="34"/>
  <c r="D47" i="34"/>
  <c r="A48" i="34"/>
  <c r="B48" i="34"/>
  <c r="D48" i="34"/>
  <c r="A49" i="34"/>
  <c r="B49" i="34"/>
  <c r="D49" i="34"/>
  <c r="A50" i="34"/>
  <c r="B50" i="34"/>
  <c r="D50" i="34"/>
  <c r="A51" i="34"/>
  <c r="B51" i="34"/>
  <c r="D51" i="34"/>
  <c r="A52" i="34"/>
  <c r="B52" i="34"/>
  <c r="D52" i="34"/>
  <c r="A53" i="34"/>
  <c r="B53" i="34"/>
  <c r="D53" i="34"/>
  <c r="A54" i="34"/>
  <c r="B54" i="34"/>
  <c r="D54" i="34"/>
  <c r="A55" i="34"/>
  <c r="B55" i="34"/>
  <c r="D55" i="34"/>
  <c r="A56" i="34"/>
  <c r="B56" i="34"/>
  <c r="D56" i="34"/>
  <c r="A57" i="34"/>
  <c r="B57" i="34"/>
  <c r="D57" i="34"/>
  <c r="A58" i="34"/>
  <c r="B58" i="34"/>
  <c r="D58" i="34"/>
  <c r="A59" i="34"/>
  <c r="B59" i="34"/>
  <c r="D59" i="34"/>
  <c r="A60" i="34"/>
  <c r="B60" i="34"/>
  <c r="D60" i="34"/>
  <c r="A61" i="34"/>
  <c r="B61" i="34"/>
  <c r="D61" i="34"/>
  <c r="A62" i="34"/>
  <c r="B62" i="34"/>
  <c r="D62" i="34"/>
  <c r="A63" i="34"/>
  <c r="B63" i="34"/>
  <c r="D63" i="34"/>
  <c r="A64" i="34"/>
  <c r="B64" i="34"/>
  <c r="D64" i="34"/>
  <c r="A65" i="34"/>
  <c r="B65" i="34"/>
  <c r="D65" i="34"/>
  <c r="A66" i="34"/>
  <c r="B66" i="34"/>
  <c r="D66" i="34"/>
  <c r="A67" i="34"/>
  <c r="B67" i="34"/>
  <c r="D67" i="34"/>
  <c r="A68" i="34"/>
  <c r="B68" i="34"/>
  <c r="D68" i="34"/>
  <c r="A69" i="34"/>
  <c r="B69" i="34"/>
  <c r="D69" i="34"/>
  <c r="A70" i="34"/>
  <c r="B70" i="34"/>
  <c r="D70" i="34"/>
  <c r="A71" i="34"/>
  <c r="B71" i="34"/>
  <c r="D71" i="34"/>
  <c r="A72" i="34"/>
  <c r="B72" i="34"/>
  <c r="D72" i="34"/>
  <c r="A73" i="34"/>
  <c r="B73" i="34"/>
  <c r="D73" i="34"/>
  <c r="A74" i="34"/>
  <c r="B74" i="34"/>
  <c r="D74" i="34"/>
  <c r="A75" i="34"/>
  <c r="B75" i="34"/>
  <c r="D75" i="34"/>
  <c r="A76" i="34"/>
  <c r="B76" i="34"/>
  <c r="D76" i="34"/>
  <c r="A77" i="34"/>
  <c r="B77" i="34"/>
  <c r="D77" i="34"/>
  <c r="A78" i="34"/>
  <c r="B78" i="34"/>
  <c r="D78" i="34"/>
  <c r="A79" i="34"/>
  <c r="B79" i="34"/>
  <c r="D79" i="34"/>
  <c r="A80" i="34"/>
  <c r="B80" i="34"/>
  <c r="D80" i="34"/>
  <c r="A81" i="34"/>
  <c r="B81" i="34"/>
  <c r="D81" i="34"/>
  <c r="A82" i="34"/>
  <c r="B82" i="34"/>
  <c r="D82" i="34"/>
  <c r="A83" i="34"/>
  <c r="B83" i="34"/>
  <c r="D83" i="34"/>
  <c r="A84" i="34"/>
  <c r="B84" i="34"/>
  <c r="D84" i="34"/>
  <c r="A85" i="34"/>
  <c r="B85" i="34"/>
  <c r="D85" i="34"/>
  <c r="A86" i="34"/>
  <c r="B86" i="34"/>
  <c r="D86" i="34"/>
  <c r="A87" i="34"/>
  <c r="B87" i="34"/>
  <c r="D87" i="34"/>
  <c r="A88" i="34"/>
  <c r="B88" i="34"/>
  <c r="D88" i="34"/>
  <c r="A89" i="34"/>
  <c r="B89" i="34"/>
  <c r="D89" i="34"/>
  <c r="A90" i="34"/>
  <c r="B90" i="34"/>
  <c r="D90" i="34"/>
  <c r="A91" i="34"/>
  <c r="B91" i="34"/>
  <c r="D91" i="34"/>
  <c r="A92" i="34"/>
  <c r="B92" i="34"/>
  <c r="D92" i="34"/>
  <c r="A93" i="34"/>
  <c r="B93" i="34"/>
  <c r="D93" i="34"/>
  <c r="A94" i="34"/>
  <c r="B94" i="34"/>
  <c r="D94" i="34"/>
  <c r="A95" i="34"/>
  <c r="B95" i="34"/>
  <c r="D95" i="34"/>
  <c r="A96" i="34"/>
  <c r="B96" i="34"/>
  <c r="D96" i="34"/>
  <c r="A97" i="34"/>
  <c r="B97" i="34"/>
  <c r="D97" i="34"/>
  <c r="A98" i="34"/>
  <c r="B98" i="34"/>
  <c r="D98" i="34"/>
  <c r="A99" i="34"/>
  <c r="B99" i="34"/>
  <c r="D99" i="34"/>
  <c r="A100" i="34"/>
  <c r="B100" i="34"/>
  <c r="D100" i="34"/>
  <c r="A101" i="34"/>
  <c r="B101" i="34"/>
  <c r="D101" i="34"/>
  <c r="A102" i="34"/>
  <c r="B102" i="34"/>
  <c r="D102" i="34"/>
  <c r="A103" i="34"/>
  <c r="B103" i="34"/>
  <c r="D103" i="34"/>
  <c r="A104" i="34"/>
  <c r="B104" i="34"/>
  <c r="D104" i="34"/>
  <c r="A105" i="34"/>
  <c r="B105" i="34"/>
  <c r="D105" i="34"/>
  <c r="A106" i="34"/>
  <c r="B106" i="34"/>
  <c r="D106" i="34"/>
  <c r="A107" i="34"/>
  <c r="B107" i="34"/>
  <c r="D107" i="34"/>
  <c r="A108" i="34"/>
  <c r="B108" i="34"/>
  <c r="D108" i="34"/>
  <c r="A109" i="34"/>
  <c r="B109" i="34"/>
  <c r="D109" i="34"/>
  <c r="A110" i="34"/>
  <c r="B110" i="34"/>
  <c r="D110" i="34"/>
  <c r="A111" i="34"/>
  <c r="B111" i="34"/>
  <c r="D111" i="34"/>
  <c r="A112" i="34"/>
  <c r="B112" i="34"/>
  <c r="D112" i="34"/>
  <c r="A113" i="34"/>
  <c r="B113" i="34"/>
  <c r="D113" i="34"/>
  <c r="A114" i="34"/>
  <c r="B114" i="34"/>
  <c r="D114" i="34"/>
  <c r="A115" i="34"/>
  <c r="B115" i="34"/>
  <c r="D115" i="34"/>
  <c r="A116" i="34"/>
  <c r="B116" i="34"/>
  <c r="D116" i="34"/>
  <c r="A117" i="34"/>
  <c r="B117" i="34"/>
  <c r="D117" i="34"/>
  <c r="A118" i="34"/>
  <c r="B118" i="34"/>
  <c r="D118" i="34"/>
  <c r="A119" i="34"/>
  <c r="B119" i="34"/>
  <c r="D119" i="34"/>
  <c r="A120" i="34"/>
  <c r="B120" i="34"/>
  <c r="D120" i="34"/>
  <c r="A121" i="34"/>
  <c r="B121" i="34"/>
  <c r="D121" i="34"/>
  <c r="A122" i="34"/>
  <c r="B122" i="34"/>
  <c r="D122" i="34"/>
  <c r="A123" i="34"/>
  <c r="B123" i="34"/>
  <c r="D123" i="34"/>
  <c r="A124" i="34"/>
  <c r="B124" i="34"/>
  <c r="D124" i="34"/>
  <c r="A125" i="34"/>
  <c r="B125" i="34"/>
  <c r="D125" i="34"/>
  <c r="A126" i="34"/>
  <c r="B126" i="34"/>
  <c r="D126" i="34"/>
  <c r="A127" i="34"/>
  <c r="B127" i="34"/>
  <c r="D127" i="34"/>
  <c r="A128" i="34"/>
  <c r="B128" i="34"/>
  <c r="D128" i="34"/>
  <c r="A129" i="34"/>
  <c r="B129" i="34"/>
  <c r="D129" i="34"/>
  <c r="A130" i="34"/>
  <c r="B130" i="34"/>
  <c r="D130" i="34"/>
  <c r="A131" i="34"/>
  <c r="B131" i="34"/>
  <c r="D131" i="34"/>
  <c r="A132" i="34"/>
  <c r="B132" i="34"/>
  <c r="D132" i="34"/>
  <c r="A133" i="34"/>
  <c r="B133" i="34"/>
  <c r="D133" i="34"/>
  <c r="A134" i="34"/>
  <c r="B134" i="34"/>
  <c r="D134" i="34"/>
  <c r="A135" i="34"/>
  <c r="B135" i="34"/>
  <c r="D135" i="34"/>
  <c r="A136" i="34"/>
  <c r="B136" i="34"/>
  <c r="D136" i="34"/>
  <c r="A137" i="34"/>
  <c r="B137" i="34"/>
  <c r="D137" i="34"/>
  <c r="A138" i="34"/>
  <c r="B138" i="34"/>
  <c r="D138" i="34"/>
  <c r="A139" i="34"/>
  <c r="B139" i="34"/>
  <c r="D139" i="34"/>
  <c r="A140" i="34"/>
  <c r="B140" i="34"/>
  <c r="D140" i="34"/>
  <c r="A141" i="34"/>
  <c r="B141" i="34"/>
  <c r="D141" i="34"/>
  <c r="A142" i="34"/>
  <c r="B142" i="34"/>
  <c r="D142" i="34"/>
  <c r="A143" i="34"/>
  <c r="B143" i="34"/>
  <c r="D143" i="34"/>
  <c r="A144" i="34"/>
  <c r="B144" i="34"/>
  <c r="D144" i="34"/>
  <c r="A145" i="34"/>
  <c r="B145" i="34"/>
  <c r="D145" i="34"/>
  <c r="A146" i="34"/>
  <c r="B146" i="34"/>
  <c r="D146" i="34"/>
  <c r="A147" i="34"/>
  <c r="B147" i="34"/>
  <c r="D147" i="34"/>
  <c r="A148" i="34"/>
  <c r="B148" i="34"/>
  <c r="D148" i="34"/>
  <c r="A149" i="34"/>
  <c r="B149" i="34"/>
  <c r="D149" i="34"/>
  <c r="A150" i="34"/>
  <c r="B150" i="34"/>
  <c r="D150" i="34"/>
  <c r="A151" i="34"/>
  <c r="B151" i="34"/>
  <c r="D151" i="34"/>
  <c r="A152" i="34"/>
  <c r="B152" i="34"/>
  <c r="D152" i="34"/>
  <c r="A153" i="34"/>
  <c r="B153" i="34"/>
  <c r="D153" i="34"/>
  <c r="A154" i="34"/>
  <c r="B154" i="34"/>
  <c r="D154" i="34"/>
  <c r="A155" i="34"/>
  <c r="B155" i="34"/>
  <c r="D155" i="34"/>
  <c r="A156" i="34"/>
  <c r="B156" i="34"/>
  <c r="D156" i="34"/>
  <c r="A157" i="34"/>
  <c r="B157" i="34"/>
  <c r="D157" i="34"/>
  <c r="A158" i="34"/>
  <c r="B158" i="34"/>
  <c r="D158" i="34"/>
  <c r="A159" i="34"/>
  <c r="B159" i="34"/>
  <c r="D159" i="34"/>
  <c r="A160" i="34"/>
  <c r="B160" i="34"/>
  <c r="D160" i="34"/>
  <c r="A161" i="34"/>
  <c r="B161" i="34"/>
  <c r="D161" i="34"/>
  <c r="A162" i="34"/>
  <c r="B162" i="34"/>
  <c r="D162" i="34"/>
  <c r="A163" i="34"/>
  <c r="B163" i="34"/>
  <c r="D163" i="34"/>
  <c r="A164" i="34"/>
  <c r="B164" i="34"/>
  <c r="D164" i="34"/>
  <c r="A165" i="34"/>
  <c r="B165" i="34"/>
  <c r="D165" i="34"/>
  <c r="A166" i="34"/>
  <c r="B166" i="34"/>
  <c r="D166" i="34"/>
  <c r="A167" i="34"/>
  <c r="B167" i="34"/>
  <c r="D167" i="34"/>
  <c r="A168" i="34"/>
  <c r="B168" i="34"/>
  <c r="D168" i="34"/>
  <c r="A169" i="34"/>
  <c r="B169" i="34"/>
  <c r="D169" i="34"/>
  <c r="A170" i="34"/>
  <c r="B170" i="34"/>
  <c r="D170" i="34"/>
  <c r="A171" i="34"/>
  <c r="B171" i="34"/>
  <c r="D171" i="34"/>
  <c r="A172" i="34"/>
  <c r="B172" i="34"/>
  <c r="D172" i="34"/>
  <c r="A173" i="34"/>
  <c r="B173" i="34"/>
  <c r="D173" i="34"/>
  <c r="A174" i="34"/>
  <c r="B174" i="34"/>
  <c r="D174" i="34"/>
  <c r="A175" i="34"/>
  <c r="B175" i="34"/>
  <c r="D175" i="34"/>
  <c r="A176" i="34"/>
  <c r="B176" i="34"/>
  <c r="D176" i="34"/>
  <c r="A177" i="34"/>
  <c r="B177" i="34"/>
  <c r="D177" i="34"/>
  <c r="A178" i="34"/>
  <c r="B178" i="34"/>
  <c r="D178" i="34"/>
  <c r="A179" i="34"/>
  <c r="B179" i="34"/>
  <c r="D179" i="34"/>
  <c r="A180" i="34"/>
  <c r="B180" i="34"/>
  <c r="D180" i="34"/>
  <c r="A181" i="34"/>
  <c r="B181" i="34"/>
  <c r="D181" i="34"/>
  <c r="A182" i="34"/>
  <c r="B182" i="34"/>
  <c r="D182" i="34"/>
  <c r="A183" i="34"/>
  <c r="B183" i="34"/>
  <c r="D183" i="34"/>
  <c r="A184" i="34"/>
  <c r="B184" i="34"/>
  <c r="D184" i="34"/>
  <c r="A185" i="34"/>
  <c r="B185" i="34"/>
  <c r="D185" i="34"/>
  <c r="A186" i="34"/>
  <c r="B186" i="34"/>
  <c r="D186" i="34"/>
  <c r="A187" i="34"/>
  <c r="B187" i="34"/>
  <c r="D187" i="34"/>
  <c r="A188" i="34"/>
  <c r="B188" i="34"/>
  <c r="D188" i="34"/>
  <c r="A189" i="34"/>
  <c r="B189" i="34"/>
  <c r="D189" i="34"/>
  <c r="A190" i="34"/>
  <c r="B190" i="34"/>
  <c r="D190" i="34"/>
  <c r="A191" i="34"/>
  <c r="B191" i="34"/>
  <c r="D191" i="34"/>
  <c r="A192" i="34"/>
  <c r="B192" i="34"/>
  <c r="D192" i="34"/>
  <c r="A193" i="34"/>
  <c r="B193" i="34"/>
  <c r="D193" i="34"/>
  <c r="A194" i="34"/>
  <c r="B194" i="34"/>
  <c r="D194" i="34"/>
  <c r="A195" i="34"/>
  <c r="B195" i="34"/>
  <c r="D195" i="34"/>
  <c r="A196" i="34"/>
  <c r="B196" i="34"/>
  <c r="D196" i="34"/>
  <c r="A197" i="34"/>
  <c r="B197" i="34"/>
  <c r="D197" i="34"/>
  <c r="A198" i="34"/>
  <c r="B198" i="34"/>
  <c r="D198" i="34"/>
  <c r="A199" i="34"/>
  <c r="B199" i="34"/>
  <c r="D199" i="34"/>
  <c r="A200" i="34"/>
  <c r="B200" i="34"/>
  <c r="D200" i="34"/>
  <c r="A201" i="34"/>
  <c r="B201" i="34"/>
  <c r="D201" i="34"/>
  <c r="A202" i="34"/>
  <c r="B202" i="34"/>
  <c r="D202" i="34"/>
  <c r="A203" i="34"/>
  <c r="B203" i="34"/>
  <c r="D203" i="34"/>
  <c r="A204" i="34"/>
  <c r="B204" i="34"/>
  <c r="D204" i="34"/>
  <c r="A205" i="34"/>
  <c r="B205" i="34"/>
  <c r="D205" i="34"/>
  <c r="A206" i="34"/>
  <c r="B206" i="34"/>
  <c r="D206" i="34"/>
  <c r="A207" i="34"/>
  <c r="B207" i="34"/>
  <c r="D207" i="34"/>
  <c r="A208" i="34"/>
  <c r="B208" i="34"/>
  <c r="D208" i="34"/>
  <c r="A209" i="34"/>
  <c r="B209" i="34"/>
  <c r="D209" i="34"/>
  <c r="A210" i="34"/>
  <c r="B210" i="34"/>
  <c r="D210" i="34"/>
  <c r="A211" i="34"/>
  <c r="B211" i="34"/>
  <c r="D211" i="34"/>
  <c r="A212" i="34"/>
  <c r="B212" i="34"/>
  <c r="D212" i="34"/>
  <c r="A213" i="34"/>
  <c r="B213" i="34"/>
  <c r="D213" i="34"/>
  <c r="A214" i="34"/>
  <c r="B214" i="34"/>
  <c r="D214" i="34"/>
  <c r="A215" i="34"/>
  <c r="B215" i="34"/>
  <c r="D215" i="34"/>
  <c r="A216" i="34"/>
  <c r="B216" i="34"/>
  <c r="D216" i="34"/>
  <c r="A217" i="34"/>
  <c r="B217" i="34"/>
  <c r="D217" i="34"/>
  <c r="A218" i="34"/>
  <c r="B218" i="34"/>
  <c r="D218" i="34"/>
  <c r="A219" i="34"/>
  <c r="B219" i="34"/>
  <c r="D219" i="34"/>
  <c r="A220" i="34"/>
  <c r="B220" i="34"/>
  <c r="D220" i="34"/>
  <c r="A221" i="34"/>
  <c r="B221" i="34"/>
  <c r="D221" i="34"/>
  <c r="A222" i="34"/>
  <c r="B222" i="34"/>
  <c r="D222" i="34"/>
  <c r="A223" i="34"/>
  <c r="B223" i="34"/>
  <c r="D223" i="34"/>
  <c r="A224" i="34"/>
  <c r="B224" i="34"/>
  <c r="D224" i="34"/>
  <c r="A225" i="34"/>
  <c r="B225" i="34"/>
  <c r="D225" i="34"/>
  <c r="A226" i="34"/>
  <c r="B226" i="34"/>
  <c r="D226" i="34"/>
  <c r="A227" i="34"/>
  <c r="B227" i="34"/>
  <c r="D227" i="34"/>
  <c r="A228" i="34"/>
  <c r="B228" i="34"/>
  <c r="D228" i="34"/>
  <c r="A229" i="34"/>
  <c r="B229" i="34"/>
  <c r="D229" i="34"/>
  <c r="A230" i="34"/>
  <c r="B230" i="34"/>
  <c r="D230" i="34"/>
  <c r="A231" i="34"/>
  <c r="B231" i="34"/>
  <c r="D231" i="34"/>
  <c r="A232" i="34"/>
  <c r="B232" i="34"/>
  <c r="D232" i="34"/>
  <c r="A233" i="34"/>
  <c r="B233" i="34"/>
  <c r="D233" i="34"/>
  <c r="A234" i="34"/>
  <c r="B234" i="34"/>
  <c r="D234" i="34"/>
  <c r="A235" i="34"/>
  <c r="B235" i="34"/>
  <c r="D235" i="34"/>
  <c r="A236" i="34"/>
  <c r="B236" i="34"/>
  <c r="D236" i="34"/>
  <c r="A237" i="34"/>
  <c r="B237" i="34"/>
  <c r="D237" i="34"/>
  <c r="A238" i="34"/>
  <c r="B238" i="34"/>
  <c r="D238" i="34"/>
  <c r="A239" i="34"/>
  <c r="B239" i="34"/>
  <c r="D239" i="34"/>
  <c r="A240" i="34"/>
  <c r="B240" i="34"/>
  <c r="D240" i="34"/>
  <c r="A241" i="34"/>
  <c r="B241" i="34"/>
  <c r="D241" i="34"/>
  <c r="A242" i="34"/>
  <c r="B242" i="34"/>
  <c r="D242" i="34"/>
  <c r="A243" i="34"/>
  <c r="B243" i="34"/>
  <c r="D243" i="34"/>
  <c r="A244" i="34"/>
  <c r="B244" i="34"/>
  <c r="D244" i="34"/>
  <c r="A245" i="34"/>
  <c r="B245" i="34"/>
  <c r="D245" i="34"/>
  <c r="A246" i="34"/>
  <c r="B246" i="34"/>
  <c r="D246" i="34"/>
  <c r="A247" i="34"/>
  <c r="B247" i="34"/>
  <c r="D247" i="34"/>
  <c r="A248" i="34"/>
  <c r="B248" i="34"/>
  <c r="D248" i="34"/>
  <c r="A249" i="34"/>
  <c r="B249" i="34"/>
  <c r="D249" i="34"/>
  <c r="A250" i="34"/>
  <c r="B250" i="34"/>
  <c r="D250" i="34"/>
  <c r="A251" i="34"/>
  <c r="B251" i="34"/>
  <c r="D251" i="34"/>
  <c r="A252" i="34"/>
  <c r="B252" i="34"/>
  <c r="D252" i="34"/>
  <c r="A253" i="34"/>
  <c r="B253" i="34"/>
  <c r="D253" i="34"/>
  <c r="A254" i="34"/>
  <c r="B254" i="34"/>
  <c r="D254" i="34"/>
  <c r="A255" i="34"/>
  <c r="B255" i="34"/>
  <c r="D255" i="34"/>
  <c r="A256" i="34"/>
  <c r="B256" i="34"/>
  <c r="D256" i="34"/>
  <c r="A257" i="34"/>
  <c r="B257" i="34"/>
  <c r="D257" i="34"/>
  <c r="A258" i="34"/>
  <c r="B258" i="34"/>
  <c r="D258" i="34"/>
  <c r="A259" i="34"/>
  <c r="B259" i="34"/>
  <c r="D259" i="34"/>
  <c r="A260" i="34"/>
  <c r="B260" i="34"/>
  <c r="D260" i="34"/>
  <c r="A261" i="34"/>
  <c r="B261" i="34"/>
  <c r="D261" i="34"/>
  <c r="A262" i="34"/>
  <c r="B262" i="34"/>
  <c r="D262" i="34"/>
  <c r="A263" i="34"/>
  <c r="B263" i="34"/>
  <c r="D263" i="34"/>
  <c r="A264" i="34"/>
  <c r="B264" i="34"/>
  <c r="D264" i="34"/>
  <c r="A265" i="34"/>
  <c r="B265" i="34"/>
  <c r="D265" i="34"/>
  <c r="A266" i="34"/>
  <c r="B266" i="34"/>
  <c r="D266" i="34"/>
  <c r="A267" i="34"/>
  <c r="B267" i="34"/>
  <c r="D267" i="34"/>
  <c r="A268" i="34"/>
  <c r="B268" i="34"/>
  <c r="D268" i="34"/>
  <c r="A269" i="34"/>
  <c r="B269" i="34"/>
  <c r="D269" i="34"/>
  <c r="A270" i="34"/>
  <c r="B270" i="34"/>
  <c r="D270" i="34"/>
  <c r="A271" i="34"/>
  <c r="B271" i="34"/>
  <c r="D271" i="34"/>
  <c r="A272" i="34"/>
  <c r="B272" i="34"/>
  <c r="D272" i="34"/>
  <c r="A273" i="34"/>
  <c r="B273" i="34"/>
  <c r="D273" i="34"/>
  <c r="A274" i="34"/>
  <c r="B274" i="34"/>
  <c r="D274" i="34"/>
  <c r="A275" i="34"/>
  <c r="B275" i="34"/>
  <c r="D275" i="34"/>
  <c r="A276" i="34"/>
  <c r="B276" i="34"/>
  <c r="D276" i="34"/>
  <c r="A277" i="34"/>
  <c r="B277" i="34"/>
  <c r="D277" i="34"/>
  <c r="A278" i="34"/>
  <c r="B278" i="34"/>
  <c r="D278" i="34"/>
  <c r="A279" i="34"/>
  <c r="B279" i="34"/>
  <c r="D279" i="34"/>
  <c r="A280" i="34"/>
  <c r="B280" i="34"/>
  <c r="D280" i="34"/>
  <c r="A281" i="34"/>
  <c r="B281" i="34"/>
  <c r="D281" i="34"/>
  <c r="A282" i="34"/>
  <c r="B282" i="34"/>
  <c r="D282" i="34"/>
  <c r="A283" i="34"/>
  <c r="B283" i="34"/>
  <c r="D283" i="34"/>
  <c r="A284" i="34"/>
  <c r="B284" i="34"/>
  <c r="D284" i="34"/>
  <c r="A285" i="34"/>
  <c r="B285" i="34"/>
  <c r="D285" i="34"/>
  <c r="A286" i="34"/>
  <c r="B286" i="34"/>
  <c r="D286" i="34"/>
  <c r="A287" i="34"/>
  <c r="B287" i="34"/>
  <c r="D287" i="34"/>
  <c r="A288" i="34"/>
  <c r="B288" i="34"/>
  <c r="D288" i="34"/>
  <c r="A289" i="34"/>
  <c r="B289" i="34"/>
  <c r="D289" i="34"/>
  <c r="A290" i="34"/>
  <c r="B290" i="34"/>
  <c r="D290" i="34"/>
  <c r="A291" i="34"/>
  <c r="B291" i="34"/>
  <c r="D291" i="34"/>
  <c r="A292" i="34"/>
  <c r="B292" i="34"/>
  <c r="D292" i="34"/>
  <c r="A293" i="34"/>
  <c r="B293" i="34"/>
  <c r="D293" i="34"/>
  <c r="A294" i="34"/>
  <c r="B294" i="34"/>
  <c r="D294" i="34"/>
  <c r="A295" i="34"/>
  <c r="B295" i="34"/>
  <c r="D295" i="34"/>
  <c r="A296" i="34"/>
  <c r="B296" i="34"/>
  <c r="D296" i="34"/>
  <c r="A297" i="34"/>
  <c r="B297" i="34"/>
  <c r="D297" i="34"/>
  <c r="A298" i="34"/>
  <c r="B298" i="34"/>
  <c r="D298" i="34"/>
  <c r="A299" i="34"/>
  <c r="B299" i="34"/>
  <c r="D299" i="34"/>
  <c r="A300" i="34"/>
  <c r="B300" i="34"/>
  <c r="D300" i="34"/>
  <c r="A301" i="34"/>
  <c r="B301" i="34"/>
  <c r="D301" i="34"/>
  <c r="A302" i="34"/>
  <c r="B302" i="34"/>
  <c r="D302" i="34"/>
  <c r="A303" i="34"/>
  <c r="B303" i="34"/>
  <c r="D303" i="34"/>
  <c r="A304" i="34"/>
  <c r="B304" i="34"/>
  <c r="D304" i="34"/>
  <c r="A305" i="34"/>
  <c r="B305" i="34"/>
  <c r="D305" i="34"/>
  <c r="A306" i="34"/>
  <c r="B306" i="34"/>
  <c r="D306" i="34"/>
  <c r="A307" i="34"/>
  <c r="B307" i="34"/>
  <c r="D307" i="34"/>
  <c r="A308" i="34"/>
  <c r="B308" i="34"/>
  <c r="D308" i="34"/>
  <c r="A309" i="34"/>
  <c r="B309" i="34"/>
  <c r="D309" i="34"/>
  <c r="A310" i="34"/>
  <c r="B310" i="34"/>
  <c r="D310" i="34"/>
  <c r="A311" i="34"/>
  <c r="B311" i="34"/>
  <c r="D311" i="34"/>
  <c r="A312" i="34"/>
  <c r="B312" i="34"/>
  <c r="D312" i="34"/>
  <c r="A313" i="34"/>
  <c r="B313" i="34"/>
  <c r="D313" i="34"/>
  <c r="A314" i="34"/>
  <c r="B314" i="34"/>
  <c r="D314" i="34"/>
  <c r="A315" i="34"/>
  <c r="B315" i="34"/>
  <c r="D315" i="34"/>
  <c r="A316" i="34"/>
  <c r="B316" i="34"/>
  <c r="D316" i="34"/>
  <c r="A317" i="34"/>
  <c r="B317" i="34"/>
  <c r="D317" i="34"/>
  <c r="A318" i="34"/>
  <c r="B318" i="34"/>
  <c r="D318" i="34"/>
  <c r="A319" i="34"/>
  <c r="B319" i="34"/>
  <c r="D319" i="34"/>
  <c r="A320" i="34"/>
  <c r="B320" i="34"/>
  <c r="D320" i="34"/>
  <c r="A321" i="34"/>
  <c r="B321" i="34"/>
  <c r="D321" i="34"/>
  <c r="A322" i="34"/>
  <c r="B322" i="34"/>
  <c r="D322" i="34"/>
  <c r="A323" i="34"/>
  <c r="B323" i="34"/>
  <c r="D323" i="34"/>
  <c r="A324" i="34"/>
  <c r="B324" i="34"/>
  <c r="D324" i="34"/>
  <c r="A6" i="37"/>
  <c r="B6" i="37"/>
  <c r="C6" i="37"/>
  <c r="G6" i="37"/>
  <c r="A7" i="37"/>
  <c r="B7" i="37"/>
  <c r="C7" i="37"/>
  <c r="G7" i="37"/>
  <c r="A8" i="37"/>
  <c r="B8" i="37"/>
  <c r="C8" i="37"/>
  <c r="G8" i="37"/>
  <c r="A9" i="37"/>
  <c r="B9" i="37"/>
  <c r="C9" i="37"/>
  <c r="G9" i="37"/>
  <c r="A10" i="37"/>
  <c r="B10" i="37"/>
  <c r="C10" i="37"/>
  <c r="G10" i="37"/>
  <c r="A11" i="37"/>
  <c r="B11" i="37"/>
  <c r="C11" i="37"/>
  <c r="G11" i="37"/>
  <c r="A12" i="37"/>
  <c r="B12" i="37"/>
  <c r="C12" i="37"/>
  <c r="G12" i="37"/>
  <c r="A13" i="37"/>
  <c r="B13" i="37"/>
  <c r="C13" i="37"/>
  <c r="G13" i="37"/>
  <c r="A14" i="37"/>
  <c r="B14" i="37"/>
  <c r="C14" i="37"/>
  <c r="G14" i="37"/>
  <c r="A15" i="37"/>
  <c r="B15" i="37"/>
  <c r="C15" i="37"/>
  <c r="G15" i="37"/>
  <c r="A16" i="37"/>
  <c r="B16" i="37"/>
  <c r="C16" i="37"/>
  <c r="G16" i="37"/>
  <c r="A17" i="37"/>
  <c r="B17" i="37"/>
  <c r="C17" i="37"/>
  <c r="G17" i="37"/>
  <c r="A18" i="37"/>
  <c r="B18" i="37"/>
  <c r="C18" i="37"/>
  <c r="G18" i="37"/>
  <c r="A19" i="37"/>
  <c r="B19" i="37"/>
  <c r="C19" i="37"/>
  <c r="G19" i="37"/>
  <c r="A20" i="37"/>
  <c r="B20" i="37"/>
  <c r="C20" i="37"/>
  <c r="G20" i="37"/>
  <c r="A21" i="37"/>
  <c r="B21" i="37"/>
  <c r="C21" i="37"/>
  <c r="G21" i="37"/>
  <c r="A22" i="37"/>
  <c r="B22" i="37"/>
  <c r="C22" i="37"/>
  <c r="G22" i="37"/>
  <c r="A23" i="37"/>
  <c r="B23" i="37"/>
  <c r="C23" i="37"/>
  <c r="G23" i="37"/>
  <c r="A24" i="37"/>
  <c r="B24" i="37"/>
  <c r="C24" i="37"/>
  <c r="G24" i="37"/>
  <c r="A25" i="37"/>
  <c r="B25" i="37"/>
  <c r="C25" i="37"/>
  <c r="G25" i="37"/>
  <c r="A26" i="37"/>
  <c r="B26" i="37"/>
  <c r="C26" i="37"/>
  <c r="G26" i="37"/>
  <c r="A27" i="37"/>
  <c r="B27" i="37"/>
  <c r="C27" i="37"/>
  <c r="G27" i="37"/>
  <c r="A28" i="37"/>
  <c r="B28" i="37"/>
  <c r="C28" i="37"/>
  <c r="G28" i="37"/>
  <c r="A29" i="37"/>
  <c r="B29" i="37"/>
  <c r="C29" i="37"/>
  <c r="G29" i="37"/>
  <c r="A30" i="37"/>
  <c r="B30" i="37"/>
  <c r="C30" i="37"/>
  <c r="G30" i="37"/>
  <c r="A31" i="37"/>
  <c r="B31" i="37"/>
  <c r="C31" i="37"/>
  <c r="G31" i="37"/>
  <c r="A32" i="37"/>
  <c r="B32" i="37"/>
  <c r="C32" i="37"/>
  <c r="G32" i="37"/>
  <c r="A33" i="37"/>
  <c r="B33" i="37"/>
  <c r="C33" i="37"/>
  <c r="G33" i="37"/>
  <c r="A34" i="37"/>
  <c r="B34" i="37"/>
  <c r="C34" i="37"/>
  <c r="G34" i="37"/>
  <c r="A35" i="37"/>
  <c r="B35" i="37"/>
  <c r="C35" i="37"/>
  <c r="G35" i="37"/>
  <c r="A36" i="37"/>
  <c r="B36" i="37"/>
  <c r="C36" i="37"/>
  <c r="G36" i="37"/>
  <c r="A37" i="37"/>
  <c r="B37" i="37"/>
  <c r="C37" i="37"/>
  <c r="G37" i="37"/>
  <c r="A38" i="37"/>
  <c r="B38" i="37"/>
  <c r="C38" i="37"/>
  <c r="G38" i="37"/>
  <c r="A39" i="37"/>
  <c r="B39" i="37"/>
  <c r="C39" i="37"/>
  <c r="G39" i="37"/>
  <c r="A40" i="37"/>
  <c r="B40" i="37"/>
  <c r="C40" i="37"/>
  <c r="G40" i="37"/>
  <c r="A41" i="37"/>
  <c r="B41" i="37"/>
  <c r="C41" i="37"/>
  <c r="G41" i="37"/>
  <c r="A42" i="37"/>
  <c r="B42" i="37"/>
  <c r="C42" i="37"/>
  <c r="G42" i="37"/>
  <c r="A43" i="37"/>
  <c r="B43" i="37"/>
  <c r="C43" i="37"/>
  <c r="G43" i="37"/>
  <c r="A44" i="37"/>
  <c r="B44" i="37"/>
  <c r="C44" i="37"/>
  <c r="G44" i="37"/>
  <c r="A45" i="37"/>
  <c r="B45" i="37"/>
  <c r="C45" i="37"/>
  <c r="G45" i="37"/>
  <c r="A46" i="37"/>
  <c r="B46" i="37"/>
  <c r="C46" i="37"/>
  <c r="G46" i="37"/>
  <c r="A47" i="37"/>
  <c r="B47" i="37"/>
  <c r="C47" i="37"/>
  <c r="G47" i="37"/>
  <c r="A48" i="37"/>
  <c r="B48" i="37"/>
  <c r="C48" i="37"/>
  <c r="G48" i="37"/>
  <c r="A49" i="37"/>
  <c r="B49" i="37"/>
  <c r="C49" i="37"/>
  <c r="G49" i="37"/>
  <c r="A50" i="37"/>
  <c r="B50" i="37"/>
  <c r="C50" i="37"/>
  <c r="G50" i="37"/>
  <c r="A51" i="37"/>
  <c r="B51" i="37"/>
  <c r="C51" i="37"/>
  <c r="G51" i="37"/>
  <c r="A52" i="37"/>
  <c r="B52" i="37"/>
  <c r="C52" i="37"/>
  <c r="G52" i="37"/>
  <c r="A53" i="37"/>
  <c r="B53" i="37"/>
  <c r="C53" i="37"/>
  <c r="G53" i="37"/>
  <c r="A54" i="37"/>
  <c r="B54" i="37"/>
  <c r="C54" i="37"/>
  <c r="G54" i="37"/>
  <c r="A55" i="37"/>
  <c r="B55" i="37"/>
  <c r="C55" i="37"/>
  <c r="G55" i="37"/>
  <c r="A56" i="37"/>
  <c r="B56" i="37"/>
  <c r="C56" i="37"/>
  <c r="G56" i="37"/>
  <c r="A57" i="37"/>
  <c r="B57" i="37"/>
  <c r="C57" i="37"/>
  <c r="G57" i="37"/>
  <c r="A58" i="37"/>
  <c r="B58" i="37"/>
  <c r="C58" i="37"/>
  <c r="G58" i="37"/>
  <c r="A59" i="37"/>
  <c r="B59" i="37"/>
  <c r="C59" i="37"/>
  <c r="G59" i="37"/>
  <c r="A60" i="37"/>
  <c r="B60" i="37"/>
  <c r="C60" i="37"/>
  <c r="G60" i="37"/>
  <c r="A61" i="37"/>
  <c r="B61" i="37"/>
  <c r="C61" i="37"/>
  <c r="G61" i="37"/>
  <c r="A62" i="37"/>
  <c r="B62" i="37"/>
  <c r="C62" i="37"/>
  <c r="G62" i="37"/>
  <c r="A63" i="37"/>
  <c r="B63" i="37"/>
  <c r="C63" i="37"/>
  <c r="G63" i="37"/>
  <c r="A64" i="37"/>
  <c r="B64" i="37"/>
  <c r="C64" i="37"/>
  <c r="G64" i="37"/>
  <c r="A65" i="37"/>
  <c r="B65" i="37"/>
  <c r="C65" i="37"/>
  <c r="G65" i="37"/>
  <c r="A66" i="37"/>
  <c r="B66" i="37"/>
  <c r="C66" i="37"/>
  <c r="G66" i="37"/>
  <c r="A67" i="37"/>
  <c r="B67" i="37"/>
  <c r="C67" i="37"/>
  <c r="G67" i="37"/>
  <c r="A68" i="37"/>
  <c r="B68" i="37"/>
  <c r="C68" i="37"/>
  <c r="G68" i="37"/>
  <c r="A69" i="37"/>
  <c r="B69" i="37"/>
  <c r="C69" i="37"/>
  <c r="G69" i="37"/>
  <c r="A70" i="37"/>
  <c r="B70" i="37"/>
  <c r="C70" i="37"/>
  <c r="G70" i="37"/>
  <c r="A71" i="37"/>
  <c r="B71" i="37"/>
  <c r="C71" i="37"/>
  <c r="G71" i="37"/>
  <c r="A72" i="37"/>
  <c r="B72" i="37"/>
  <c r="C72" i="37"/>
  <c r="G72" i="37"/>
  <c r="A73" i="37"/>
  <c r="B73" i="37"/>
  <c r="C73" i="37"/>
  <c r="G73" i="37"/>
  <c r="A74" i="37"/>
  <c r="B74" i="37"/>
  <c r="C74" i="37"/>
  <c r="G74" i="37"/>
  <c r="A75" i="37"/>
  <c r="B75" i="37"/>
  <c r="C75" i="37"/>
  <c r="G75" i="37"/>
  <c r="A76" i="37"/>
  <c r="B76" i="37"/>
  <c r="C76" i="37"/>
  <c r="G76" i="37"/>
  <c r="A77" i="37"/>
  <c r="B77" i="37"/>
  <c r="C77" i="37"/>
  <c r="G77" i="37"/>
  <c r="A78" i="37"/>
  <c r="B78" i="37"/>
  <c r="C78" i="37"/>
  <c r="G78" i="37"/>
  <c r="A79" i="37"/>
  <c r="B79" i="37"/>
  <c r="C79" i="37"/>
  <c r="G79" i="37"/>
  <c r="A80" i="37"/>
  <c r="B80" i="37"/>
  <c r="C80" i="37"/>
  <c r="G80" i="37"/>
  <c r="A81" i="37"/>
  <c r="B81" i="37"/>
  <c r="C81" i="37"/>
  <c r="G81" i="37"/>
  <c r="A82" i="37"/>
  <c r="B82" i="37"/>
  <c r="C82" i="37"/>
  <c r="G82" i="37"/>
  <c r="A83" i="37"/>
  <c r="B83" i="37"/>
  <c r="C83" i="37"/>
  <c r="G83" i="37"/>
  <c r="A84" i="37"/>
  <c r="B84" i="37"/>
  <c r="C84" i="37"/>
  <c r="G84" i="37"/>
  <c r="A85" i="37"/>
  <c r="B85" i="37"/>
  <c r="C85" i="37"/>
  <c r="G85" i="37"/>
  <c r="A86" i="37"/>
  <c r="B86" i="37"/>
  <c r="C86" i="37"/>
  <c r="G86" i="37"/>
  <c r="A87" i="37"/>
  <c r="B87" i="37"/>
  <c r="C87" i="37"/>
  <c r="G87" i="37"/>
  <c r="A88" i="37"/>
  <c r="B88" i="37"/>
  <c r="C88" i="37"/>
  <c r="G88" i="37"/>
  <c r="A89" i="37"/>
  <c r="B89" i="37"/>
  <c r="C89" i="37"/>
  <c r="G89" i="37"/>
  <c r="A90" i="37"/>
  <c r="B90" i="37"/>
  <c r="C90" i="37"/>
  <c r="G90" i="37"/>
  <c r="A91" i="37"/>
  <c r="B91" i="37"/>
  <c r="C91" i="37"/>
  <c r="G91" i="37"/>
  <c r="A92" i="37"/>
  <c r="B92" i="37"/>
  <c r="C92" i="37"/>
  <c r="G92" i="37"/>
  <c r="A93" i="37"/>
  <c r="B93" i="37"/>
  <c r="C93" i="37"/>
  <c r="G93" i="37"/>
  <c r="A94" i="37"/>
  <c r="B94" i="37"/>
  <c r="C94" i="37"/>
  <c r="G94" i="37"/>
  <c r="A95" i="37"/>
  <c r="B95" i="37"/>
  <c r="C95" i="37"/>
  <c r="G95" i="37"/>
  <c r="A96" i="37"/>
  <c r="B96" i="37"/>
  <c r="C96" i="37"/>
  <c r="G96" i="37"/>
  <c r="A97" i="37"/>
  <c r="B97" i="37"/>
  <c r="C97" i="37"/>
  <c r="G97" i="37"/>
  <c r="A98" i="37"/>
  <c r="B98" i="37"/>
  <c r="C98" i="37"/>
  <c r="G98" i="37"/>
  <c r="A99" i="37"/>
  <c r="B99" i="37"/>
  <c r="C99" i="37"/>
  <c r="G99" i="37"/>
  <c r="A100" i="37"/>
  <c r="B100" i="37"/>
  <c r="C100" i="37"/>
  <c r="G100" i="37"/>
  <c r="A101" i="37"/>
  <c r="B101" i="37"/>
  <c r="C101" i="37"/>
  <c r="G101" i="37"/>
  <c r="A102" i="37"/>
  <c r="B102" i="37"/>
  <c r="C102" i="37"/>
  <c r="G102" i="37"/>
  <c r="A103" i="37"/>
  <c r="B103" i="37"/>
  <c r="C103" i="37"/>
  <c r="G103" i="37"/>
  <c r="A104" i="37"/>
  <c r="B104" i="37"/>
  <c r="C104" i="37"/>
  <c r="G104" i="37"/>
  <c r="A105" i="37"/>
  <c r="B105" i="37"/>
  <c r="C105" i="37"/>
  <c r="G105" i="37"/>
  <c r="A106" i="37"/>
  <c r="B106" i="37"/>
  <c r="C106" i="37"/>
  <c r="G106" i="37"/>
  <c r="A107" i="37"/>
  <c r="B107" i="37"/>
  <c r="C107" i="37"/>
  <c r="G107" i="37"/>
  <c r="A108" i="37"/>
  <c r="B108" i="37"/>
  <c r="C108" i="37"/>
  <c r="G108" i="37"/>
  <c r="A109" i="37"/>
  <c r="B109" i="37"/>
  <c r="C109" i="37"/>
  <c r="G109" i="37"/>
  <c r="A110" i="37"/>
  <c r="B110" i="37"/>
  <c r="C110" i="37"/>
  <c r="G110" i="37"/>
  <c r="A111" i="37"/>
  <c r="B111" i="37"/>
  <c r="C111" i="37"/>
  <c r="G111" i="37"/>
  <c r="A112" i="37"/>
  <c r="B112" i="37"/>
  <c r="C112" i="37"/>
  <c r="G112" i="37"/>
  <c r="A113" i="37"/>
  <c r="B113" i="37"/>
  <c r="C113" i="37"/>
  <c r="G113" i="37"/>
  <c r="A114" i="37"/>
  <c r="B114" i="37"/>
  <c r="C114" i="37"/>
  <c r="G114" i="37"/>
  <c r="A115" i="37"/>
  <c r="B115" i="37"/>
  <c r="C115" i="37"/>
  <c r="G115" i="37"/>
  <c r="A116" i="37"/>
  <c r="B116" i="37"/>
  <c r="C116" i="37"/>
  <c r="G116" i="37"/>
  <c r="A117" i="37"/>
  <c r="B117" i="37"/>
  <c r="C117" i="37"/>
  <c r="G117" i="37"/>
  <c r="A118" i="37"/>
  <c r="B118" i="37"/>
  <c r="C118" i="37"/>
  <c r="G118" i="37"/>
  <c r="A119" i="37"/>
  <c r="B119" i="37"/>
  <c r="C119" i="37"/>
  <c r="G119" i="37"/>
  <c r="A120" i="37"/>
  <c r="B120" i="37"/>
  <c r="C120" i="37"/>
  <c r="G120" i="37"/>
  <c r="A121" i="37"/>
  <c r="B121" i="37"/>
  <c r="C121" i="37"/>
  <c r="G121" i="37"/>
  <c r="A122" i="37"/>
  <c r="B122" i="37"/>
  <c r="C122" i="37"/>
  <c r="G122" i="37"/>
  <c r="A123" i="37"/>
  <c r="B123" i="37"/>
  <c r="C123" i="37"/>
  <c r="G123" i="37"/>
  <c r="A124" i="37"/>
  <c r="B124" i="37"/>
  <c r="C124" i="37"/>
  <c r="G124" i="37"/>
  <c r="A125" i="37"/>
  <c r="B125" i="37"/>
  <c r="C125" i="37"/>
  <c r="G125" i="37"/>
  <c r="A126" i="37"/>
  <c r="B126" i="37"/>
  <c r="C126" i="37"/>
  <c r="G126" i="37"/>
  <c r="A127" i="37"/>
  <c r="B127" i="37"/>
  <c r="C127" i="37"/>
  <c r="G127" i="37"/>
  <c r="A128" i="37"/>
  <c r="B128" i="37"/>
  <c r="C128" i="37"/>
  <c r="G128" i="37"/>
  <c r="A129" i="37"/>
  <c r="B129" i="37"/>
  <c r="C129" i="37"/>
  <c r="G129" i="37"/>
  <c r="A130" i="37"/>
  <c r="B130" i="37"/>
  <c r="C130" i="37"/>
  <c r="G130" i="37"/>
  <c r="A131" i="37"/>
  <c r="B131" i="37"/>
  <c r="C131" i="37"/>
  <c r="G131" i="37"/>
  <c r="A132" i="37"/>
  <c r="B132" i="37"/>
  <c r="C132" i="37"/>
  <c r="G132" i="37"/>
  <c r="A133" i="37"/>
  <c r="B133" i="37"/>
  <c r="C133" i="37"/>
  <c r="G133" i="37"/>
  <c r="A134" i="37"/>
  <c r="B134" i="37"/>
  <c r="C134" i="37"/>
  <c r="G134" i="37"/>
  <c r="A135" i="37"/>
  <c r="B135" i="37"/>
  <c r="C135" i="37"/>
  <c r="G135" i="37"/>
  <c r="A136" i="37"/>
  <c r="B136" i="37"/>
  <c r="C136" i="37"/>
  <c r="G136" i="37"/>
  <c r="A137" i="37"/>
  <c r="B137" i="37"/>
  <c r="C137" i="37"/>
  <c r="G137" i="37"/>
  <c r="A138" i="37"/>
  <c r="B138" i="37"/>
  <c r="C138" i="37"/>
  <c r="G138" i="37"/>
  <c r="A139" i="37"/>
  <c r="B139" i="37"/>
  <c r="C139" i="37"/>
  <c r="G139" i="37"/>
  <c r="A140" i="37"/>
  <c r="B140" i="37"/>
  <c r="C140" i="37"/>
  <c r="G140" i="37"/>
  <c r="A141" i="37"/>
  <c r="B141" i="37"/>
  <c r="C141" i="37"/>
  <c r="G141" i="37"/>
  <c r="A142" i="37"/>
  <c r="B142" i="37"/>
  <c r="C142" i="37"/>
  <c r="G142" i="37"/>
  <c r="A143" i="37"/>
  <c r="B143" i="37"/>
  <c r="C143" i="37"/>
  <c r="G143" i="37"/>
  <c r="A144" i="37"/>
  <c r="B144" i="37"/>
  <c r="C144" i="37"/>
  <c r="G144" i="37"/>
  <c r="A145" i="37"/>
  <c r="B145" i="37"/>
  <c r="C145" i="37"/>
  <c r="G145" i="37"/>
  <c r="A146" i="37"/>
  <c r="B146" i="37"/>
  <c r="C146" i="37"/>
  <c r="G146" i="37"/>
  <c r="A147" i="37"/>
  <c r="B147" i="37"/>
  <c r="C147" i="37"/>
  <c r="G147" i="37"/>
  <c r="A148" i="37"/>
  <c r="B148" i="37"/>
  <c r="C148" i="37"/>
  <c r="G148" i="37"/>
  <c r="A149" i="37"/>
  <c r="B149" i="37"/>
  <c r="C149" i="37"/>
  <c r="G149" i="37"/>
  <c r="A150" i="37"/>
  <c r="B150" i="37"/>
  <c r="C150" i="37"/>
  <c r="G150" i="37"/>
  <c r="A151" i="37"/>
  <c r="B151" i="37"/>
  <c r="C151" i="37"/>
  <c r="G151" i="37"/>
  <c r="A152" i="37"/>
  <c r="B152" i="37"/>
  <c r="C152" i="37"/>
  <c r="G152" i="37"/>
  <c r="A153" i="37"/>
  <c r="B153" i="37"/>
  <c r="C153" i="37"/>
  <c r="G153" i="37"/>
  <c r="A154" i="37"/>
  <c r="B154" i="37"/>
  <c r="C154" i="37"/>
  <c r="G154" i="37"/>
  <c r="A155" i="37"/>
  <c r="B155" i="37"/>
  <c r="C155" i="37"/>
  <c r="G155" i="37"/>
  <c r="A156" i="37"/>
  <c r="B156" i="37"/>
  <c r="C156" i="37"/>
  <c r="G156" i="37"/>
  <c r="A157" i="37"/>
  <c r="B157" i="37"/>
  <c r="C157" i="37"/>
  <c r="G157" i="37"/>
  <c r="A158" i="37"/>
  <c r="B158" i="37"/>
  <c r="C158" i="37"/>
  <c r="G158" i="37"/>
  <c r="A159" i="37"/>
  <c r="B159" i="37"/>
  <c r="C159" i="37"/>
  <c r="G159" i="37"/>
  <c r="A160" i="37"/>
  <c r="B160" i="37"/>
  <c r="C160" i="37"/>
  <c r="G160" i="37"/>
  <c r="A161" i="37"/>
  <c r="B161" i="37"/>
  <c r="C161" i="37"/>
  <c r="G161" i="37"/>
  <c r="A162" i="37"/>
  <c r="B162" i="37"/>
  <c r="C162" i="37"/>
  <c r="G162" i="37"/>
  <c r="A163" i="37"/>
  <c r="B163" i="37"/>
  <c r="C163" i="37"/>
  <c r="G163" i="37"/>
  <c r="A164" i="37"/>
  <c r="B164" i="37"/>
  <c r="C164" i="37"/>
  <c r="G164" i="37"/>
  <c r="A165" i="37"/>
  <c r="B165" i="37"/>
  <c r="C165" i="37"/>
  <c r="G165" i="37"/>
  <c r="A166" i="37"/>
  <c r="B166" i="37"/>
  <c r="C166" i="37"/>
  <c r="G166" i="37"/>
  <c r="A167" i="37"/>
  <c r="B167" i="37"/>
  <c r="C167" i="37"/>
  <c r="G167" i="37"/>
  <c r="A168" i="37"/>
  <c r="B168" i="37"/>
  <c r="C168" i="37"/>
  <c r="G168" i="37"/>
  <c r="A169" i="37"/>
  <c r="B169" i="37"/>
  <c r="C169" i="37"/>
  <c r="G169" i="37"/>
  <c r="A170" i="37"/>
  <c r="B170" i="37"/>
  <c r="C170" i="37"/>
  <c r="G170" i="37"/>
  <c r="A171" i="37"/>
  <c r="B171" i="37"/>
  <c r="C171" i="37"/>
  <c r="G171" i="37"/>
  <c r="A172" i="37"/>
  <c r="B172" i="37"/>
  <c r="C172" i="37"/>
  <c r="G172" i="37"/>
  <c r="A173" i="37"/>
  <c r="B173" i="37"/>
  <c r="C173" i="37"/>
  <c r="G173" i="37"/>
  <c r="A174" i="37"/>
  <c r="B174" i="37"/>
  <c r="C174" i="37"/>
  <c r="G174" i="37"/>
  <c r="A175" i="37"/>
  <c r="B175" i="37"/>
  <c r="C175" i="37"/>
  <c r="G175" i="37"/>
  <c r="A176" i="37"/>
  <c r="B176" i="37"/>
  <c r="C176" i="37"/>
  <c r="G176" i="37"/>
  <c r="A177" i="37"/>
  <c r="B177" i="37"/>
  <c r="C177" i="37"/>
  <c r="G177" i="37"/>
  <c r="A178" i="37"/>
  <c r="B178" i="37"/>
  <c r="C178" i="37"/>
  <c r="G178" i="37"/>
  <c r="A179" i="37"/>
  <c r="B179" i="37"/>
  <c r="C179" i="37"/>
  <c r="G179" i="37"/>
  <c r="A180" i="37"/>
  <c r="B180" i="37"/>
  <c r="C180" i="37"/>
  <c r="G180" i="37"/>
  <c r="A181" i="37"/>
  <c r="B181" i="37"/>
  <c r="C181" i="37"/>
  <c r="G181" i="37"/>
  <c r="A182" i="37"/>
  <c r="B182" i="37"/>
  <c r="C182" i="37"/>
  <c r="G182" i="37"/>
  <c r="A183" i="37"/>
  <c r="B183" i="37"/>
  <c r="C183" i="37"/>
  <c r="G183" i="37"/>
  <c r="A184" i="37"/>
  <c r="B184" i="37"/>
  <c r="C184" i="37"/>
  <c r="G184" i="37"/>
  <c r="A185" i="37"/>
  <c r="B185" i="37"/>
  <c r="C185" i="37"/>
  <c r="G185" i="37"/>
  <c r="A186" i="37"/>
  <c r="B186" i="37"/>
  <c r="C186" i="37"/>
  <c r="G186" i="37"/>
  <c r="A187" i="37"/>
  <c r="B187" i="37"/>
  <c r="C187" i="37"/>
  <c r="G187" i="37"/>
  <c r="A188" i="37"/>
  <c r="B188" i="37"/>
  <c r="C188" i="37"/>
  <c r="G188" i="37"/>
  <c r="A189" i="37"/>
  <c r="B189" i="37"/>
  <c r="C189" i="37"/>
  <c r="G189" i="37"/>
  <c r="A190" i="37"/>
  <c r="B190" i="37"/>
  <c r="C190" i="37"/>
  <c r="G190" i="37"/>
  <c r="A191" i="37"/>
  <c r="B191" i="37"/>
  <c r="C191" i="37"/>
  <c r="G191" i="37"/>
  <c r="A192" i="37"/>
  <c r="B192" i="37"/>
  <c r="C192" i="37"/>
  <c r="G192" i="37"/>
  <c r="A193" i="37"/>
  <c r="B193" i="37"/>
  <c r="C193" i="37"/>
  <c r="G193" i="37"/>
  <c r="A194" i="37"/>
  <c r="B194" i="37"/>
  <c r="C194" i="37"/>
  <c r="G194" i="37"/>
  <c r="A195" i="37"/>
  <c r="B195" i="37"/>
  <c r="C195" i="37"/>
  <c r="G195" i="37"/>
  <c r="A196" i="37"/>
  <c r="B196" i="37"/>
  <c r="C196" i="37"/>
  <c r="G196" i="37"/>
  <c r="A197" i="37"/>
  <c r="B197" i="37"/>
  <c r="C197" i="37"/>
  <c r="G197" i="37"/>
  <c r="A198" i="37"/>
  <c r="B198" i="37"/>
  <c r="C198" i="37"/>
  <c r="G198" i="37"/>
  <c r="A199" i="37"/>
  <c r="B199" i="37"/>
  <c r="C199" i="37"/>
  <c r="G199" i="37"/>
  <c r="A200" i="37"/>
  <c r="B200" i="37"/>
  <c r="C200" i="37"/>
  <c r="G200" i="37"/>
  <c r="A201" i="37"/>
  <c r="B201" i="37"/>
  <c r="C201" i="37"/>
  <c r="G201" i="37"/>
  <c r="A202" i="37"/>
  <c r="B202" i="37"/>
  <c r="C202" i="37"/>
  <c r="G202" i="37"/>
  <c r="A203" i="37"/>
  <c r="B203" i="37"/>
  <c r="C203" i="37"/>
  <c r="G203" i="37"/>
  <c r="A204" i="37"/>
  <c r="B204" i="37"/>
  <c r="C204" i="37"/>
  <c r="G204" i="37"/>
  <c r="A205" i="37"/>
  <c r="B205" i="37"/>
  <c r="C205" i="37"/>
  <c r="G205" i="37"/>
  <c r="A206" i="37"/>
  <c r="B206" i="37"/>
  <c r="C206" i="37"/>
  <c r="G206" i="37"/>
  <c r="A207" i="37"/>
  <c r="B207" i="37"/>
  <c r="C207" i="37"/>
  <c r="G207" i="37"/>
  <c r="A208" i="37"/>
  <c r="B208" i="37"/>
  <c r="C208" i="37"/>
  <c r="G208" i="37"/>
  <c r="A209" i="37"/>
  <c r="B209" i="37"/>
  <c r="C209" i="37"/>
  <c r="G209" i="37"/>
  <c r="A210" i="37"/>
  <c r="B210" i="37"/>
  <c r="C210" i="37"/>
  <c r="G210" i="37"/>
  <c r="A211" i="37"/>
  <c r="B211" i="37"/>
  <c r="C211" i="37"/>
  <c r="G211" i="37"/>
  <c r="A212" i="37"/>
  <c r="B212" i="37"/>
  <c r="C212" i="37"/>
  <c r="G212" i="37"/>
  <c r="A213" i="37"/>
  <c r="B213" i="37"/>
  <c r="C213" i="37"/>
  <c r="G213" i="37"/>
  <c r="A214" i="37"/>
  <c r="B214" i="37"/>
  <c r="C214" i="37"/>
  <c r="G214" i="37"/>
  <c r="A215" i="37"/>
  <c r="B215" i="37"/>
  <c r="C215" i="37"/>
  <c r="G215" i="37"/>
  <c r="A216" i="37"/>
  <c r="B216" i="37"/>
  <c r="C216" i="37"/>
  <c r="G216" i="37"/>
  <c r="A217" i="37"/>
  <c r="B217" i="37"/>
  <c r="C217" i="37"/>
  <c r="G217" i="37"/>
  <c r="A218" i="37"/>
  <c r="B218" i="37"/>
  <c r="C218" i="37"/>
  <c r="G218" i="37"/>
  <c r="A219" i="37"/>
  <c r="B219" i="37"/>
  <c r="C219" i="37"/>
  <c r="G219" i="37"/>
  <c r="A220" i="37"/>
  <c r="B220" i="37"/>
  <c r="C220" i="37"/>
  <c r="G220" i="37"/>
  <c r="A221" i="37"/>
  <c r="B221" i="37"/>
  <c r="C221" i="37"/>
  <c r="G221" i="37"/>
  <c r="A222" i="37"/>
  <c r="B222" i="37"/>
  <c r="C222" i="37"/>
  <c r="G222" i="37"/>
  <c r="A223" i="37"/>
  <c r="B223" i="37"/>
  <c r="C223" i="37"/>
  <c r="G223" i="37"/>
  <c r="A224" i="37"/>
  <c r="B224" i="37"/>
  <c r="C224" i="37"/>
  <c r="G224" i="37"/>
  <c r="A225" i="37"/>
  <c r="B225" i="37"/>
  <c r="C225" i="37"/>
  <c r="G225" i="37"/>
  <c r="A226" i="37"/>
  <c r="B226" i="37"/>
  <c r="C226" i="37"/>
  <c r="G226" i="37"/>
  <c r="A227" i="37"/>
  <c r="B227" i="37"/>
  <c r="C227" i="37"/>
  <c r="G227" i="37"/>
  <c r="A228" i="37"/>
  <c r="B228" i="37"/>
  <c r="C228" i="37"/>
  <c r="G228" i="37"/>
  <c r="A229" i="37"/>
  <c r="B229" i="37"/>
  <c r="C229" i="37"/>
  <c r="G229" i="37"/>
  <c r="A230" i="37"/>
  <c r="B230" i="37"/>
  <c r="C230" i="37"/>
  <c r="G230" i="37"/>
  <c r="A231" i="37"/>
  <c r="B231" i="37"/>
  <c r="C231" i="37"/>
  <c r="G231" i="37"/>
  <c r="A232" i="37"/>
  <c r="B232" i="37"/>
  <c r="C232" i="37"/>
  <c r="G232" i="37"/>
  <c r="A233" i="37"/>
  <c r="B233" i="37"/>
  <c r="C233" i="37"/>
  <c r="G233" i="37"/>
  <c r="A234" i="37"/>
  <c r="B234" i="37"/>
  <c r="C234" i="37"/>
  <c r="G234" i="37"/>
  <c r="A235" i="37"/>
  <c r="B235" i="37"/>
  <c r="C235" i="37"/>
  <c r="G235" i="37"/>
  <c r="A236" i="37"/>
  <c r="B236" i="37"/>
  <c r="C236" i="37"/>
  <c r="G236" i="37"/>
  <c r="A237" i="37"/>
  <c r="B237" i="37"/>
  <c r="C237" i="37"/>
  <c r="G237" i="37"/>
  <c r="A238" i="37"/>
  <c r="B238" i="37"/>
  <c r="C238" i="37"/>
  <c r="G238" i="37"/>
  <c r="A239" i="37"/>
  <c r="B239" i="37"/>
  <c r="C239" i="37"/>
  <c r="G239" i="37"/>
  <c r="A240" i="37"/>
  <c r="B240" i="37"/>
  <c r="C240" i="37"/>
  <c r="G240" i="37"/>
  <c r="A241" i="37"/>
  <c r="B241" i="37"/>
  <c r="C241" i="37"/>
  <c r="G241" i="37"/>
  <c r="A242" i="37"/>
  <c r="B242" i="37"/>
  <c r="C242" i="37"/>
  <c r="G242" i="37"/>
  <c r="A243" i="37"/>
  <c r="B243" i="37"/>
  <c r="C243" i="37"/>
  <c r="G243" i="37"/>
  <c r="A244" i="37"/>
  <c r="B244" i="37"/>
  <c r="C244" i="37"/>
  <c r="G244" i="37"/>
  <c r="A245" i="37"/>
  <c r="B245" i="37"/>
  <c r="C245" i="37"/>
  <c r="G245" i="37"/>
  <c r="A246" i="37"/>
  <c r="B246" i="37"/>
  <c r="C246" i="37"/>
  <c r="G246" i="37"/>
  <c r="A247" i="37"/>
  <c r="B247" i="37"/>
  <c r="C247" i="37"/>
  <c r="G247" i="37"/>
  <c r="A248" i="37"/>
  <c r="B248" i="37"/>
  <c r="C248" i="37"/>
  <c r="G248" i="37"/>
  <c r="A249" i="37"/>
  <c r="B249" i="37"/>
  <c r="C249" i="37"/>
  <c r="G249" i="37"/>
  <c r="A250" i="37"/>
  <c r="B250" i="37"/>
  <c r="C250" i="37"/>
  <c r="G250" i="37"/>
  <c r="A251" i="37"/>
  <c r="B251" i="37"/>
  <c r="C251" i="37"/>
  <c r="G251" i="37"/>
  <c r="A252" i="37"/>
  <c r="B252" i="37"/>
  <c r="C252" i="37"/>
  <c r="G252" i="37"/>
  <c r="A253" i="37"/>
  <c r="B253" i="37"/>
  <c r="C253" i="37"/>
  <c r="G253" i="37"/>
  <c r="A254" i="37"/>
  <c r="B254" i="37"/>
  <c r="C254" i="37"/>
  <c r="G254" i="37"/>
  <c r="A255" i="37"/>
  <c r="B255" i="37"/>
  <c r="C255" i="37"/>
  <c r="G255" i="37"/>
  <c r="A256" i="37"/>
  <c r="B256" i="37"/>
  <c r="C256" i="37"/>
  <c r="G256" i="37"/>
  <c r="A257" i="37"/>
  <c r="B257" i="37"/>
  <c r="C257" i="37"/>
  <c r="G257" i="37"/>
  <c r="A258" i="37"/>
  <c r="B258" i="37"/>
  <c r="C258" i="37"/>
  <c r="G258" i="37"/>
  <c r="A259" i="37"/>
  <c r="B259" i="37"/>
  <c r="C259" i="37"/>
  <c r="G259" i="37"/>
  <c r="A260" i="37"/>
  <c r="B260" i="37"/>
  <c r="C260" i="37"/>
  <c r="G260" i="37"/>
  <c r="A261" i="37"/>
  <c r="B261" i="37"/>
  <c r="C261" i="37"/>
  <c r="G261" i="37"/>
  <c r="A262" i="37"/>
  <c r="B262" i="37"/>
  <c r="C262" i="37"/>
  <c r="G262" i="37"/>
  <c r="A263" i="37"/>
  <c r="B263" i="37"/>
  <c r="C263" i="37"/>
  <c r="G263" i="37"/>
  <c r="A264" i="37"/>
  <c r="B264" i="37"/>
  <c r="C264" i="37"/>
  <c r="G264" i="37"/>
  <c r="A265" i="37"/>
  <c r="B265" i="37"/>
  <c r="C265" i="37"/>
  <c r="G265" i="37"/>
  <c r="A266" i="37"/>
  <c r="B266" i="37"/>
  <c r="C266" i="37"/>
  <c r="G266" i="37"/>
  <c r="A267" i="37"/>
  <c r="B267" i="37"/>
  <c r="C267" i="37"/>
  <c r="G267" i="37"/>
  <c r="A268" i="37"/>
  <c r="B268" i="37"/>
  <c r="C268" i="37"/>
  <c r="G268" i="37"/>
  <c r="A269" i="37"/>
  <c r="B269" i="37"/>
  <c r="C269" i="37"/>
  <c r="G269" i="37"/>
  <c r="A270" i="37"/>
  <c r="B270" i="37"/>
  <c r="C270" i="37"/>
  <c r="G270" i="37"/>
  <c r="A271" i="37"/>
  <c r="B271" i="37"/>
  <c r="C271" i="37"/>
  <c r="G271" i="37"/>
  <c r="A272" i="37"/>
  <c r="B272" i="37"/>
  <c r="C272" i="37"/>
  <c r="G272" i="37"/>
  <c r="A273" i="37"/>
  <c r="B273" i="37"/>
  <c r="C273" i="37"/>
  <c r="G273" i="37"/>
  <c r="A274" i="37"/>
  <c r="B274" i="37"/>
  <c r="C274" i="37"/>
  <c r="G274" i="37"/>
  <c r="A275" i="37"/>
  <c r="B275" i="37"/>
  <c r="C275" i="37"/>
  <c r="G275" i="37"/>
  <c r="A276" i="37"/>
  <c r="B276" i="37"/>
  <c r="C276" i="37"/>
  <c r="G276" i="37"/>
  <c r="A277" i="37"/>
  <c r="B277" i="37"/>
  <c r="C277" i="37"/>
  <c r="G277" i="37"/>
  <c r="A278" i="37"/>
  <c r="B278" i="37"/>
  <c r="C278" i="37"/>
  <c r="G278" i="37"/>
  <c r="A279" i="37"/>
  <c r="B279" i="37"/>
  <c r="C279" i="37"/>
  <c r="G279" i="37"/>
  <c r="A280" i="37"/>
  <c r="B280" i="37"/>
  <c r="C280" i="37"/>
  <c r="G280" i="37"/>
  <c r="A281" i="37"/>
  <c r="B281" i="37"/>
  <c r="C281" i="37"/>
  <c r="G281" i="37"/>
  <c r="A282" i="37"/>
  <c r="B282" i="37"/>
  <c r="C282" i="37"/>
  <c r="G282" i="37"/>
  <c r="A283" i="37"/>
  <c r="B283" i="37"/>
  <c r="C283" i="37"/>
  <c r="G283" i="37"/>
  <c r="A284" i="37"/>
  <c r="B284" i="37"/>
  <c r="C284" i="37"/>
  <c r="G284" i="37"/>
  <c r="A285" i="37"/>
  <c r="B285" i="37"/>
  <c r="C285" i="37"/>
  <c r="G285" i="37"/>
  <c r="A286" i="37"/>
  <c r="B286" i="37"/>
  <c r="C286" i="37"/>
  <c r="G286" i="37"/>
  <c r="A287" i="37"/>
  <c r="B287" i="37"/>
  <c r="C287" i="37"/>
  <c r="G287" i="37"/>
  <c r="A288" i="37"/>
  <c r="B288" i="37"/>
  <c r="C288" i="37"/>
  <c r="G288" i="37"/>
  <c r="A289" i="37"/>
  <c r="B289" i="37"/>
  <c r="C289" i="37"/>
  <c r="G289" i="37"/>
  <c r="A290" i="37"/>
  <c r="B290" i="37"/>
  <c r="C290" i="37"/>
  <c r="G290" i="37"/>
  <c r="A291" i="37"/>
  <c r="B291" i="37"/>
  <c r="C291" i="37"/>
  <c r="G291" i="37"/>
  <c r="A292" i="37"/>
  <c r="B292" i="37"/>
  <c r="C292" i="37"/>
  <c r="G292" i="37"/>
  <c r="A293" i="37"/>
  <c r="B293" i="37"/>
  <c r="C293" i="37"/>
  <c r="G293" i="37"/>
  <c r="A294" i="37"/>
  <c r="B294" i="37"/>
  <c r="C294" i="37"/>
  <c r="G294" i="37"/>
  <c r="A295" i="37"/>
  <c r="B295" i="37"/>
  <c r="C295" i="37"/>
  <c r="G295" i="37"/>
  <c r="A296" i="37"/>
  <c r="B296" i="37"/>
  <c r="C296" i="37"/>
  <c r="G296" i="37"/>
  <c r="A297" i="37"/>
  <c r="B297" i="37"/>
  <c r="C297" i="37"/>
  <c r="G297" i="37"/>
  <c r="A298" i="37"/>
  <c r="B298" i="37"/>
  <c r="C298" i="37"/>
  <c r="G298" i="37"/>
  <c r="A299" i="37"/>
  <c r="B299" i="37"/>
  <c r="C299" i="37"/>
  <c r="G299" i="37"/>
  <c r="A300" i="37"/>
  <c r="B300" i="37"/>
  <c r="C300" i="37"/>
  <c r="G300" i="37"/>
  <c r="A301" i="37"/>
  <c r="B301" i="37"/>
  <c r="C301" i="37"/>
  <c r="G301" i="37"/>
  <c r="A302" i="37"/>
  <c r="B302" i="37"/>
  <c r="C302" i="37"/>
  <c r="G302" i="37"/>
  <c r="A303" i="37"/>
  <c r="B303" i="37"/>
  <c r="C303" i="37"/>
  <c r="G303" i="37"/>
  <c r="A304" i="37"/>
  <c r="B304" i="37"/>
  <c r="C304" i="37"/>
  <c r="G304" i="37"/>
  <c r="A305" i="37"/>
  <c r="B305" i="37"/>
  <c r="C305" i="37"/>
  <c r="G305" i="37"/>
  <c r="A306" i="37"/>
  <c r="B306" i="37"/>
  <c r="C306" i="37"/>
  <c r="G306" i="37"/>
  <c r="A307" i="37"/>
  <c r="B307" i="37"/>
  <c r="C307" i="37"/>
  <c r="G307" i="37"/>
  <c r="A308" i="37"/>
  <c r="B308" i="37"/>
  <c r="C308" i="37"/>
  <c r="G308" i="37"/>
  <c r="A309" i="37"/>
  <c r="B309" i="37"/>
  <c r="C309" i="37"/>
  <c r="G309" i="37"/>
  <c r="A310" i="37"/>
  <c r="B310" i="37"/>
  <c r="C310" i="37"/>
  <c r="G310" i="37"/>
  <c r="A311" i="37"/>
  <c r="B311" i="37"/>
  <c r="C311" i="37"/>
  <c r="G311" i="37"/>
  <c r="A312" i="37"/>
  <c r="B312" i="37"/>
  <c r="C312" i="37"/>
  <c r="G312" i="37"/>
  <c r="A313" i="37"/>
  <c r="B313" i="37"/>
  <c r="C313" i="37"/>
  <c r="G313" i="37"/>
  <c r="A9" i="36"/>
  <c r="B9" i="36"/>
  <c r="C9" i="36"/>
  <c r="A10" i="36"/>
  <c r="B10" i="36"/>
  <c r="C10" i="36"/>
  <c r="A11" i="36"/>
  <c r="B11" i="36"/>
  <c r="C11" i="36"/>
  <c r="A12" i="36"/>
  <c r="B12" i="36"/>
  <c r="C12" i="36"/>
  <c r="A13" i="36"/>
  <c r="B13" i="36"/>
  <c r="C13" i="36"/>
  <c r="A14" i="36"/>
  <c r="B14" i="36"/>
  <c r="C14" i="36"/>
  <c r="A15" i="36"/>
  <c r="B15" i="36"/>
  <c r="C15" i="36"/>
  <c r="A16" i="36"/>
  <c r="B16" i="36"/>
  <c r="C16" i="36"/>
  <c r="A17" i="36"/>
  <c r="B17" i="36"/>
  <c r="C17" i="36"/>
  <c r="A18" i="36"/>
  <c r="B18" i="36"/>
  <c r="C18" i="36"/>
  <c r="A19" i="36"/>
  <c r="B19" i="36"/>
  <c r="C19" i="36"/>
  <c r="A20" i="36"/>
  <c r="B20" i="36"/>
  <c r="C20" i="36"/>
  <c r="A21" i="36"/>
  <c r="B21" i="36"/>
  <c r="C21" i="36"/>
  <c r="A22" i="36"/>
  <c r="B22" i="36"/>
  <c r="C22" i="36"/>
  <c r="A23" i="36"/>
  <c r="B23" i="36"/>
  <c r="C23" i="36"/>
  <c r="A24" i="36"/>
  <c r="B24" i="36"/>
  <c r="C24" i="36"/>
  <c r="A25" i="36"/>
  <c r="B25" i="36"/>
  <c r="C25" i="36"/>
  <c r="A26" i="36"/>
  <c r="B26" i="36"/>
  <c r="C26" i="36"/>
  <c r="A27" i="36"/>
  <c r="B27" i="36"/>
  <c r="C27" i="36"/>
  <c r="A28" i="36"/>
  <c r="B28" i="36"/>
  <c r="C28" i="36"/>
  <c r="A29" i="36"/>
  <c r="B29" i="36"/>
  <c r="C29" i="36"/>
  <c r="A30" i="36"/>
  <c r="B30" i="36"/>
  <c r="C30" i="36"/>
  <c r="A31" i="36"/>
  <c r="B31" i="36"/>
  <c r="C31" i="36"/>
  <c r="A32" i="36"/>
  <c r="B32" i="36"/>
  <c r="C32" i="36"/>
  <c r="A33" i="36"/>
  <c r="B33" i="36"/>
  <c r="C33" i="36"/>
  <c r="A34" i="36"/>
  <c r="B34" i="36"/>
  <c r="C34" i="36"/>
  <c r="A35" i="36"/>
  <c r="B35" i="36"/>
  <c r="C35" i="36"/>
  <c r="A36" i="36"/>
  <c r="B36" i="36"/>
  <c r="C36" i="36"/>
  <c r="A37" i="36"/>
  <c r="B37" i="36"/>
  <c r="C37" i="36"/>
  <c r="A38" i="36"/>
  <c r="B38" i="36"/>
  <c r="C38" i="36"/>
  <c r="A39" i="36"/>
  <c r="B39" i="36"/>
  <c r="C39" i="36"/>
  <c r="A40" i="36"/>
  <c r="B40" i="36"/>
  <c r="C40" i="36"/>
  <c r="A41" i="36"/>
  <c r="B41" i="36"/>
  <c r="C41" i="36"/>
  <c r="A42" i="36"/>
  <c r="B42" i="36"/>
  <c r="C42" i="36"/>
  <c r="A43" i="36"/>
  <c r="B43" i="36"/>
  <c r="C43" i="36"/>
  <c r="A44" i="36"/>
  <c r="B44" i="36"/>
  <c r="C44" i="36"/>
  <c r="A45" i="36"/>
  <c r="B45" i="36"/>
  <c r="C45" i="36"/>
  <c r="A46" i="36"/>
  <c r="B46" i="36"/>
  <c r="C46" i="36"/>
  <c r="A47" i="36"/>
  <c r="B47" i="36"/>
  <c r="C47" i="36"/>
  <c r="A48" i="36"/>
  <c r="B48" i="36"/>
  <c r="C48" i="36"/>
  <c r="A49" i="36"/>
  <c r="B49" i="36"/>
  <c r="C49" i="36"/>
  <c r="A50" i="36"/>
  <c r="B50" i="36"/>
  <c r="C50" i="36"/>
  <c r="A51" i="36"/>
  <c r="B51" i="36"/>
  <c r="C51" i="36"/>
  <c r="A52" i="36"/>
  <c r="B52" i="36"/>
  <c r="C52" i="36"/>
  <c r="A53" i="36"/>
  <c r="B53" i="36"/>
  <c r="C53" i="36"/>
  <c r="A54" i="36"/>
  <c r="B54" i="36"/>
  <c r="C54" i="36"/>
  <c r="A55" i="36"/>
  <c r="B55" i="36"/>
  <c r="C55" i="36"/>
  <c r="A56" i="36"/>
  <c r="B56" i="36"/>
  <c r="C56" i="36"/>
  <c r="A57" i="36"/>
  <c r="B57" i="36"/>
  <c r="C57" i="36"/>
  <c r="A58" i="36"/>
  <c r="B58" i="36"/>
  <c r="C58" i="36"/>
  <c r="A59" i="36"/>
  <c r="B59" i="36"/>
  <c r="C59" i="36"/>
  <c r="A60" i="36"/>
  <c r="B60" i="36"/>
  <c r="C60" i="36"/>
  <c r="A61" i="36"/>
  <c r="B61" i="36"/>
  <c r="C61" i="36"/>
  <c r="A62" i="36"/>
  <c r="B62" i="36"/>
  <c r="C62" i="36"/>
  <c r="A63" i="36"/>
  <c r="B63" i="36"/>
  <c r="C63" i="36"/>
  <c r="A64" i="36"/>
  <c r="B64" i="36"/>
  <c r="C64" i="36"/>
  <c r="A65" i="36"/>
  <c r="B65" i="36"/>
  <c r="C65" i="36"/>
  <c r="A66" i="36"/>
  <c r="B66" i="36"/>
  <c r="C66" i="36"/>
  <c r="A67" i="36"/>
  <c r="B67" i="36"/>
  <c r="C67" i="36"/>
  <c r="A68" i="36"/>
  <c r="B68" i="36"/>
  <c r="C68" i="36"/>
  <c r="A69" i="36"/>
  <c r="B69" i="36"/>
  <c r="C69" i="36"/>
  <c r="A70" i="36"/>
  <c r="B70" i="36"/>
  <c r="C70" i="36"/>
  <c r="A71" i="36"/>
  <c r="B71" i="36"/>
  <c r="C71" i="36"/>
  <c r="A72" i="36"/>
  <c r="B72" i="36"/>
  <c r="C72" i="36"/>
  <c r="A73" i="36"/>
  <c r="B73" i="36"/>
  <c r="C73" i="36"/>
  <c r="A74" i="36"/>
  <c r="B74" i="36"/>
  <c r="C74" i="36"/>
  <c r="A75" i="36"/>
  <c r="B75" i="36"/>
  <c r="C75" i="36"/>
  <c r="A76" i="36"/>
  <c r="B76" i="36"/>
  <c r="C76" i="36"/>
  <c r="A77" i="36"/>
  <c r="B77" i="36"/>
  <c r="C77" i="36"/>
  <c r="A78" i="36"/>
  <c r="B78" i="36"/>
  <c r="C78" i="36"/>
  <c r="A79" i="36"/>
  <c r="B79" i="36"/>
  <c r="C79" i="36"/>
  <c r="A80" i="36"/>
  <c r="B80" i="36"/>
  <c r="C80" i="36"/>
  <c r="A81" i="36"/>
  <c r="B81" i="36"/>
  <c r="C81" i="36"/>
  <c r="A82" i="36"/>
  <c r="B82" i="36"/>
  <c r="C82" i="36"/>
  <c r="A83" i="36"/>
  <c r="B83" i="36"/>
  <c r="C83" i="36"/>
  <c r="A84" i="36"/>
  <c r="B84" i="36"/>
  <c r="C84" i="36"/>
  <c r="A85" i="36"/>
  <c r="B85" i="36"/>
  <c r="C85" i="36"/>
  <c r="A86" i="36"/>
  <c r="B86" i="36"/>
  <c r="C86" i="36"/>
  <c r="A87" i="36"/>
  <c r="B87" i="36"/>
  <c r="C87" i="36"/>
  <c r="A88" i="36"/>
  <c r="B88" i="36"/>
  <c r="C88" i="36"/>
  <c r="A89" i="36"/>
  <c r="B89" i="36"/>
  <c r="C89" i="36"/>
  <c r="A90" i="36"/>
  <c r="B90" i="36"/>
  <c r="C90" i="36"/>
  <c r="A91" i="36"/>
  <c r="B91" i="36"/>
  <c r="C91" i="36"/>
  <c r="A92" i="36"/>
  <c r="B92" i="36"/>
  <c r="C92" i="36"/>
  <c r="A93" i="36"/>
  <c r="B93" i="36"/>
  <c r="C93" i="36"/>
  <c r="A94" i="36"/>
  <c r="B94" i="36"/>
  <c r="C94" i="36"/>
  <c r="A95" i="36"/>
  <c r="B95" i="36"/>
  <c r="C95" i="36"/>
  <c r="A96" i="36"/>
  <c r="B96" i="36"/>
  <c r="C96" i="36"/>
  <c r="A97" i="36"/>
  <c r="B97" i="36"/>
  <c r="C97" i="36"/>
  <c r="A98" i="36"/>
  <c r="B98" i="36"/>
  <c r="C98" i="36"/>
  <c r="A99" i="36"/>
  <c r="B99" i="36"/>
  <c r="C99" i="36"/>
  <c r="A100" i="36"/>
  <c r="B100" i="36"/>
  <c r="C100" i="36"/>
  <c r="A101" i="36"/>
  <c r="B101" i="36"/>
  <c r="C101" i="36"/>
  <c r="A102" i="36"/>
  <c r="B102" i="36"/>
  <c r="C102" i="36"/>
  <c r="A103" i="36"/>
  <c r="B103" i="36"/>
  <c r="C103" i="36"/>
  <c r="A104" i="36"/>
  <c r="B104" i="36"/>
  <c r="C104" i="36"/>
  <c r="A105" i="36"/>
  <c r="B105" i="36"/>
  <c r="C105" i="36"/>
  <c r="A106" i="36"/>
  <c r="B106" i="36"/>
  <c r="C106" i="36"/>
  <c r="A107" i="36"/>
  <c r="B107" i="36"/>
  <c r="C107" i="36"/>
  <c r="A108" i="36"/>
  <c r="B108" i="36"/>
  <c r="C108" i="36"/>
  <c r="A109" i="36"/>
  <c r="B109" i="36"/>
  <c r="C109" i="36"/>
  <c r="A110" i="36"/>
  <c r="B110" i="36"/>
  <c r="C110" i="36"/>
  <c r="A111" i="36"/>
  <c r="B111" i="36"/>
  <c r="C111" i="36"/>
  <c r="A112" i="36"/>
  <c r="B112" i="36"/>
  <c r="C112" i="36"/>
  <c r="A113" i="36"/>
  <c r="B113" i="36"/>
  <c r="C113" i="36"/>
  <c r="A114" i="36"/>
  <c r="B114" i="36"/>
  <c r="C114" i="36"/>
  <c r="A115" i="36"/>
  <c r="B115" i="36"/>
  <c r="C115" i="36"/>
  <c r="A116" i="36"/>
  <c r="B116" i="36"/>
  <c r="C116" i="36"/>
  <c r="A117" i="36"/>
  <c r="B117" i="36"/>
  <c r="C117" i="36"/>
  <c r="A118" i="36"/>
  <c r="B118" i="36"/>
  <c r="C118" i="36"/>
  <c r="A119" i="36"/>
  <c r="B119" i="36"/>
  <c r="C119" i="36"/>
  <c r="A120" i="36"/>
  <c r="B120" i="36"/>
  <c r="C120" i="36"/>
  <c r="A121" i="36"/>
  <c r="B121" i="36"/>
  <c r="C121" i="36"/>
  <c r="A122" i="36"/>
  <c r="B122" i="36"/>
  <c r="C122" i="36"/>
  <c r="A123" i="36"/>
  <c r="B123" i="36"/>
  <c r="C123" i="36"/>
  <c r="A124" i="36"/>
  <c r="B124" i="36"/>
  <c r="C124" i="36"/>
  <c r="A125" i="36"/>
  <c r="B125" i="36"/>
  <c r="C125" i="36"/>
  <c r="A126" i="36"/>
  <c r="B126" i="36"/>
  <c r="C126" i="36"/>
  <c r="A127" i="36"/>
  <c r="B127" i="36"/>
  <c r="C127" i="36"/>
  <c r="A128" i="36"/>
  <c r="B128" i="36"/>
  <c r="C128" i="36"/>
  <c r="A129" i="36"/>
  <c r="B129" i="36"/>
  <c r="C129" i="36"/>
  <c r="A130" i="36"/>
  <c r="B130" i="36"/>
  <c r="C130" i="36"/>
  <c r="A131" i="36"/>
  <c r="B131" i="36"/>
  <c r="C131" i="36"/>
  <c r="A132" i="36"/>
  <c r="B132" i="36"/>
  <c r="C132" i="36"/>
  <c r="A133" i="36"/>
  <c r="B133" i="36"/>
  <c r="C133" i="36"/>
  <c r="A134" i="36"/>
  <c r="B134" i="36"/>
  <c r="C134" i="36"/>
  <c r="A135" i="36"/>
  <c r="B135" i="36"/>
  <c r="C135" i="36"/>
  <c r="A136" i="36"/>
  <c r="B136" i="36"/>
  <c r="C136" i="36"/>
  <c r="A137" i="36"/>
  <c r="B137" i="36"/>
  <c r="C137" i="36"/>
  <c r="A138" i="36"/>
  <c r="B138" i="36"/>
  <c r="C138" i="36"/>
  <c r="A139" i="36"/>
  <c r="B139" i="36"/>
  <c r="C139" i="36"/>
  <c r="A140" i="36"/>
  <c r="B140" i="36"/>
  <c r="C140" i="36"/>
  <c r="A141" i="36"/>
  <c r="B141" i="36"/>
  <c r="C141" i="36"/>
  <c r="A142" i="36"/>
  <c r="B142" i="36"/>
  <c r="C142" i="36"/>
  <c r="A143" i="36"/>
  <c r="B143" i="36"/>
  <c r="C143" i="36"/>
  <c r="A144" i="36"/>
  <c r="B144" i="36"/>
  <c r="C144" i="36"/>
  <c r="A145" i="36"/>
  <c r="B145" i="36"/>
  <c r="C145" i="36"/>
  <c r="A146" i="36"/>
  <c r="B146" i="36"/>
  <c r="C146" i="36"/>
  <c r="A147" i="36"/>
  <c r="B147" i="36"/>
  <c r="C147" i="36"/>
  <c r="A148" i="36"/>
  <c r="B148" i="36"/>
  <c r="C148" i="36"/>
  <c r="A149" i="36"/>
  <c r="B149" i="36"/>
  <c r="C149" i="36"/>
  <c r="A150" i="36"/>
  <c r="B150" i="36"/>
  <c r="C150" i="36"/>
  <c r="A151" i="36"/>
  <c r="B151" i="36"/>
  <c r="C151" i="36"/>
  <c r="A152" i="36"/>
  <c r="B152" i="36"/>
  <c r="C152" i="36"/>
  <c r="A153" i="36"/>
  <c r="B153" i="36"/>
  <c r="C153" i="36"/>
  <c r="A154" i="36"/>
  <c r="B154" i="36"/>
  <c r="C154" i="36"/>
  <c r="A155" i="36"/>
  <c r="B155" i="36"/>
  <c r="C155" i="36"/>
  <c r="A156" i="36"/>
  <c r="B156" i="36"/>
  <c r="C156" i="36"/>
  <c r="A157" i="36"/>
  <c r="B157" i="36"/>
  <c r="C157" i="36"/>
  <c r="A158" i="36"/>
  <c r="B158" i="36"/>
  <c r="C158" i="36"/>
  <c r="A159" i="36"/>
  <c r="B159" i="36"/>
  <c r="C159" i="36"/>
  <c r="A160" i="36"/>
  <c r="B160" i="36"/>
  <c r="C160" i="36"/>
  <c r="A161" i="36"/>
  <c r="B161" i="36"/>
  <c r="C161" i="36"/>
  <c r="A162" i="36"/>
  <c r="B162" i="36"/>
  <c r="C162" i="36"/>
  <c r="A163" i="36"/>
  <c r="B163" i="36"/>
  <c r="C163" i="36"/>
  <c r="A164" i="36"/>
  <c r="B164" i="36"/>
  <c r="C164" i="36"/>
  <c r="A165" i="36"/>
  <c r="B165" i="36"/>
  <c r="C165" i="36"/>
  <c r="A166" i="36"/>
  <c r="B166" i="36"/>
  <c r="C166" i="36"/>
  <c r="A167" i="36"/>
  <c r="B167" i="36"/>
  <c r="C167" i="36"/>
  <c r="A168" i="36"/>
  <c r="B168" i="36"/>
  <c r="C168" i="36"/>
  <c r="A169" i="36"/>
  <c r="B169" i="36"/>
  <c r="C169" i="36"/>
  <c r="A170" i="36"/>
  <c r="B170" i="36"/>
  <c r="C170" i="36"/>
  <c r="A171" i="36"/>
  <c r="B171" i="36"/>
  <c r="C171" i="36"/>
  <c r="A172" i="36"/>
  <c r="B172" i="36"/>
  <c r="C172" i="36"/>
  <c r="A173" i="36"/>
  <c r="B173" i="36"/>
  <c r="C173" i="36"/>
  <c r="A174" i="36"/>
  <c r="B174" i="36"/>
  <c r="C174" i="36"/>
  <c r="A175" i="36"/>
  <c r="B175" i="36"/>
  <c r="C175" i="36"/>
  <c r="A176" i="36"/>
  <c r="B176" i="36"/>
  <c r="C176" i="36"/>
  <c r="A177" i="36"/>
  <c r="B177" i="36"/>
  <c r="C177" i="36"/>
  <c r="A178" i="36"/>
  <c r="B178" i="36"/>
  <c r="C178" i="36"/>
  <c r="A179" i="36"/>
  <c r="B179" i="36"/>
  <c r="C179" i="36"/>
  <c r="A180" i="36"/>
  <c r="B180" i="36"/>
  <c r="C180" i="36"/>
  <c r="A181" i="36"/>
  <c r="B181" i="36"/>
  <c r="C181" i="36"/>
  <c r="A182" i="36"/>
  <c r="B182" i="36"/>
  <c r="C182" i="36"/>
  <c r="A183" i="36"/>
  <c r="B183" i="36"/>
  <c r="C183" i="36"/>
  <c r="A184" i="36"/>
  <c r="B184" i="36"/>
  <c r="C184" i="36"/>
  <c r="A185" i="36"/>
  <c r="B185" i="36"/>
  <c r="C185" i="36"/>
  <c r="A186" i="36"/>
  <c r="B186" i="36"/>
  <c r="C186" i="36"/>
  <c r="A187" i="36"/>
  <c r="B187" i="36"/>
  <c r="C187" i="36"/>
  <c r="A188" i="36"/>
  <c r="B188" i="36"/>
  <c r="C188" i="36"/>
  <c r="A189" i="36"/>
  <c r="B189" i="36"/>
  <c r="C189" i="36"/>
  <c r="A190" i="36"/>
  <c r="B190" i="36"/>
  <c r="C190" i="36"/>
  <c r="A191" i="36"/>
  <c r="B191" i="36"/>
  <c r="C191" i="36"/>
  <c r="A192" i="36"/>
  <c r="B192" i="36"/>
  <c r="C192" i="36"/>
  <c r="A193" i="36"/>
  <c r="B193" i="36"/>
  <c r="C193" i="36"/>
  <c r="A194" i="36"/>
  <c r="B194" i="36"/>
  <c r="C194" i="36"/>
  <c r="A195" i="36"/>
  <c r="B195" i="36"/>
  <c r="C195" i="36"/>
  <c r="A196" i="36"/>
  <c r="B196" i="36"/>
  <c r="C196" i="36"/>
  <c r="A197" i="36"/>
  <c r="B197" i="36"/>
  <c r="C197" i="36"/>
  <c r="A198" i="36"/>
  <c r="B198" i="36"/>
  <c r="C198" i="36"/>
  <c r="A199" i="36"/>
  <c r="B199" i="36"/>
  <c r="C199" i="36"/>
  <c r="A200" i="36"/>
  <c r="B200" i="36"/>
  <c r="C200" i="36"/>
  <c r="A201" i="36"/>
  <c r="B201" i="36"/>
  <c r="C201" i="36"/>
  <c r="A202" i="36"/>
  <c r="B202" i="36"/>
  <c r="C202" i="36"/>
  <c r="A203" i="36"/>
  <c r="B203" i="36"/>
  <c r="C203" i="36"/>
  <c r="A204" i="36"/>
  <c r="B204" i="36"/>
  <c r="C204" i="36"/>
  <c r="A205" i="36"/>
  <c r="B205" i="36"/>
  <c r="C205" i="36"/>
  <c r="A206" i="36"/>
  <c r="B206" i="36"/>
  <c r="C206" i="36"/>
  <c r="A207" i="36"/>
  <c r="B207" i="36"/>
  <c r="C207" i="36"/>
  <c r="A208" i="36"/>
  <c r="B208" i="36"/>
  <c r="C208" i="36"/>
  <c r="A209" i="36"/>
  <c r="B209" i="36"/>
  <c r="C209" i="36"/>
  <c r="A210" i="36"/>
  <c r="B210" i="36"/>
  <c r="C210" i="36"/>
  <c r="A211" i="36"/>
  <c r="B211" i="36"/>
  <c r="C211" i="36"/>
  <c r="A212" i="36"/>
  <c r="B212" i="36"/>
  <c r="C212" i="36"/>
  <c r="A213" i="36"/>
  <c r="B213" i="36"/>
  <c r="C213" i="36"/>
  <c r="A214" i="36"/>
  <c r="B214" i="36"/>
  <c r="C214" i="36"/>
  <c r="A215" i="36"/>
  <c r="B215" i="36"/>
  <c r="C215" i="36"/>
  <c r="A216" i="36"/>
  <c r="B216" i="36"/>
  <c r="C216" i="36"/>
  <c r="A217" i="36"/>
  <c r="B217" i="36"/>
  <c r="C217" i="36"/>
  <c r="A218" i="36"/>
  <c r="B218" i="36"/>
  <c r="C218" i="36"/>
  <c r="A219" i="36"/>
  <c r="B219" i="36"/>
  <c r="C219" i="36"/>
  <c r="A220" i="36"/>
  <c r="B220" i="36"/>
  <c r="C220" i="36"/>
  <c r="A221" i="36"/>
  <c r="B221" i="36"/>
  <c r="C221" i="36"/>
  <c r="A222" i="36"/>
  <c r="B222" i="36"/>
  <c r="C222" i="36"/>
  <c r="A223" i="36"/>
  <c r="B223" i="36"/>
  <c r="C223" i="36"/>
  <c r="A224" i="36"/>
  <c r="B224" i="36"/>
  <c r="C224" i="36"/>
  <c r="A225" i="36"/>
  <c r="B225" i="36"/>
  <c r="C225" i="36"/>
  <c r="A226" i="36"/>
  <c r="B226" i="36"/>
  <c r="C226" i="36"/>
  <c r="A227" i="36"/>
  <c r="B227" i="36"/>
  <c r="C227" i="36"/>
  <c r="A228" i="36"/>
  <c r="B228" i="36"/>
  <c r="C228" i="36"/>
  <c r="A229" i="36"/>
  <c r="B229" i="36"/>
  <c r="C229" i="36"/>
  <c r="A230" i="36"/>
  <c r="B230" i="36"/>
  <c r="C230" i="36"/>
  <c r="A231" i="36"/>
  <c r="B231" i="36"/>
  <c r="C231" i="36"/>
  <c r="A232" i="36"/>
  <c r="B232" i="36"/>
  <c r="C232" i="36"/>
  <c r="A233" i="36"/>
  <c r="B233" i="36"/>
  <c r="C233" i="36"/>
  <c r="A234" i="36"/>
  <c r="B234" i="36"/>
  <c r="C234" i="36"/>
  <c r="A235" i="36"/>
  <c r="B235" i="36"/>
  <c r="C235" i="36"/>
  <c r="A236" i="36"/>
  <c r="B236" i="36"/>
  <c r="C236" i="36"/>
  <c r="A237" i="36"/>
  <c r="B237" i="36"/>
  <c r="C237" i="36"/>
  <c r="A238" i="36"/>
  <c r="B238" i="36"/>
  <c r="C238" i="36"/>
  <c r="A239" i="36"/>
  <c r="B239" i="36"/>
  <c r="C239" i="36"/>
  <c r="A240" i="36"/>
  <c r="B240" i="36"/>
  <c r="C240" i="36"/>
  <c r="A241" i="36"/>
  <c r="B241" i="36"/>
  <c r="C241" i="36"/>
  <c r="A242" i="36"/>
  <c r="B242" i="36"/>
  <c r="C242" i="36"/>
  <c r="A243" i="36"/>
  <c r="B243" i="36"/>
  <c r="C243" i="36"/>
  <c r="A244" i="36"/>
  <c r="B244" i="36"/>
  <c r="C244" i="36"/>
  <c r="A245" i="36"/>
  <c r="B245" i="36"/>
  <c r="C245" i="36"/>
  <c r="A246" i="36"/>
  <c r="B246" i="36"/>
  <c r="C246" i="36"/>
  <c r="A247" i="36"/>
  <c r="B247" i="36"/>
  <c r="C247" i="36"/>
  <c r="A248" i="36"/>
  <c r="B248" i="36"/>
  <c r="C248" i="36"/>
  <c r="A249" i="36"/>
  <c r="B249" i="36"/>
  <c r="C249" i="36"/>
  <c r="A250" i="36"/>
  <c r="B250" i="36"/>
  <c r="C250" i="36"/>
  <c r="A251" i="36"/>
  <c r="B251" i="36"/>
  <c r="C251" i="36"/>
  <c r="A252" i="36"/>
  <c r="B252" i="36"/>
  <c r="C252" i="36"/>
  <c r="A253" i="36"/>
  <c r="B253" i="36"/>
  <c r="C253" i="36"/>
  <c r="A254" i="36"/>
  <c r="B254" i="36"/>
  <c r="C254" i="36"/>
  <c r="A255" i="36"/>
  <c r="B255" i="36"/>
  <c r="C255" i="36"/>
  <c r="A256" i="36"/>
  <c r="B256" i="36"/>
  <c r="C256" i="36"/>
  <c r="A257" i="36"/>
  <c r="B257" i="36"/>
  <c r="C257" i="36"/>
  <c r="A258" i="36"/>
  <c r="B258" i="36"/>
  <c r="C258" i="36"/>
  <c r="A259" i="36"/>
  <c r="B259" i="36"/>
  <c r="C259" i="36"/>
  <c r="A260" i="36"/>
  <c r="B260" i="36"/>
  <c r="C260" i="36"/>
  <c r="A261" i="36"/>
  <c r="B261" i="36"/>
  <c r="C261" i="36"/>
  <c r="A262" i="36"/>
  <c r="B262" i="36"/>
  <c r="C262" i="36"/>
  <c r="A263" i="36"/>
  <c r="B263" i="36"/>
  <c r="C263" i="36"/>
  <c r="A264" i="36"/>
  <c r="B264" i="36"/>
  <c r="C264" i="36"/>
  <c r="A265" i="36"/>
  <c r="B265" i="36"/>
  <c r="C265" i="36"/>
  <c r="A266" i="36"/>
  <c r="B266" i="36"/>
  <c r="C266" i="36"/>
  <c r="A267" i="36"/>
  <c r="B267" i="36"/>
  <c r="C267" i="36"/>
  <c r="A268" i="36"/>
  <c r="B268" i="36"/>
  <c r="C268" i="36"/>
  <c r="A269" i="36"/>
  <c r="B269" i="36"/>
  <c r="C269" i="36"/>
  <c r="A270" i="36"/>
  <c r="B270" i="36"/>
  <c r="C270" i="36"/>
  <c r="A271" i="36"/>
  <c r="B271" i="36"/>
  <c r="C271" i="36"/>
  <c r="A272" i="36"/>
  <c r="B272" i="36"/>
  <c r="C272" i="36"/>
  <c r="A273" i="36"/>
  <c r="B273" i="36"/>
  <c r="C273" i="36"/>
  <c r="A274" i="36"/>
  <c r="B274" i="36"/>
  <c r="C274" i="36"/>
  <c r="A275" i="36"/>
  <c r="B275" i="36"/>
  <c r="C275" i="36"/>
  <c r="A276" i="36"/>
  <c r="B276" i="36"/>
  <c r="C276" i="36"/>
  <c r="A277" i="36"/>
  <c r="B277" i="36"/>
  <c r="C277" i="36"/>
  <c r="A278" i="36"/>
  <c r="B278" i="36"/>
  <c r="C278" i="36"/>
  <c r="A279" i="36"/>
  <c r="B279" i="36"/>
  <c r="C279" i="36"/>
  <c r="A280" i="36"/>
  <c r="B280" i="36"/>
  <c r="C280" i="36"/>
  <c r="A281" i="36"/>
  <c r="B281" i="36"/>
  <c r="C281" i="36"/>
  <c r="A282" i="36"/>
  <c r="B282" i="36"/>
  <c r="C282" i="36"/>
  <c r="A283" i="36"/>
  <c r="B283" i="36"/>
  <c r="C283" i="36"/>
  <c r="A284" i="36"/>
  <c r="B284" i="36"/>
  <c r="C284" i="36"/>
  <c r="A285" i="36"/>
  <c r="B285" i="36"/>
  <c r="C285" i="36"/>
  <c r="A286" i="36"/>
  <c r="B286" i="36"/>
  <c r="C286" i="36"/>
  <c r="A287" i="36"/>
  <c r="B287" i="36"/>
  <c r="C287" i="36"/>
  <c r="A288" i="36"/>
  <c r="B288" i="36"/>
  <c r="C288" i="36"/>
  <c r="A289" i="36"/>
  <c r="B289" i="36"/>
  <c r="C289" i="36"/>
  <c r="A290" i="36"/>
  <c r="B290" i="36"/>
  <c r="C290" i="36"/>
  <c r="A291" i="36"/>
  <c r="B291" i="36"/>
  <c r="C291" i="36"/>
  <c r="A292" i="36"/>
  <c r="B292" i="36"/>
  <c r="C292" i="36"/>
  <c r="A293" i="36"/>
  <c r="B293" i="36"/>
  <c r="C293" i="36"/>
  <c r="A294" i="36"/>
  <c r="B294" i="36"/>
  <c r="C294" i="36"/>
  <c r="A295" i="36"/>
  <c r="B295" i="36"/>
  <c r="C295" i="36"/>
  <c r="A296" i="36"/>
  <c r="B296" i="36"/>
  <c r="C296" i="36"/>
  <c r="A297" i="36"/>
  <c r="B297" i="36"/>
  <c r="C297" i="36"/>
  <c r="A298" i="36"/>
  <c r="B298" i="36"/>
  <c r="C298" i="36"/>
  <c r="A299" i="36"/>
  <c r="B299" i="36"/>
  <c r="C299" i="36"/>
  <c r="A300" i="36"/>
  <c r="B300" i="36"/>
  <c r="C300" i="36"/>
  <c r="A301" i="36"/>
  <c r="B301" i="36"/>
  <c r="C301" i="36"/>
  <c r="A302" i="36"/>
  <c r="B302" i="36"/>
  <c r="C302" i="36"/>
  <c r="A303" i="36"/>
  <c r="B303" i="36"/>
  <c r="C303" i="36"/>
  <c r="A304" i="36"/>
  <c r="B304" i="36"/>
  <c r="C304" i="36"/>
  <c r="A305" i="36"/>
  <c r="B305" i="36"/>
  <c r="C305" i="36"/>
  <c r="A306" i="36"/>
  <c r="B306" i="36"/>
  <c r="C306" i="36"/>
  <c r="A307" i="36"/>
  <c r="B307" i="36"/>
  <c r="C307" i="36"/>
  <c r="A308" i="36"/>
  <c r="B308" i="36"/>
  <c r="C308" i="36"/>
  <c r="A309" i="36"/>
  <c r="B309" i="36"/>
  <c r="C309" i="36"/>
  <c r="A310" i="36"/>
  <c r="B310" i="36"/>
  <c r="C310" i="36"/>
  <c r="A311" i="36"/>
  <c r="B311" i="36"/>
  <c r="C311" i="36"/>
  <c r="A312" i="36"/>
  <c r="B312" i="36"/>
  <c r="C312" i="36"/>
  <c r="A313" i="36"/>
  <c r="B313" i="36"/>
  <c r="C313" i="36"/>
  <c r="A314" i="36"/>
  <c r="B314" i="36"/>
  <c r="C314" i="36"/>
  <c r="A315" i="36"/>
  <c r="B315" i="36"/>
  <c r="C315" i="36"/>
  <c r="A316" i="36"/>
  <c r="B316" i="36"/>
  <c r="C316" i="36"/>
  <c r="A12" i="9"/>
  <c r="B12" i="9"/>
  <c r="C12" i="9"/>
  <c r="A13" i="9"/>
  <c r="B13" i="9"/>
  <c r="C13" i="9"/>
  <c r="A14" i="9"/>
  <c r="B14" i="9"/>
  <c r="C14" i="9"/>
  <c r="A15" i="9"/>
  <c r="B15" i="9"/>
  <c r="C15" i="9"/>
  <c r="A16" i="9"/>
  <c r="B16" i="9"/>
  <c r="C16" i="9"/>
  <c r="A17" i="9"/>
  <c r="B17" i="9"/>
  <c r="C17" i="9"/>
  <c r="A18" i="9"/>
  <c r="B18" i="9"/>
  <c r="C18" i="9"/>
  <c r="A19" i="9"/>
  <c r="B19" i="9"/>
  <c r="C19" i="9"/>
  <c r="A20" i="9"/>
  <c r="B20" i="9"/>
  <c r="C20" i="9"/>
  <c r="A21" i="9"/>
  <c r="B21" i="9"/>
  <c r="C21" i="9"/>
  <c r="A22" i="9"/>
  <c r="B22" i="9"/>
  <c r="C22" i="9"/>
  <c r="A23" i="9"/>
  <c r="B23" i="9"/>
  <c r="C23" i="9"/>
  <c r="A24" i="9"/>
  <c r="B24" i="9"/>
  <c r="C24" i="9"/>
  <c r="A25" i="9"/>
  <c r="B25" i="9"/>
  <c r="C25" i="9"/>
  <c r="A26" i="9"/>
  <c r="B26" i="9"/>
  <c r="C26" i="9"/>
  <c r="A27" i="9"/>
  <c r="B27" i="9"/>
  <c r="C27" i="9"/>
  <c r="A28" i="9"/>
  <c r="B28" i="9"/>
  <c r="C28" i="9"/>
  <c r="A29" i="9"/>
  <c r="B29" i="9"/>
  <c r="C29" i="9"/>
  <c r="A30" i="9"/>
  <c r="B30" i="9"/>
  <c r="C30" i="9"/>
  <c r="A31" i="9"/>
  <c r="B31" i="9"/>
  <c r="C31" i="9"/>
  <c r="A32" i="9"/>
  <c r="B32" i="9"/>
  <c r="C32" i="9"/>
  <c r="A33" i="9"/>
  <c r="B33" i="9"/>
  <c r="C33" i="9"/>
  <c r="A34" i="9"/>
  <c r="B34" i="9"/>
  <c r="C34" i="9"/>
  <c r="A35" i="9"/>
  <c r="B35" i="9"/>
  <c r="C35" i="9"/>
  <c r="A36" i="9"/>
  <c r="B36" i="9"/>
  <c r="C36" i="9"/>
  <c r="A37" i="9"/>
  <c r="B37" i="9"/>
  <c r="C37" i="9"/>
  <c r="A38" i="9"/>
  <c r="B38" i="9"/>
  <c r="C38" i="9"/>
  <c r="A39" i="9"/>
  <c r="B39" i="9"/>
  <c r="C39" i="9"/>
  <c r="A40" i="9"/>
  <c r="B40" i="9"/>
  <c r="C40" i="9"/>
  <c r="A41" i="9"/>
  <c r="B41" i="9"/>
  <c r="C41" i="9"/>
  <c r="A42" i="9"/>
  <c r="B42" i="9"/>
  <c r="C42" i="9"/>
  <c r="A43" i="9"/>
  <c r="B43" i="9"/>
  <c r="C43" i="9"/>
  <c r="A44" i="9"/>
  <c r="B44" i="9"/>
  <c r="C44" i="9"/>
  <c r="A45" i="9"/>
  <c r="B45" i="9"/>
  <c r="C45" i="9"/>
  <c r="A46" i="9"/>
  <c r="B46" i="9"/>
  <c r="C46" i="9"/>
  <c r="A47" i="9"/>
  <c r="B47" i="9"/>
  <c r="C47" i="9"/>
  <c r="A48" i="9"/>
  <c r="B48" i="9"/>
  <c r="C48" i="9"/>
  <c r="A49" i="9"/>
  <c r="B49" i="9"/>
  <c r="C49" i="9"/>
  <c r="A50" i="9"/>
  <c r="B50" i="9"/>
  <c r="C50" i="9"/>
  <c r="A51" i="9"/>
  <c r="B51" i="9"/>
  <c r="C51" i="9"/>
  <c r="A52" i="9"/>
  <c r="B52" i="9"/>
  <c r="C52" i="9"/>
  <c r="A53" i="9"/>
  <c r="B53" i="9"/>
  <c r="C53" i="9"/>
  <c r="A54" i="9"/>
  <c r="B54" i="9"/>
  <c r="C54" i="9"/>
  <c r="A55" i="9"/>
  <c r="B55" i="9"/>
  <c r="C55" i="9"/>
  <c r="A56" i="9"/>
  <c r="B56" i="9"/>
  <c r="C56" i="9"/>
  <c r="A57" i="9"/>
  <c r="B57" i="9"/>
  <c r="C57" i="9"/>
  <c r="A58" i="9"/>
  <c r="B58" i="9"/>
  <c r="C58" i="9"/>
  <c r="A59" i="9"/>
  <c r="B59" i="9"/>
  <c r="C59" i="9"/>
  <c r="A60" i="9"/>
  <c r="B60" i="9"/>
  <c r="C60" i="9"/>
  <c r="A61" i="9"/>
  <c r="B61" i="9"/>
  <c r="C61" i="9"/>
  <c r="A62" i="9"/>
  <c r="B62" i="9"/>
  <c r="C62" i="9"/>
  <c r="A63" i="9"/>
  <c r="B63" i="9"/>
  <c r="C63" i="9"/>
  <c r="A64" i="9"/>
  <c r="B64" i="9"/>
  <c r="C64" i="9"/>
  <c r="A65" i="9"/>
  <c r="B65" i="9"/>
  <c r="C65" i="9"/>
  <c r="A66" i="9"/>
  <c r="B66" i="9"/>
  <c r="C66" i="9"/>
  <c r="A67" i="9"/>
  <c r="B67" i="9"/>
  <c r="C67" i="9"/>
  <c r="A68" i="9"/>
  <c r="B68" i="9"/>
  <c r="C68" i="9"/>
  <c r="A69" i="9"/>
  <c r="B69" i="9"/>
  <c r="C69" i="9"/>
  <c r="A70" i="9"/>
  <c r="B70" i="9"/>
  <c r="C70" i="9"/>
  <c r="A71" i="9"/>
  <c r="B71" i="9"/>
  <c r="C71" i="9"/>
  <c r="A72" i="9"/>
  <c r="B72" i="9"/>
  <c r="C72" i="9"/>
  <c r="A73" i="9"/>
  <c r="B73" i="9"/>
  <c r="C73" i="9"/>
  <c r="A74" i="9"/>
  <c r="B74" i="9"/>
  <c r="C74" i="9"/>
  <c r="A75" i="9"/>
  <c r="B75" i="9"/>
  <c r="C75" i="9"/>
  <c r="A76" i="9"/>
  <c r="B76" i="9"/>
  <c r="C76" i="9"/>
  <c r="A77" i="9"/>
  <c r="B77" i="9"/>
  <c r="C77" i="9"/>
  <c r="A78" i="9"/>
  <c r="B78" i="9"/>
  <c r="C78" i="9"/>
  <c r="A79" i="9"/>
  <c r="B79" i="9"/>
  <c r="C79" i="9"/>
  <c r="A80" i="9"/>
  <c r="B80" i="9"/>
  <c r="C80" i="9"/>
  <c r="A81" i="9"/>
  <c r="B81" i="9"/>
  <c r="C81" i="9"/>
  <c r="A82" i="9"/>
  <c r="B82" i="9"/>
  <c r="C82" i="9"/>
  <c r="A83" i="9"/>
  <c r="B83" i="9"/>
  <c r="C83" i="9"/>
  <c r="A84" i="9"/>
  <c r="B84" i="9"/>
  <c r="C84" i="9"/>
  <c r="A85" i="9"/>
  <c r="B85" i="9"/>
  <c r="C85" i="9"/>
  <c r="A86" i="9"/>
  <c r="B86" i="9"/>
  <c r="C86" i="9"/>
  <c r="A87" i="9"/>
  <c r="B87" i="9"/>
  <c r="C87" i="9"/>
  <c r="A88" i="9"/>
  <c r="B88" i="9"/>
  <c r="C88" i="9"/>
  <c r="A89" i="9"/>
  <c r="B89" i="9"/>
  <c r="C89" i="9"/>
  <c r="A90" i="9"/>
  <c r="B90" i="9"/>
  <c r="C90" i="9"/>
  <c r="A91" i="9"/>
  <c r="B91" i="9"/>
  <c r="C91" i="9"/>
  <c r="A92" i="9"/>
  <c r="B92" i="9"/>
  <c r="C92" i="9"/>
  <c r="A93" i="9"/>
  <c r="B93" i="9"/>
  <c r="C93" i="9"/>
  <c r="A94" i="9"/>
  <c r="B94" i="9"/>
  <c r="C94" i="9"/>
  <c r="A95" i="9"/>
  <c r="B95" i="9"/>
  <c r="C95" i="9"/>
  <c r="A96" i="9"/>
  <c r="B96" i="9"/>
  <c r="C96" i="9"/>
  <c r="A97" i="9"/>
  <c r="B97" i="9"/>
  <c r="C97" i="9"/>
  <c r="A98" i="9"/>
  <c r="B98" i="9"/>
  <c r="C98" i="9"/>
  <c r="A99" i="9"/>
  <c r="B99" i="9"/>
  <c r="C99" i="9"/>
  <c r="A100" i="9"/>
  <c r="B100" i="9"/>
  <c r="C100" i="9"/>
  <c r="A101" i="9"/>
  <c r="B101" i="9"/>
  <c r="C101" i="9"/>
  <c r="A102" i="9"/>
  <c r="B102" i="9"/>
  <c r="C102" i="9"/>
  <c r="A103" i="9"/>
  <c r="B103" i="9"/>
  <c r="C103" i="9"/>
  <c r="A104" i="9"/>
  <c r="B104" i="9"/>
  <c r="C104" i="9"/>
  <c r="A105" i="9"/>
  <c r="B105" i="9"/>
  <c r="C105" i="9"/>
  <c r="A106" i="9"/>
  <c r="B106" i="9"/>
  <c r="C106" i="9"/>
  <c r="A107" i="9"/>
  <c r="B107" i="9"/>
  <c r="C107" i="9"/>
  <c r="A108" i="9"/>
  <c r="B108" i="9"/>
  <c r="C108" i="9"/>
  <c r="A109" i="9"/>
  <c r="B109" i="9"/>
  <c r="C109" i="9"/>
  <c r="A110" i="9"/>
  <c r="B110" i="9"/>
  <c r="C110" i="9"/>
  <c r="A111" i="9"/>
  <c r="B111" i="9"/>
  <c r="C111" i="9"/>
  <c r="A112" i="9"/>
  <c r="B112" i="9"/>
  <c r="C112" i="9"/>
  <c r="A113" i="9"/>
  <c r="B113" i="9"/>
  <c r="C113" i="9"/>
  <c r="A114" i="9"/>
  <c r="B114" i="9"/>
  <c r="C114" i="9"/>
  <c r="A115" i="9"/>
  <c r="B115" i="9"/>
  <c r="C115" i="9"/>
  <c r="A116" i="9"/>
  <c r="B116" i="9"/>
  <c r="C116" i="9"/>
  <c r="A117" i="9"/>
  <c r="B117" i="9"/>
  <c r="C117" i="9"/>
  <c r="A118" i="9"/>
  <c r="B118" i="9"/>
  <c r="C118" i="9"/>
  <c r="A119" i="9"/>
  <c r="B119" i="9"/>
  <c r="C119" i="9"/>
  <c r="A120" i="9"/>
  <c r="B120" i="9"/>
  <c r="C120" i="9"/>
  <c r="A121" i="9"/>
  <c r="B121" i="9"/>
  <c r="C121" i="9"/>
  <c r="A122" i="9"/>
  <c r="B122" i="9"/>
  <c r="C122" i="9"/>
  <c r="A123" i="9"/>
  <c r="B123" i="9"/>
  <c r="C123" i="9"/>
  <c r="A124" i="9"/>
  <c r="B124" i="9"/>
  <c r="C124" i="9"/>
  <c r="A125" i="9"/>
  <c r="B125" i="9"/>
  <c r="C125" i="9"/>
  <c r="A126" i="9"/>
  <c r="B126" i="9"/>
  <c r="C126" i="9"/>
  <c r="A127" i="9"/>
  <c r="B127" i="9"/>
  <c r="C127" i="9"/>
  <c r="A128" i="9"/>
  <c r="B128" i="9"/>
  <c r="C128" i="9"/>
  <c r="A129" i="9"/>
  <c r="B129" i="9"/>
  <c r="C129" i="9"/>
  <c r="A130" i="9"/>
  <c r="B130" i="9"/>
  <c r="C130" i="9"/>
  <c r="A131" i="9"/>
  <c r="B131" i="9"/>
  <c r="C131" i="9"/>
  <c r="A132" i="9"/>
  <c r="B132" i="9"/>
  <c r="C132" i="9"/>
  <c r="A133" i="9"/>
  <c r="B133" i="9"/>
  <c r="C133" i="9"/>
  <c r="A134" i="9"/>
  <c r="B134" i="9"/>
  <c r="C134" i="9"/>
  <c r="A135" i="9"/>
  <c r="B135" i="9"/>
  <c r="C135" i="9"/>
  <c r="A136" i="9"/>
  <c r="B136" i="9"/>
  <c r="C136" i="9"/>
  <c r="A137" i="9"/>
  <c r="B137" i="9"/>
  <c r="C137" i="9"/>
  <c r="A138" i="9"/>
  <c r="B138" i="9"/>
  <c r="C138" i="9"/>
  <c r="A139" i="9"/>
  <c r="B139" i="9"/>
  <c r="C139" i="9"/>
  <c r="A140" i="9"/>
  <c r="B140" i="9"/>
  <c r="C140" i="9"/>
  <c r="A141" i="9"/>
  <c r="B141" i="9"/>
  <c r="C141" i="9"/>
  <c r="A142" i="9"/>
  <c r="B142" i="9"/>
  <c r="C142" i="9"/>
  <c r="A143" i="9"/>
  <c r="B143" i="9"/>
  <c r="C143" i="9"/>
  <c r="A144" i="9"/>
  <c r="B144" i="9"/>
  <c r="C144" i="9"/>
  <c r="A145" i="9"/>
  <c r="B145" i="9"/>
  <c r="C145" i="9"/>
  <c r="A146" i="9"/>
  <c r="B146" i="9"/>
  <c r="C146" i="9"/>
  <c r="A147" i="9"/>
  <c r="B147" i="9"/>
  <c r="C147" i="9"/>
  <c r="A148" i="9"/>
  <c r="B148" i="9"/>
  <c r="C148" i="9"/>
  <c r="A149" i="9"/>
  <c r="B149" i="9"/>
  <c r="C149" i="9"/>
  <c r="A150" i="9"/>
  <c r="B150" i="9"/>
  <c r="C150" i="9"/>
  <c r="A151" i="9"/>
  <c r="B151" i="9"/>
  <c r="C151" i="9"/>
  <c r="A152" i="9"/>
  <c r="B152" i="9"/>
  <c r="C152" i="9"/>
  <c r="A153" i="9"/>
  <c r="B153" i="9"/>
  <c r="C153" i="9"/>
  <c r="A154" i="9"/>
  <c r="B154" i="9"/>
  <c r="C154" i="9"/>
  <c r="A155" i="9"/>
  <c r="B155" i="9"/>
  <c r="C155" i="9"/>
  <c r="A156" i="9"/>
  <c r="B156" i="9"/>
  <c r="C156" i="9"/>
  <c r="A157" i="9"/>
  <c r="B157" i="9"/>
  <c r="C157" i="9"/>
  <c r="A158" i="9"/>
  <c r="B158" i="9"/>
  <c r="C158" i="9"/>
  <c r="A159" i="9"/>
  <c r="B159" i="9"/>
  <c r="C159" i="9"/>
  <c r="A160" i="9"/>
  <c r="B160" i="9"/>
  <c r="C160" i="9"/>
  <c r="A161" i="9"/>
  <c r="B161" i="9"/>
  <c r="C161" i="9"/>
  <c r="A162" i="9"/>
  <c r="B162" i="9"/>
  <c r="C162" i="9"/>
  <c r="A163" i="9"/>
  <c r="B163" i="9"/>
  <c r="C163" i="9"/>
  <c r="A164" i="9"/>
  <c r="B164" i="9"/>
  <c r="C164" i="9"/>
  <c r="A165" i="9"/>
  <c r="B165" i="9"/>
  <c r="C165" i="9"/>
  <c r="A166" i="9"/>
  <c r="B166" i="9"/>
  <c r="C166" i="9"/>
  <c r="A167" i="9"/>
  <c r="B167" i="9"/>
  <c r="C167" i="9"/>
  <c r="A168" i="9"/>
  <c r="B168" i="9"/>
  <c r="C168" i="9"/>
  <c r="A169" i="9"/>
  <c r="B169" i="9"/>
  <c r="C169" i="9"/>
  <c r="A170" i="9"/>
  <c r="B170" i="9"/>
  <c r="C170" i="9"/>
  <c r="A171" i="9"/>
  <c r="B171" i="9"/>
  <c r="C171" i="9"/>
  <c r="A172" i="9"/>
  <c r="B172" i="9"/>
  <c r="C172" i="9"/>
  <c r="A173" i="9"/>
  <c r="B173" i="9"/>
  <c r="C173" i="9"/>
  <c r="A174" i="9"/>
  <c r="B174" i="9"/>
  <c r="C174" i="9"/>
  <c r="A175" i="9"/>
  <c r="B175" i="9"/>
  <c r="C175" i="9"/>
  <c r="A176" i="9"/>
  <c r="B176" i="9"/>
  <c r="C176" i="9"/>
  <c r="A177" i="9"/>
  <c r="B177" i="9"/>
  <c r="C177" i="9"/>
  <c r="A178" i="9"/>
  <c r="B178" i="9"/>
  <c r="C178" i="9"/>
  <c r="A179" i="9"/>
  <c r="B179" i="9"/>
  <c r="C179" i="9"/>
  <c r="A180" i="9"/>
  <c r="B180" i="9"/>
  <c r="C180" i="9"/>
  <c r="A181" i="9"/>
  <c r="B181" i="9"/>
  <c r="C181" i="9"/>
  <c r="A182" i="9"/>
  <c r="B182" i="9"/>
  <c r="C182" i="9"/>
  <c r="A183" i="9"/>
  <c r="B183" i="9"/>
  <c r="C183" i="9"/>
  <c r="A184" i="9"/>
  <c r="B184" i="9"/>
  <c r="C184" i="9"/>
  <c r="A185" i="9"/>
  <c r="B185" i="9"/>
  <c r="C185" i="9"/>
  <c r="A186" i="9"/>
  <c r="B186" i="9"/>
  <c r="C186" i="9"/>
  <c r="A187" i="9"/>
  <c r="B187" i="9"/>
  <c r="C187" i="9"/>
  <c r="A188" i="9"/>
  <c r="B188" i="9"/>
  <c r="C188" i="9"/>
  <c r="A189" i="9"/>
  <c r="B189" i="9"/>
  <c r="C189" i="9"/>
  <c r="A190" i="9"/>
  <c r="B190" i="9"/>
  <c r="C190" i="9"/>
  <c r="A191" i="9"/>
  <c r="B191" i="9"/>
  <c r="C191" i="9"/>
  <c r="A192" i="9"/>
  <c r="B192" i="9"/>
  <c r="C192" i="9"/>
  <c r="A193" i="9"/>
  <c r="B193" i="9"/>
  <c r="C193" i="9"/>
  <c r="A194" i="9"/>
  <c r="B194" i="9"/>
  <c r="C194" i="9"/>
  <c r="A195" i="9"/>
  <c r="B195" i="9"/>
  <c r="C195" i="9"/>
  <c r="A196" i="9"/>
  <c r="B196" i="9"/>
  <c r="C196" i="9"/>
  <c r="A197" i="9"/>
  <c r="B197" i="9"/>
  <c r="C197" i="9"/>
  <c r="A198" i="9"/>
  <c r="B198" i="9"/>
  <c r="C198" i="9"/>
  <c r="A199" i="9"/>
  <c r="B199" i="9"/>
  <c r="C199" i="9"/>
  <c r="A200" i="9"/>
  <c r="B200" i="9"/>
  <c r="C200" i="9"/>
  <c r="A201" i="9"/>
  <c r="B201" i="9"/>
  <c r="C201" i="9"/>
  <c r="A202" i="9"/>
  <c r="B202" i="9"/>
  <c r="C202" i="9"/>
  <c r="A203" i="9"/>
  <c r="B203" i="9"/>
  <c r="C203" i="9"/>
  <c r="A204" i="9"/>
  <c r="B204" i="9"/>
  <c r="C204" i="9"/>
  <c r="A205" i="9"/>
  <c r="B205" i="9"/>
  <c r="C205" i="9"/>
  <c r="A206" i="9"/>
  <c r="B206" i="9"/>
  <c r="C206" i="9"/>
  <c r="A207" i="9"/>
  <c r="B207" i="9"/>
  <c r="C207" i="9"/>
  <c r="A208" i="9"/>
  <c r="B208" i="9"/>
  <c r="C208" i="9"/>
  <c r="A209" i="9"/>
  <c r="B209" i="9"/>
  <c r="C209" i="9"/>
  <c r="A210" i="9"/>
  <c r="B210" i="9"/>
  <c r="C210" i="9"/>
  <c r="A211" i="9"/>
  <c r="B211" i="9"/>
  <c r="C211" i="9"/>
  <c r="A212" i="9"/>
  <c r="B212" i="9"/>
  <c r="C212" i="9"/>
  <c r="A213" i="9"/>
  <c r="B213" i="9"/>
  <c r="C213" i="9"/>
  <c r="A214" i="9"/>
  <c r="B214" i="9"/>
  <c r="C214" i="9"/>
  <c r="A215" i="9"/>
  <c r="B215" i="9"/>
  <c r="C215" i="9"/>
  <c r="A216" i="9"/>
  <c r="B216" i="9"/>
  <c r="C216" i="9"/>
  <c r="A217" i="9"/>
  <c r="B217" i="9"/>
  <c r="C217" i="9"/>
  <c r="A218" i="9"/>
  <c r="B218" i="9"/>
  <c r="C218" i="9"/>
  <c r="A219" i="9"/>
  <c r="B219" i="9"/>
  <c r="C219" i="9"/>
  <c r="A220" i="9"/>
  <c r="B220" i="9"/>
  <c r="C220" i="9"/>
  <c r="A221" i="9"/>
  <c r="B221" i="9"/>
  <c r="C221" i="9"/>
  <c r="A222" i="9"/>
  <c r="B222" i="9"/>
  <c r="C222" i="9"/>
  <c r="A223" i="9"/>
  <c r="B223" i="9"/>
  <c r="C223" i="9"/>
  <c r="A224" i="9"/>
  <c r="B224" i="9"/>
  <c r="C224" i="9"/>
  <c r="A225" i="9"/>
  <c r="B225" i="9"/>
  <c r="C225" i="9"/>
  <c r="A226" i="9"/>
  <c r="B226" i="9"/>
  <c r="C226" i="9"/>
  <c r="A227" i="9"/>
  <c r="B227" i="9"/>
  <c r="C227" i="9"/>
  <c r="A228" i="9"/>
  <c r="B228" i="9"/>
  <c r="C228" i="9"/>
  <c r="A229" i="9"/>
  <c r="B229" i="9"/>
  <c r="C229" i="9"/>
  <c r="A230" i="9"/>
  <c r="B230" i="9"/>
  <c r="C230" i="9"/>
  <c r="A231" i="9"/>
  <c r="B231" i="9"/>
  <c r="C231" i="9"/>
  <c r="A232" i="9"/>
  <c r="B232" i="9"/>
  <c r="C232" i="9"/>
  <c r="A233" i="9"/>
  <c r="B233" i="9"/>
  <c r="C233" i="9"/>
  <c r="A234" i="9"/>
  <c r="B234" i="9"/>
  <c r="C234" i="9"/>
  <c r="A235" i="9"/>
  <c r="B235" i="9"/>
  <c r="C235" i="9"/>
  <c r="A236" i="9"/>
  <c r="B236" i="9"/>
  <c r="C236" i="9"/>
  <c r="A237" i="9"/>
  <c r="B237" i="9"/>
  <c r="C237" i="9"/>
  <c r="A238" i="9"/>
  <c r="B238" i="9"/>
  <c r="C238" i="9"/>
  <c r="A239" i="9"/>
  <c r="B239" i="9"/>
  <c r="C239" i="9"/>
  <c r="A240" i="9"/>
  <c r="B240" i="9"/>
  <c r="C240" i="9"/>
  <c r="A241" i="9"/>
  <c r="B241" i="9"/>
  <c r="C241" i="9"/>
  <c r="A242" i="9"/>
  <c r="B242" i="9"/>
  <c r="C242" i="9"/>
  <c r="A243" i="9"/>
  <c r="B243" i="9"/>
  <c r="C243" i="9"/>
  <c r="A244" i="9"/>
  <c r="B244" i="9"/>
  <c r="C244" i="9"/>
  <c r="A245" i="9"/>
  <c r="B245" i="9"/>
  <c r="C245" i="9"/>
  <c r="A246" i="9"/>
  <c r="B246" i="9"/>
  <c r="C246" i="9"/>
  <c r="A247" i="9"/>
  <c r="B247" i="9"/>
  <c r="C247" i="9"/>
  <c r="A248" i="9"/>
  <c r="B248" i="9"/>
  <c r="C248" i="9"/>
  <c r="A249" i="9"/>
  <c r="B249" i="9"/>
  <c r="C249" i="9"/>
  <c r="A250" i="9"/>
  <c r="B250" i="9"/>
  <c r="C250" i="9"/>
  <c r="A251" i="9"/>
  <c r="B251" i="9"/>
  <c r="C251" i="9"/>
  <c r="A252" i="9"/>
  <c r="B252" i="9"/>
  <c r="C252" i="9"/>
  <c r="A253" i="9"/>
  <c r="B253" i="9"/>
  <c r="C253" i="9"/>
  <c r="A254" i="9"/>
  <c r="B254" i="9"/>
  <c r="C254" i="9"/>
  <c r="A255" i="9"/>
  <c r="B255" i="9"/>
  <c r="C255" i="9"/>
  <c r="A256" i="9"/>
  <c r="B256" i="9"/>
  <c r="C256" i="9"/>
  <c r="A257" i="9"/>
  <c r="B257" i="9"/>
  <c r="C257" i="9"/>
  <c r="A258" i="9"/>
  <c r="B258" i="9"/>
  <c r="C258" i="9"/>
  <c r="A259" i="9"/>
  <c r="B259" i="9"/>
  <c r="C259" i="9"/>
  <c r="A260" i="9"/>
  <c r="B260" i="9"/>
  <c r="C260" i="9"/>
  <c r="A261" i="9"/>
  <c r="B261" i="9"/>
  <c r="C261" i="9"/>
  <c r="A262" i="9"/>
  <c r="B262" i="9"/>
  <c r="C262" i="9"/>
  <c r="A263" i="9"/>
  <c r="B263" i="9"/>
  <c r="C263" i="9"/>
  <c r="A264" i="9"/>
  <c r="B264" i="9"/>
  <c r="C264" i="9"/>
  <c r="A265" i="9"/>
  <c r="B265" i="9"/>
  <c r="C265" i="9"/>
  <c r="A266" i="9"/>
  <c r="B266" i="9"/>
  <c r="C266" i="9"/>
  <c r="A267" i="9"/>
  <c r="B267" i="9"/>
  <c r="C267" i="9"/>
  <c r="A268" i="9"/>
  <c r="B268" i="9"/>
  <c r="C268" i="9"/>
  <c r="A269" i="9"/>
  <c r="B269" i="9"/>
  <c r="C269" i="9"/>
  <c r="A270" i="9"/>
  <c r="B270" i="9"/>
  <c r="C270" i="9"/>
  <c r="A271" i="9"/>
  <c r="B271" i="9"/>
  <c r="C271" i="9"/>
  <c r="A272" i="9"/>
  <c r="B272" i="9"/>
  <c r="C272" i="9"/>
  <c r="A273" i="9"/>
  <c r="B273" i="9"/>
  <c r="C273" i="9"/>
  <c r="A274" i="9"/>
  <c r="B274" i="9"/>
  <c r="C274" i="9"/>
  <c r="A275" i="9"/>
  <c r="B275" i="9"/>
  <c r="C275" i="9"/>
  <c r="A276" i="9"/>
  <c r="B276" i="9"/>
  <c r="C276" i="9"/>
  <c r="A277" i="9"/>
  <c r="B277" i="9"/>
  <c r="C277" i="9"/>
  <c r="A278" i="9"/>
  <c r="B278" i="9"/>
  <c r="C278" i="9"/>
  <c r="A279" i="9"/>
  <c r="B279" i="9"/>
  <c r="C279" i="9"/>
  <c r="A280" i="9"/>
  <c r="B280" i="9"/>
  <c r="C280" i="9"/>
  <c r="A281" i="9"/>
  <c r="B281" i="9"/>
  <c r="C281" i="9"/>
  <c r="A282" i="9"/>
  <c r="B282" i="9"/>
  <c r="C282" i="9"/>
  <c r="A283" i="9"/>
  <c r="B283" i="9"/>
  <c r="C283" i="9"/>
  <c r="A284" i="9"/>
  <c r="B284" i="9"/>
  <c r="C284" i="9"/>
  <c r="A285" i="9"/>
  <c r="B285" i="9"/>
  <c r="C285" i="9"/>
  <c r="A286" i="9"/>
  <c r="B286" i="9"/>
  <c r="C286" i="9"/>
  <c r="A287" i="9"/>
  <c r="B287" i="9"/>
  <c r="C287" i="9"/>
  <c r="A288" i="9"/>
  <c r="B288" i="9"/>
  <c r="C288" i="9"/>
  <c r="A289" i="9"/>
  <c r="B289" i="9"/>
  <c r="C289" i="9"/>
  <c r="A290" i="9"/>
  <c r="B290" i="9"/>
  <c r="C290" i="9"/>
  <c r="A291" i="9"/>
  <c r="B291" i="9"/>
  <c r="C291" i="9"/>
  <c r="A292" i="9"/>
  <c r="B292" i="9"/>
  <c r="C292" i="9"/>
  <c r="A293" i="9"/>
  <c r="B293" i="9"/>
  <c r="C293" i="9"/>
  <c r="A294" i="9"/>
  <c r="B294" i="9"/>
  <c r="C294" i="9"/>
  <c r="A295" i="9"/>
  <c r="B295" i="9"/>
  <c r="C295" i="9"/>
  <c r="A296" i="9"/>
  <c r="B296" i="9"/>
  <c r="C296" i="9"/>
  <c r="A297" i="9"/>
  <c r="B297" i="9"/>
  <c r="C297" i="9"/>
  <c r="A298" i="9"/>
  <c r="B298" i="9"/>
  <c r="C298" i="9"/>
  <c r="A299" i="9"/>
  <c r="B299" i="9"/>
  <c r="C299" i="9"/>
  <c r="A300" i="9"/>
  <c r="B300" i="9"/>
  <c r="C300" i="9"/>
  <c r="A301" i="9"/>
  <c r="B301" i="9"/>
  <c r="C301" i="9"/>
  <c r="A302" i="9"/>
  <c r="B302" i="9"/>
  <c r="C302" i="9"/>
  <c r="A303" i="9"/>
  <c r="B303" i="9"/>
  <c r="C303" i="9"/>
  <c r="A304" i="9"/>
  <c r="B304" i="9"/>
  <c r="C304" i="9"/>
  <c r="A305" i="9"/>
  <c r="B305" i="9"/>
  <c r="C305" i="9"/>
  <c r="A306" i="9"/>
  <c r="B306" i="9"/>
  <c r="C306" i="9"/>
  <c r="A307" i="9"/>
  <c r="B307" i="9"/>
  <c r="C307" i="9"/>
  <c r="A308" i="9"/>
  <c r="B308" i="9"/>
  <c r="C308" i="9"/>
  <c r="A309" i="9"/>
  <c r="B309" i="9"/>
  <c r="C309" i="9"/>
  <c r="A310" i="9"/>
  <c r="B310" i="9"/>
  <c r="C310" i="9"/>
  <c r="A311" i="9"/>
  <c r="B311" i="9"/>
  <c r="C311" i="9"/>
  <c r="A312" i="9"/>
  <c r="B312" i="9"/>
  <c r="C312" i="9"/>
  <c r="A313" i="9"/>
  <c r="B313" i="9"/>
  <c r="C313" i="9"/>
  <c r="A314" i="9"/>
  <c r="B314" i="9"/>
  <c r="C314" i="9"/>
  <c r="A315" i="9"/>
  <c r="B315" i="9"/>
  <c r="C315" i="9"/>
  <c r="A316" i="9"/>
  <c r="B316" i="9"/>
  <c r="C316" i="9"/>
  <c r="A317" i="9"/>
  <c r="B317" i="9"/>
  <c r="C317" i="9"/>
  <c r="A318" i="9"/>
  <c r="B318" i="9"/>
  <c r="C318" i="9"/>
  <c r="A319" i="9"/>
  <c r="B319" i="9"/>
  <c r="C319" i="9"/>
  <c r="A6" i="33"/>
  <c r="B6" i="33"/>
  <c r="A7" i="33"/>
  <c r="B7" i="33"/>
  <c r="A8" i="33"/>
  <c r="B8" i="33"/>
  <c r="A9" i="33"/>
  <c r="B9" i="33"/>
  <c r="A10" i="33"/>
  <c r="B10" i="33"/>
  <c r="A11" i="33"/>
  <c r="B11" i="33"/>
  <c r="A12" i="33"/>
  <c r="B12" i="33"/>
  <c r="A13" i="33"/>
  <c r="B13" i="33"/>
  <c r="A14" i="33"/>
  <c r="B14" i="33"/>
  <c r="A15" i="33"/>
  <c r="B15" i="33"/>
  <c r="A16" i="33"/>
  <c r="B16" i="33"/>
  <c r="A17" i="33"/>
  <c r="B17" i="33"/>
  <c r="A18" i="33"/>
  <c r="B18" i="33"/>
  <c r="A19" i="33"/>
  <c r="B19" i="33"/>
  <c r="A20" i="33"/>
  <c r="B20" i="33"/>
  <c r="A21" i="33"/>
  <c r="B21" i="33"/>
  <c r="A22" i="33"/>
  <c r="B22" i="33"/>
  <c r="A23" i="33"/>
  <c r="B23" i="33"/>
  <c r="A24" i="33"/>
  <c r="B24" i="33"/>
  <c r="A25" i="33"/>
  <c r="B25" i="33"/>
  <c r="A26" i="33"/>
  <c r="B26" i="33"/>
  <c r="A27" i="33"/>
  <c r="B27" i="33"/>
  <c r="A28" i="33"/>
  <c r="B28" i="33"/>
  <c r="A29" i="33"/>
  <c r="B29" i="33"/>
  <c r="A30" i="33"/>
  <c r="B30" i="33"/>
  <c r="A31" i="33"/>
  <c r="B31" i="33"/>
  <c r="A32" i="33"/>
  <c r="B32" i="33"/>
  <c r="A33" i="33"/>
  <c r="B33" i="33"/>
  <c r="A34" i="33"/>
  <c r="B34" i="33"/>
  <c r="A35" i="33"/>
  <c r="B35" i="33"/>
  <c r="A36" i="33"/>
  <c r="B36" i="33"/>
  <c r="A37" i="33"/>
  <c r="B37" i="33"/>
  <c r="A38" i="33"/>
  <c r="B38" i="33"/>
  <c r="A39" i="33"/>
  <c r="B39" i="33"/>
  <c r="A40" i="33"/>
  <c r="B40" i="33"/>
  <c r="A41" i="33"/>
  <c r="B41" i="33"/>
  <c r="A42" i="33"/>
  <c r="B42" i="33"/>
  <c r="A43" i="33"/>
  <c r="B43" i="33"/>
  <c r="A44" i="33"/>
  <c r="B44" i="33"/>
  <c r="A45" i="33"/>
  <c r="B45" i="33"/>
  <c r="A46" i="33"/>
  <c r="B46" i="33"/>
  <c r="A47" i="33"/>
  <c r="B47" i="33"/>
  <c r="A48" i="33"/>
  <c r="B48" i="33"/>
  <c r="A49" i="33"/>
  <c r="B49" i="33"/>
  <c r="A50" i="33"/>
  <c r="B50" i="33"/>
  <c r="A51" i="33"/>
  <c r="B51" i="33"/>
  <c r="A52" i="33"/>
  <c r="B52" i="33"/>
  <c r="A53" i="33"/>
  <c r="B53" i="33"/>
  <c r="A54" i="33"/>
  <c r="B54" i="33"/>
  <c r="A55" i="33"/>
  <c r="B55" i="33"/>
  <c r="A56" i="33"/>
  <c r="B56" i="33"/>
  <c r="A57" i="33"/>
  <c r="B57" i="33"/>
  <c r="A58" i="33"/>
  <c r="B58" i="33"/>
  <c r="A59" i="33"/>
  <c r="B59" i="33"/>
  <c r="A60" i="33"/>
  <c r="B60" i="33"/>
  <c r="A61" i="33"/>
  <c r="B61" i="33"/>
  <c r="A62" i="33"/>
  <c r="B62" i="33"/>
  <c r="A63" i="33"/>
  <c r="B63" i="33"/>
  <c r="A64" i="33"/>
  <c r="B64" i="33"/>
  <c r="A65" i="33"/>
  <c r="B65" i="33"/>
  <c r="A66" i="33"/>
  <c r="B66" i="33"/>
  <c r="A67" i="33"/>
  <c r="B67" i="33"/>
  <c r="A68" i="33"/>
  <c r="B68" i="33"/>
  <c r="A69" i="33"/>
  <c r="B69" i="33"/>
  <c r="A70" i="33"/>
  <c r="B70" i="33"/>
  <c r="A71" i="33"/>
  <c r="B71" i="33"/>
  <c r="A72" i="33"/>
  <c r="B72" i="33"/>
  <c r="A73" i="33"/>
  <c r="B73" i="33"/>
  <c r="A74" i="33"/>
  <c r="B74" i="33"/>
  <c r="A75" i="33"/>
  <c r="B75" i="33"/>
  <c r="A76" i="33"/>
  <c r="B76" i="33"/>
  <c r="A77" i="33"/>
  <c r="B77" i="33"/>
  <c r="A78" i="33"/>
  <c r="B78" i="33"/>
  <c r="A79" i="33"/>
  <c r="B79" i="33"/>
  <c r="A80" i="33"/>
  <c r="B80" i="33"/>
  <c r="A81" i="33"/>
  <c r="B81" i="33"/>
  <c r="A82" i="33"/>
  <c r="B82" i="33"/>
  <c r="A83" i="33"/>
  <c r="B83" i="33"/>
  <c r="A84" i="33"/>
  <c r="B84" i="33"/>
  <c r="A85" i="33"/>
  <c r="B85" i="33"/>
  <c r="A86" i="33"/>
  <c r="B86" i="33"/>
  <c r="A87" i="33"/>
  <c r="B87" i="33"/>
  <c r="A88" i="33"/>
  <c r="B88" i="33"/>
  <c r="A89" i="33"/>
  <c r="B89" i="33"/>
  <c r="A90" i="33"/>
  <c r="B90" i="33"/>
  <c r="A91" i="33"/>
  <c r="B91" i="33"/>
  <c r="A92" i="33"/>
  <c r="B92" i="33"/>
  <c r="A93" i="33"/>
  <c r="B93" i="33"/>
  <c r="A94" i="33"/>
  <c r="B94" i="33"/>
  <c r="A95" i="33"/>
  <c r="B95" i="33"/>
  <c r="A96" i="33"/>
  <c r="B96" i="33"/>
  <c r="A97" i="33"/>
  <c r="B97" i="33"/>
  <c r="A98" i="33"/>
  <c r="B98" i="33"/>
  <c r="A99" i="33"/>
  <c r="B99" i="33"/>
  <c r="A100" i="33"/>
  <c r="B100" i="33"/>
  <c r="A101" i="33"/>
  <c r="B101" i="33"/>
  <c r="A102" i="33"/>
  <c r="B102" i="33"/>
  <c r="A103" i="33"/>
  <c r="B103" i="33"/>
  <c r="A104" i="33"/>
  <c r="B104" i="33"/>
  <c r="A105" i="33"/>
  <c r="B105" i="33"/>
  <c r="A106" i="33"/>
  <c r="B106" i="33"/>
  <c r="A107" i="33"/>
  <c r="B107" i="33"/>
  <c r="A108" i="33"/>
  <c r="B108" i="33"/>
  <c r="A109" i="33"/>
  <c r="B109" i="33"/>
  <c r="A110" i="33"/>
  <c r="B110" i="33"/>
  <c r="A111" i="33"/>
  <c r="B111" i="33"/>
  <c r="A112" i="33"/>
  <c r="B112" i="33"/>
  <c r="A113" i="33"/>
  <c r="B113" i="33"/>
  <c r="A114" i="33"/>
  <c r="B114" i="33"/>
  <c r="A115" i="33"/>
  <c r="B115" i="33"/>
  <c r="A116" i="33"/>
  <c r="B116" i="33"/>
  <c r="A117" i="33"/>
  <c r="B117" i="33"/>
  <c r="A118" i="33"/>
  <c r="B118" i="33"/>
  <c r="A119" i="33"/>
  <c r="B119" i="33"/>
  <c r="A120" i="33"/>
  <c r="B120" i="33"/>
  <c r="A121" i="33"/>
  <c r="B121" i="33"/>
  <c r="A122" i="33"/>
  <c r="B122" i="33"/>
  <c r="A123" i="33"/>
  <c r="B123" i="33"/>
  <c r="A124" i="33"/>
  <c r="B124" i="33"/>
  <c r="A125" i="33"/>
  <c r="B125" i="33"/>
  <c r="A126" i="33"/>
  <c r="B126" i="33"/>
  <c r="A127" i="33"/>
  <c r="B127" i="33"/>
  <c r="A128" i="33"/>
  <c r="B128" i="33"/>
  <c r="A129" i="33"/>
  <c r="B129" i="33"/>
  <c r="A130" i="33"/>
  <c r="B130" i="33"/>
  <c r="A131" i="33"/>
  <c r="B131" i="33"/>
  <c r="A132" i="33"/>
  <c r="B132" i="33"/>
  <c r="A133" i="33"/>
  <c r="B133" i="33"/>
  <c r="A134" i="33"/>
  <c r="B134" i="33"/>
  <c r="A135" i="33"/>
  <c r="B135" i="33"/>
  <c r="A136" i="33"/>
  <c r="B136" i="33"/>
  <c r="A137" i="33"/>
  <c r="B137" i="33"/>
  <c r="A138" i="33"/>
  <c r="B138" i="33"/>
  <c r="A139" i="33"/>
  <c r="B139" i="33"/>
  <c r="A140" i="33"/>
  <c r="B140" i="33"/>
  <c r="A141" i="33"/>
  <c r="B141" i="33"/>
  <c r="A142" i="33"/>
  <c r="B142" i="33"/>
  <c r="A143" i="33"/>
  <c r="B143" i="33"/>
  <c r="A144" i="33"/>
  <c r="B144" i="33"/>
  <c r="A145" i="33"/>
  <c r="B145" i="33"/>
  <c r="A146" i="33"/>
  <c r="B146" i="33"/>
  <c r="A147" i="33"/>
  <c r="B147" i="33"/>
  <c r="A148" i="33"/>
  <c r="B148" i="33"/>
  <c r="A149" i="33"/>
  <c r="B149" i="33"/>
  <c r="A150" i="33"/>
  <c r="B150" i="33"/>
  <c r="A151" i="33"/>
  <c r="B151" i="33"/>
  <c r="A152" i="33"/>
  <c r="B152" i="33"/>
  <c r="A153" i="33"/>
  <c r="B153" i="33"/>
  <c r="A154" i="33"/>
  <c r="B154" i="33"/>
  <c r="A155" i="33"/>
  <c r="B155" i="33"/>
  <c r="A156" i="33"/>
  <c r="B156" i="33"/>
  <c r="A157" i="33"/>
  <c r="B157" i="33"/>
  <c r="A158" i="33"/>
  <c r="B158" i="33"/>
  <c r="A159" i="33"/>
  <c r="B159" i="33"/>
  <c r="A160" i="33"/>
  <c r="B160" i="33"/>
  <c r="A161" i="33"/>
  <c r="B161" i="33"/>
  <c r="A162" i="33"/>
  <c r="B162" i="33"/>
  <c r="A163" i="33"/>
  <c r="B163" i="33"/>
  <c r="A164" i="33"/>
  <c r="B164" i="33"/>
  <c r="A165" i="33"/>
  <c r="B165" i="33"/>
  <c r="A166" i="33"/>
  <c r="B166" i="33"/>
  <c r="A167" i="33"/>
  <c r="B167" i="33"/>
  <c r="A168" i="33"/>
  <c r="B168" i="33"/>
  <c r="A169" i="33"/>
  <c r="B169" i="33"/>
  <c r="A170" i="33"/>
  <c r="B170" i="33"/>
  <c r="A171" i="33"/>
  <c r="B171" i="33"/>
  <c r="A172" i="33"/>
  <c r="B172" i="33"/>
  <c r="A173" i="33"/>
  <c r="B173" i="33"/>
  <c r="A174" i="33"/>
  <c r="B174" i="33"/>
  <c r="A175" i="33"/>
  <c r="B175" i="33"/>
  <c r="A176" i="33"/>
  <c r="B176" i="33"/>
  <c r="A177" i="33"/>
  <c r="B177" i="33"/>
  <c r="A178" i="33"/>
  <c r="B178" i="33"/>
  <c r="A179" i="33"/>
  <c r="B179" i="33"/>
  <c r="A180" i="33"/>
  <c r="B180" i="33"/>
  <c r="A181" i="33"/>
  <c r="B181" i="33"/>
  <c r="A182" i="33"/>
  <c r="B182" i="33"/>
  <c r="A183" i="33"/>
  <c r="B183" i="33"/>
  <c r="A184" i="33"/>
  <c r="B184" i="33"/>
  <c r="A185" i="33"/>
  <c r="B185" i="33"/>
  <c r="A186" i="33"/>
  <c r="B186" i="33"/>
  <c r="A187" i="33"/>
  <c r="B187" i="33"/>
  <c r="A188" i="33"/>
  <c r="B188" i="33"/>
  <c r="A189" i="33"/>
  <c r="B189" i="33"/>
  <c r="A190" i="33"/>
  <c r="B190" i="33"/>
  <c r="A191" i="33"/>
  <c r="B191" i="33"/>
  <c r="A192" i="33"/>
  <c r="B192" i="33"/>
  <c r="A193" i="33"/>
  <c r="B193" i="33"/>
  <c r="A194" i="33"/>
  <c r="B194" i="33"/>
  <c r="A195" i="33"/>
  <c r="B195" i="33"/>
  <c r="A196" i="33"/>
  <c r="B196" i="33"/>
  <c r="A197" i="33"/>
  <c r="B197" i="33"/>
  <c r="A198" i="33"/>
  <c r="B198" i="33"/>
  <c r="A199" i="33"/>
  <c r="B199" i="33"/>
  <c r="A200" i="33"/>
  <c r="B200" i="33"/>
  <c r="A201" i="33"/>
  <c r="B201" i="33"/>
  <c r="A202" i="33"/>
  <c r="B202" i="33"/>
  <c r="A203" i="33"/>
  <c r="B203" i="33"/>
  <c r="A204" i="33"/>
  <c r="B204" i="33"/>
  <c r="A205" i="33"/>
  <c r="B205" i="33"/>
  <c r="A206" i="33"/>
  <c r="B206" i="33"/>
  <c r="A207" i="33"/>
  <c r="B207" i="33"/>
  <c r="A208" i="33"/>
  <c r="B208" i="33"/>
  <c r="A209" i="33"/>
  <c r="B209" i="33"/>
  <c r="A210" i="33"/>
  <c r="B210" i="33"/>
  <c r="A211" i="33"/>
  <c r="B211" i="33"/>
  <c r="A212" i="33"/>
  <c r="B212" i="33"/>
  <c r="A213" i="33"/>
  <c r="B213" i="33"/>
  <c r="A214" i="33"/>
  <c r="B214" i="33"/>
  <c r="A215" i="33"/>
  <c r="B215" i="33"/>
  <c r="A216" i="33"/>
  <c r="B216" i="33"/>
  <c r="A217" i="33"/>
  <c r="B217" i="33"/>
  <c r="A218" i="33"/>
  <c r="B218" i="33"/>
  <c r="A219" i="33"/>
  <c r="B219" i="33"/>
  <c r="A220" i="33"/>
  <c r="B220" i="33"/>
  <c r="A221" i="33"/>
  <c r="B221" i="33"/>
  <c r="A222" i="33"/>
  <c r="B222" i="33"/>
  <c r="A223" i="33"/>
  <c r="B223" i="33"/>
  <c r="A224" i="33"/>
  <c r="B224" i="33"/>
  <c r="A225" i="33"/>
  <c r="B225" i="33"/>
  <c r="A226" i="33"/>
  <c r="B226" i="33"/>
  <c r="A227" i="33"/>
  <c r="B227" i="33"/>
  <c r="A228" i="33"/>
  <c r="B228" i="33"/>
  <c r="A229" i="33"/>
  <c r="B229" i="33"/>
  <c r="A230" i="33"/>
  <c r="B230" i="33"/>
  <c r="A231" i="33"/>
  <c r="B231" i="33"/>
  <c r="A232" i="33"/>
  <c r="B232" i="33"/>
  <c r="A233" i="33"/>
  <c r="B233" i="33"/>
  <c r="A234" i="33"/>
  <c r="B234" i="33"/>
  <c r="A235" i="33"/>
  <c r="B235" i="33"/>
  <c r="A236" i="33"/>
  <c r="B236" i="33"/>
  <c r="A237" i="33"/>
  <c r="B237" i="33"/>
  <c r="A238" i="33"/>
  <c r="B238" i="33"/>
  <c r="A239" i="33"/>
  <c r="B239" i="33"/>
  <c r="A240" i="33"/>
  <c r="B240" i="33"/>
  <c r="A241" i="33"/>
  <c r="B241" i="33"/>
  <c r="A242" i="33"/>
  <c r="B242" i="33"/>
  <c r="A243" i="33"/>
  <c r="B243" i="33"/>
  <c r="A244" i="33"/>
  <c r="B244" i="33"/>
  <c r="A245" i="33"/>
  <c r="B245" i="33"/>
  <c r="A246" i="33"/>
  <c r="B246" i="33"/>
  <c r="A247" i="33"/>
  <c r="B247" i="33"/>
  <c r="A248" i="33"/>
  <c r="B248" i="33"/>
  <c r="A249" i="33"/>
  <c r="B249" i="33"/>
  <c r="A250" i="33"/>
  <c r="B250" i="33"/>
  <c r="A251" i="33"/>
  <c r="B251" i="33"/>
  <c r="A252" i="33"/>
  <c r="B252" i="33"/>
  <c r="A253" i="33"/>
  <c r="B253" i="33"/>
  <c r="A254" i="33"/>
  <c r="B254" i="33"/>
  <c r="A255" i="33"/>
  <c r="B255" i="33"/>
  <c r="A256" i="33"/>
  <c r="B256" i="33"/>
  <c r="A257" i="33"/>
  <c r="B257" i="33"/>
  <c r="A258" i="33"/>
  <c r="B258" i="33"/>
  <c r="A259" i="33"/>
  <c r="B259" i="33"/>
  <c r="A260" i="33"/>
  <c r="B260" i="33"/>
  <c r="A261" i="33"/>
  <c r="B261" i="33"/>
  <c r="A262" i="33"/>
  <c r="B262" i="33"/>
  <c r="A263" i="33"/>
  <c r="B263" i="33"/>
  <c r="A264" i="33"/>
  <c r="B264" i="33"/>
  <c r="A265" i="33"/>
  <c r="B265" i="33"/>
  <c r="A266" i="33"/>
  <c r="B266" i="33"/>
  <c r="A267" i="33"/>
  <c r="B267" i="33"/>
  <c r="A268" i="33"/>
  <c r="B268" i="33"/>
  <c r="A269" i="33"/>
  <c r="B269" i="33"/>
  <c r="A270" i="33"/>
  <c r="B270" i="33"/>
  <c r="A271" i="33"/>
  <c r="B271" i="33"/>
  <c r="A272" i="33"/>
  <c r="B272" i="33"/>
  <c r="A273" i="33"/>
  <c r="B273" i="33"/>
  <c r="A274" i="33"/>
  <c r="B274" i="33"/>
  <c r="A275" i="33"/>
  <c r="B275" i="33"/>
  <c r="A276" i="33"/>
  <c r="B276" i="33"/>
  <c r="A277" i="33"/>
  <c r="B277" i="33"/>
  <c r="A278" i="33"/>
  <c r="B278" i="33"/>
  <c r="A279" i="33"/>
  <c r="B279" i="33"/>
  <c r="A280" i="33"/>
  <c r="B280" i="33"/>
  <c r="A281" i="33"/>
  <c r="B281" i="33"/>
  <c r="A282" i="33"/>
  <c r="B282" i="33"/>
  <c r="A283" i="33"/>
  <c r="B283" i="33"/>
  <c r="A284" i="33"/>
  <c r="B284" i="33"/>
  <c r="A285" i="33"/>
  <c r="B285" i="33"/>
  <c r="A286" i="33"/>
  <c r="B286" i="33"/>
  <c r="A287" i="33"/>
  <c r="B287" i="33"/>
  <c r="A288" i="33"/>
  <c r="B288" i="33"/>
  <c r="A289" i="33"/>
  <c r="B289" i="33"/>
  <c r="A290" i="33"/>
  <c r="B290" i="33"/>
  <c r="A291" i="33"/>
  <c r="B291" i="33"/>
  <c r="A292" i="33"/>
  <c r="B292" i="33"/>
  <c r="A293" i="33"/>
  <c r="B293" i="33"/>
  <c r="A294" i="33"/>
  <c r="B294" i="33"/>
  <c r="A295" i="33"/>
  <c r="B295" i="33"/>
  <c r="A296" i="33"/>
  <c r="B296" i="33"/>
  <c r="A297" i="33"/>
  <c r="B297" i="33"/>
  <c r="A298" i="33"/>
  <c r="B298" i="33"/>
  <c r="A299" i="33"/>
  <c r="B299" i="33"/>
  <c r="A300" i="33"/>
  <c r="B300" i="33"/>
  <c r="A301" i="33"/>
  <c r="B301" i="33"/>
  <c r="A302" i="33"/>
  <c r="B302" i="33"/>
  <c r="A303" i="33"/>
  <c r="B303" i="33"/>
  <c r="A304" i="33"/>
  <c r="B304" i="33"/>
  <c r="A305" i="33"/>
  <c r="B305" i="33"/>
  <c r="A306" i="33"/>
  <c r="B306" i="33"/>
  <c r="A307" i="33"/>
  <c r="B307" i="33"/>
  <c r="A308" i="33"/>
  <c r="B308" i="33"/>
  <c r="A309" i="33"/>
  <c r="B309" i="33"/>
  <c r="A310" i="33"/>
  <c r="B310" i="33"/>
  <c r="A311" i="33"/>
  <c r="B311" i="33"/>
  <c r="A312" i="33"/>
  <c r="B312" i="33"/>
  <c r="A313" i="33"/>
  <c r="B313" i="33"/>
  <c r="A6" i="32"/>
  <c r="B6" i="32"/>
  <c r="A7" i="32"/>
  <c r="B7" i="32"/>
  <c r="A8" i="32"/>
  <c r="B8" i="32"/>
  <c r="A9" i="32"/>
  <c r="B9" i="32"/>
  <c r="A10" i="32"/>
  <c r="B10" i="32"/>
  <c r="A11" i="32"/>
  <c r="B11" i="32"/>
  <c r="A12" i="32"/>
  <c r="B12" i="32"/>
  <c r="A13" i="32"/>
  <c r="B13" i="32"/>
  <c r="A14" i="32"/>
  <c r="B14" i="32"/>
  <c r="A15" i="32"/>
  <c r="B15" i="32"/>
  <c r="A16" i="32"/>
  <c r="B16" i="32"/>
  <c r="A17" i="32"/>
  <c r="B17" i="32"/>
  <c r="A18" i="32"/>
  <c r="B18" i="32"/>
  <c r="A19" i="32"/>
  <c r="B19" i="32"/>
  <c r="A20" i="32"/>
  <c r="B20" i="32"/>
  <c r="A21" i="32"/>
  <c r="B21" i="32"/>
  <c r="A22" i="32"/>
  <c r="B22" i="32"/>
  <c r="A23" i="32"/>
  <c r="B23" i="32"/>
  <c r="A24" i="32"/>
  <c r="B24" i="32"/>
  <c r="A25" i="32"/>
  <c r="B25" i="32"/>
  <c r="A26" i="32"/>
  <c r="B26" i="32"/>
  <c r="A27" i="32"/>
  <c r="B27" i="32"/>
  <c r="A28" i="32"/>
  <c r="B28" i="32"/>
  <c r="A29" i="32"/>
  <c r="B29" i="32"/>
  <c r="A30" i="32"/>
  <c r="B30" i="32"/>
  <c r="A31" i="32"/>
  <c r="B31" i="32"/>
  <c r="A32" i="32"/>
  <c r="B32" i="32"/>
  <c r="A33" i="32"/>
  <c r="B33" i="32"/>
  <c r="A34" i="32"/>
  <c r="B34" i="32"/>
  <c r="A35" i="32"/>
  <c r="B35" i="32"/>
  <c r="A36" i="32"/>
  <c r="B36" i="32"/>
  <c r="A37" i="32"/>
  <c r="B37" i="32"/>
  <c r="A38" i="32"/>
  <c r="B38" i="32"/>
  <c r="A39" i="32"/>
  <c r="B39" i="32"/>
  <c r="A40" i="32"/>
  <c r="B40" i="32"/>
  <c r="A41" i="32"/>
  <c r="B41" i="32"/>
  <c r="A42" i="32"/>
  <c r="B42" i="32"/>
  <c r="A43" i="32"/>
  <c r="B43" i="32"/>
  <c r="A44" i="32"/>
  <c r="B44" i="32"/>
  <c r="A45" i="32"/>
  <c r="B45" i="32"/>
  <c r="A46" i="32"/>
  <c r="B46" i="32"/>
  <c r="A47" i="32"/>
  <c r="B47" i="32"/>
  <c r="A48" i="32"/>
  <c r="B48" i="32"/>
  <c r="A49" i="32"/>
  <c r="B49" i="32"/>
  <c r="A50" i="32"/>
  <c r="B50" i="32"/>
  <c r="A51" i="32"/>
  <c r="B51" i="32"/>
  <c r="A52" i="32"/>
  <c r="B52" i="32"/>
  <c r="A53" i="32"/>
  <c r="B53" i="32"/>
  <c r="A54" i="32"/>
  <c r="B54" i="32"/>
  <c r="A55" i="32"/>
  <c r="B55" i="32"/>
  <c r="A56" i="32"/>
  <c r="B56" i="32"/>
  <c r="A57" i="32"/>
  <c r="B57" i="32"/>
  <c r="A58" i="32"/>
  <c r="B58" i="32"/>
  <c r="A59" i="32"/>
  <c r="B59" i="32"/>
  <c r="A60" i="32"/>
  <c r="B60" i="32"/>
  <c r="A61" i="32"/>
  <c r="B61" i="32"/>
  <c r="A62" i="32"/>
  <c r="B62" i="32"/>
  <c r="A63" i="32"/>
  <c r="B63" i="32"/>
  <c r="A64" i="32"/>
  <c r="B64" i="32"/>
  <c r="A65" i="32"/>
  <c r="B65" i="32"/>
  <c r="A66" i="32"/>
  <c r="B66" i="32"/>
  <c r="A67" i="32"/>
  <c r="B67" i="32"/>
  <c r="A68" i="32"/>
  <c r="B68" i="32"/>
  <c r="A69" i="32"/>
  <c r="B69" i="32"/>
  <c r="A70" i="32"/>
  <c r="B70" i="32"/>
  <c r="A71" i="32"/>
  <c r="B71" i="32"/>
  <c r="A72" i="32"/>
  <c r="B72" i="32"/>
  <c r="A73" i="32"/>
  <c r="B73" i="32"/>
  <c r="A74" i="32"/>
  <c r="B74" i="32"/>
  <c r="A75" i="32"/>
  <c r="B75" i="32"/>
  <c r="A76" i="32"/>
  <c r="B76" i="32"/>
  <c r="A77" i="32"/>
  <c r="B77" i="32"/>
  <c r="A78" i="32"/>
  <c r="B78" i="32"/>
  <c r="A79" i="32"/>
  <c r="B79" i="32"/>
  <c r="A80" i="32"/>
  <c r="B80" i="32"/>
  <c r="A81" i="32"/>
  <c r="B81" i="32"/>
  <c r="A82" i="32"/>
  <c r="B82" i="32"/>
  <c r="A83" i="32"/>
  <c r="B83" i="32"/>
  <c r="A84" i="32"/>
  <c r="B84" i="32"/>
  <c r="A85" i="32"/>
  <c r="B85" i="32"/>
  <c r="A86" i="32"/>
  <c r="B86" i="32"/>
  <c r="A87" i="32"/>
  <c r="B87" i="32"/>
  <c r="A88" i="32"/>
  <c r="B88" i="32"/>
  <c r="A89" i="32"/>
  <c r="B89" i="32"/>
  <c r="A90" i="32"/>
  <c r="B90" i="32"/>
  <c r="A91" i="32"/>
  <c r="B91" i="32"/>
  <c r="A92" i="32"/>
  <c r="B92" i="32"/>
  <c r="A93" i="32"/>
  <c r="B93" i="32"/>
  <c r="A94" i="32"/>
  <c r="B94" i="32"/>
  <c r="A95" i="32"/>
  <c r="B95" i="32"/>
  <c r="A96" i="32"/>
  <c r="B96" i="32"/>
  <c r="A97" i="32"/>
  <c r="B97" i="32"/>
  <c r="A98" i="32"/>
  <c r="B98" i="32"/>
  <c r="A99" i="32"/>
  <c r="B99" i="32"/>
  <c r="A100" i="32"/>
  <c r="B100" i="32"/>
  <c r="A101" i="32"/>
  <c r="B101" i="32"/>
  <c r="A102" i="32"/>
  <c r="B102" i="32"/>
  <c r="A103" i="32"/>
  <c r="B103" i="32"/>
  <c r="A104" i="32"/>
  <c r="B104" i="32"/>
  <c r="A105" i="32"/>
  <c r="B105" i="32"/>
  <c r="A106" i="32"/>
  <c r="B106" i="32"/>
  <c r="A107" i="32"/>
  <c r="B107" i="32"/>
  <c r="A108" i="32"/>
  <c r="B108" i="32"/>
  <c r="A109" i="32"/>
  <c r="B109" i="32"/>
  <c r="A110" i="32"/>
  <c r="B110" i="32"/>
  <c r="A111" i="32"/>
  <c r="B111" i="32"/>
  <c r="A112" i="32"/>
  <c r="B112" i="32"/>
  <c r="A113" i="32"/>
  <c r="B113" i="32"/>
  <c r="A114" i="32"/>
  <c r="B114" i="32"/>
  <c r="A115" i="32"/>
  <c r="B115" i="32"/>
  <c r="A116" i="32"/>
  <c r="B116" i="32"/>
  <c r="A117" i="32"/>
  <c r="B117" i="32"/>
  <c r="A118" i="32"/>
  <c r="B118" i="32"/>
  <c r="A119" i="32"/>
  <c r="B119" i="32"/>
  <c r="A120" i="32"/>
  <c r="B120" i="32"/>
  <c r="A121" i="32"/>
  <c r="B121" i="32"/>
  <c r="A122" i="32"/>
  <c r="B122" i="32"/>
  <c r="A123" i="32"/>
  <c r="B123" i="32"/>
  <c r="A124" i="32"/>
  <c r="B124" i="32"/>
  <c r="A125" i="32"/>
  <c r="B125" i="32"/>
  <c r="A126" i="32"/>
  <c r="B126" i="32"/>
  <c r="A127" i="32"/>
  <c r="B127" i="32"/>
  <c r="A128" i="32"/>
  <c r="B128" i="32"/>
  <c r="A129" i="32"/>
  <c r="B129" i="32"/>
  <c r="A130" i="32"/>
  <c r="B130" i="32"/>
  <c r="A131" i="32"/>
  <c r="B131" i="32"/>
  <c r="A132" i="32"/>
  <c r="B132" i="32"/>
  <c r="A133" i="32"/>
  <c r="B133" i="32"/>
  <c r="A134" i="32"/>
  <c r="B134" i="32"/>
  <c r="A135" i="32"/>
  <c r="B135" i="32"/>
  <c r="A136" i="32"/>
  <c r="B136" i="32"/>
  <c r="A137" i="32"/>
  <c r="B137" i="32"/>
  <c r="A138" i="32"/>
  <c r="B138" i="32"/>
  <c r="A139" i="32"/>
  <c r="B139" i="32"/>
  <c r="A140" i="32"/>
  <c r="B140" i="32"/>
  <c r="A141" i="32"/>
  <c r="B141" i="32"/>
  <c r="A142" i="32"/>
  <c r="B142" i="32"/>
  <c r="A143" i="32"/>
  <c r="B143" i="32"/>
  <c r="A144" i="32"/>
  <c r="B144" i="32"/>
  <c r="A145" i="32"/>
  <c r="B145" i="32"/>
  <c r="A146" i="32"/>
  <c r="B146" i="32"/>
  <c r="A147" i="32"/>
  <c r="B147" i="32"/>
  <c r="A148" i="32"/>
  <c r="B148" i="32"/>
  <c r="A149" i="32"/>
  <c r="B149" i="32"/>
  <c r="A150" i="32"/>
  <c r="B150" i="32"/>
  <c r="A151" i="32"/>
  <c r="B151" i="32"/>
  <c r="A152" i="32"/>
  <c r="B152" i="32"/>
  <c r="A153" i="32"/>
  <c r="B153" i="32"/>
  <c r="A154" i="32"/>
  <c r="B154" i="32"/>
  <c r="A155" i="32"/>
  <c r="B155" i="32"/>
  <c r="A156" i="32"/>
  <c r="B156" i="32"/>
  <c r="A157" i="32"/>
  <c r="B157" i="32"/>
  <c r="A158" i="32"/>
  <c r="B158" i="32"/>
  <c r="A159" i="32"/>
  <c r="B159" i="32"/>
  <c r="A160" i="32"/>
  <c r="B160" i="32"/>
  <c r="A161" i="32"/>
  <c r="B161" i="32"/>
  <c r="A162" i="32"/>
  <c r="B162" i="32"/>
  <c r="A163" i="32"/>
  <c r="B163" i="32"/>
  <c r="A164" i="32"/>
  <c r="B164" i="32"/>
  <c r="A165" i="32"/>
  <c r="B165" i="32"/>
  <c r="A166" i="32"/>
  <c r="B166" i="32"/>
  <c r="A167" i="32"/>
  <c r="B167" i="32"/>
  <c r="A168" i="32"/>
  <c r="B168" i="32"/>
  <c r="A169" i="32"/>
  <c r="B169" i="32"/>
  <c r="A170" i="32"/>
  <c r="B170" i="32"/>
  <c r="A171" i="32"/>
  <c r="B171" i="32"/>
  <c r="A172" i="32"/>
  <c r="B172" i="32"/>
  <c r="A173" i="32"/>
  <c r="B173" i="32"/>
  <c r="A174" i="32"/>
  <c r="B174" i="32"/>
  <c r="A175" i="32"/>
  <c r="B175" i="32"/>
  <c r="A176" i="32"/>
  <c r="B176" i="32"/>
  <c r="A177" i="32"/>
  <c r="B177" i="32"/>
  <c r="A178" i="32"/>
  <c r="B178" i="32"/>
  <c r="A179" i="32"/>
  <c r="B179" i="32"/>
  <c r="A180" i="32"/>
  <c r="B180" i="32"/>
  <c r="A181" i="32"/>
  <c r="B181" i="32"/>
  <c r="A182" i="32"/>
  <c r="B182" i="32"/>
  <c r="A183" i="32"/>
  <c r="B183" i="32"/>
  <c r="A184" i="32"/>
  <c r="B184" i="32"/>
  <c r="A185" i="32"/>
  <c r="B185" i="32"/>
  <c r="A186" i="32"/>
  <c r="B186" i="32"/>
  <c r="A187" i="32"/>
  <c r="B187" i="32"/>
  <c r="A188" i="32"/>
  <c r="B188" i="32"/>
  <c r="A189" i="32"/>
  <c r="B189" i="32"/>
  <c r="A190" i="32"/>
  <c r="B190" i="32"/>
  <c r="A191" i="32"/>
  <c r="B191" i="32"/>
  <c r="A192" i="32"/>
  <c r="B192" i="32"/>
  <c r="A193" i="32"/>
  <c r="B193" i="32"/>
  <c r="A194" i="32"/>
  <c r="B194" i="32"/>
  <c r="A195" i="32"/>
  <c r="B195" i="32"/>
  <c r="A196" i="32"/>
  <c r="B196" i="32"/>
  <c r="A197" i="32"/>
  <c r="B197" i="32"/>
  <c r="A198" i="32"/>
  <c r="B198" i="32"/>
  <c r="A199" i="32"/>
  <c r="B199" i="32"/>
  <c r="A200" i="32"/>
  <c r="B200" i="32"/>
  <c r="A201" i="32"/>
  <c r="B201" i="32"/>
  <c r="A202" i="32"/>
  <c r="B202" i="32"/>
  <c r="A203" i="32"/>
  <c r="B203" i="32"/>
  <c r="A204" i="32"/>
  <c r="B204" i="32"/>
  <c r="A205" i="32"/>
  <c r="B205" i="32"/>
  <c r="A206" i="32"/>
  <c r="B206" i="32"/>
  <c r="A207" i="32"/>
  <c r="B207" i="32"/>
  <c r="A208" i="32"/>
  <c r="B208" i="32"/>
  <c r="A209" i="32"/>
  <c r="B209" i="32"/>
  <c r="A210" i="32"/>
  <c r="B210" i="32"/>
  <c r="A211" i="32"/>
  <c r="B211" i="32"/>
  <c r="A212" i="32"/>
  <c r="B212" i="32"/>
  <c r="A213" i="32"/>
  <c r="B213" i="32"/>
  <c r="A214" i="32"/>
  <c r="B214" i="32"/>
  <c r="A215" i="32"/>
  <c r="B215" i="32"/>
  <c r="A216" i="32"/>
  <c r="B216" i="32"/>
  <c r="A217" i="32"/>
  <c r="B217" i="32"/>
  <c r="A218" i="32"/>
  <c r="B218" i="32"/>
  <c r="A219" i="32"/>
  <c r="B219" i="32"/>
  <c r="A220" i="32"/>
  <c r="B220" i="32"/>
  <c r="A221" i="32"/>
  <c r="B221" i="32"/>
  <c r="A222" i="32"/>
  <c r="B222" i="32"/>
  <c r="A223" i="32"/>
  <c r="B223" i="32"/>
  <c r="A224" i="32"/>
  <c r="B224" i="32"/>
  <c r="A225" i="32"/>
  <c r="B225" i="32"/>
  <c r="A226" i="32"/>
  <c r="B226" i="32"/>
  <c r="A227" i="32"/>
  <c r="B227" i="32"/>
  <c r="A228" i="32"/>
  <c r="B228" i="32"/>
  <c r="A229" i="32"/>
  <c r="B229" i="32"/>
  <c r="A230" i="32"/>
  <c r="B230" i="32"/>
  <c r="A231" i="32"/>
  <c r="B231" i="32"/>
  <c r="A232" i="32"/>
  <c r="B232" i="32"/>
  <c r="A233" i="32"/>
  <c r="B233" i="32"/>
  <c r="A234" i="32"/>
  <c r="B234" i="32"/>
  <c r="A235" i="32"/>
  <c r="B235" i="32"/>
  <c r="A236" i="32"/>
  <c r="B236" i="32"/>
  <c r="A237" i="32"/>
  <c r="B237" i="32"/>
  <c r="A238" i="32"/>
  <c r="B238" i="32"/>
  <c r="A239" i="32"/>
  <c r="B239" i="32"/>
  <c r="A240" i="32"/>
  <c r="B240" i="32"/>
  <c r="A241" i="32"/>
  <c r="B241" i="32"/>
  <c r="A242" i="32"/>
  <c r="B242" i="32"/>
  <c r="A243" i="32"/>
  <c r="B243" i="32"/>
  <c r="A244" i="32"/>
  <c r="B244" i="32"/>
  <c r="A245" i="32"/>
  <c r="B245" i="32"/>
  <c r="A246" i="32"/>
  <c r="B246" i="32"/>
  <c r="A247" i="32"/>
  <c r="B247" i="32"/>
  <c r="A248" i="32"/>
  <c r="B248" i="32"/>
  <c r="A249" i="32"/>
  <c r="B249" i="32"/>
  <c r="A250" i="32"/>
  <c r="B250" i="32"/>
  <c r="A251" i="32"/>
  <c r="B251" i="32"/>
  <c r="A252" i="32"/>
  <c r="B252" i="32"/>
  <c r="A253" i="32"/>
  <c r="B253" i="32"/>
  <c r="A254" i="32"/>
  <c r="B254" i="32"/>
  <c r="A255" i="32"/>
  <c r="B255" i="32"/>
  <c r="A256" i="32"/>
  <c r="B256" i="32"/>
  <c r="A257" i="32"/>
  <c r="B257" i="32"/>
  <c r="A258" i="32"/>
  <c r="B258" i="32"/>
  <c r="A259" i="32"/>
  <c r="B259" i="32"/>
  <c r="A260" i="32"/>
  <c r="B260" i="32"/>
  <c r="A261" i="32"/>
  <c r="B261" i="32"/>
  <c r="A262" i="32"/>
  <c r="B262" i="32"/>
  <c r="A263" i="32"/>
  <c r="B263" i="32"/>
  <c r="A264" i="32"/>
  <c r="B264" i="32"/>
  <c r="A265" i="32"/>
  <c r="B265" i="32"/>
  <c r="A266" i="32"/>
  <c r="B266" i="32"/>
  <c r="A267" i="32"/>
  <c r="B267" i="32"/>
  <c r="A268" i="32"/>
  <c r="B268" i="32"/>
  <c r="A269" i="32"/>
  <c r="B269" i="32"/>
  <c r="A270" i="32"/>
  <c r="B270" i="32"/>
  <c r="A271" i="32"/>
  <c r="B271" i="32"/>
  <c r="A272" i="32"/>
  <c r="B272" i="32"/>
  <c r="A273" i="32"/>
  <c r="B273" i="32"/>
  <c r="A274" i="32"/>
  <c r="B274" i="32"/>
  <c r="A275" i="32"/>
  <c r="B275" i="32"/>
  <c r="A276" i="32"/>
  <c r="B276" i="32"/>
  <c r="A277" i="32"/>
  <c r="B277" i="32"/>
  <c r="A278" i="32"/>
  <c r="B278" i="32"/>
  <c r="A279" i="32"/>
  <c r="B279" i="32"/>
  <c r="A280" i="32"/>
  <c r="B280" i="32"/>
  <c r="A281" i="32"/>
  <c r="B281" i="32"/>
  <c r="A282" i="32"/>
  <c r="B282" i="32"/>
  <c r="A283" i="32"/>
  <c r="B283" i="32"/>
  <c r="A284" i="32"/>
  <c r="B284" i="32"/>
  <c r="A285" i="32"/>
  <c r="B285" i="32"/>
  <c r="A286" i="32"/>
  <c r="B286" i="32"/>
  <c r="A287" i="32"/>
  <c r="B287" i="32"/>
  <c r="A288" i="32"/>
  <c r="B288" i="32"/>
  <c r="A289" i="32"/>
  <c r="B289" i="32"/>
  <c r="A290" i="32"/>
  <c r="B290" i="32"/>
  <c r="A291" i="32"/>
  <c r="B291" i="32"/>
  <c r="A292" i="32"/>
  <c r="B292" i="32"/>
  <c r="A293" i="32"/>
  <c r="B293" i="32"/>
  <c r="A294" i="32"/>
  <c r="B294" i="32"/>
  <c r="A295" i="32"/>
  <c r="B295" i="32"/>
  <c r="A296" i="32"/>
  <c r="B296" i="32"/>
  <c r="A297" i="32"/>
  <c r="B297" i="32"/>
  <c r="A298" i="32"/>
  <c r="B298" i="32"/>
  <c r="A299" i="32"/>
  <c r="B299" i="32"/>
  <c r="A300" i="32"/>
  <c r="B300" i="32"/>
  <c r="A301" i="32"/>
  <c r="B301" i="32"/>
  <c r="A302" i="32"/>
  <c r="B302" i="32"/>
  <c r="A303" i="32"/>
  <c r="B303" i="32"/>
  <c r="A304" i="32"/>
  <c r="B304" i="32"/>
  <c r="A305" i="32"/>
  <c r="B305" i="32"/>
  <c r="A306" i="32"/>
  <c r="B306" i="32"/>
  <c r="A307" i="32"/>
  <c r="B307" i="32"/>
  <c r="A308" i="32"/>
  <c r="B308" i="32"/>
  <c r="A309" i="32"/>
  <c r="B309" i="32"/>
  <c r="A310" i="32"/>
  <c r="B310" i="32"/>
  <c r="A311" i="32"/>
  <c r="B311" i="32"/>
  <c r="A312" i="32"/>
  <c r="B312" i="32"/>
  <c r="A313" i="32"/>
  <c r="B313" i="32"/>
  <c r="O290" i="11" l="1"/>
  <c r="E157" i="11" l="1"/>
  <c r="O180" i="11" l="1"/>
  <c r="O219" i="11" l="1"/>
  <c r="O220" i="11"/>
  <c r="O221" i="11"/>
  <c r="O222" i="11"/>
  <c r="O223" i="11"/>
  <c r="O224" i="11"/>
  <c r="O225" i="11"/>
  <c r="O226" i="11"/>
  <c r="O227" i="11"/>
  <c r="O228" i="11"/>
  <c r="O229" i="11"/>
  <c r="O230" i="11"/>
  <c r="O231" i="11"/>
  <c r="O232" i="11"/>
  <c r="O233" i="11"/>
  <c r="O234" i="11"/>
  <c r="O235" i="11"/>
  <c r="O236" i="11"/>
  <c r="O237" i="11"/>
  <c r="O238" i="11"/>
  <c r="O239" i="11"/>
  <c r="O240" i="11"/>
  <c r="O241" i="11"/>
  <c r="O242" i="11"/>
  <c r="O243" i="11"/>
  <c r="O244" i="11"/>
  <c r="O245" i="11"/>
  <c r="O246" i="11"/>
  <c r="O247" i="11"/>
  <c r="O248" i="11"/>
  <c r="O249" i="11"/>
  <c r="O250" i="11"/>
  <c r="O251" i="11"/>
  <c r="O252" i="11"/>
  <c r="O253" i="11"/>
  <c r="O254" i="11"/>
  <c r="O255" i="11"/>
  <c r="O256" i="11"/>
  <c r="O257" i="11"/>
  <c r="O258" i="11"/>
  <c r="O259" i="11"/>
  <c r="O260" i="11"/>
  <c r="O261" i="11"/>
  <c r="O262" i="11"/>
  <c r="O263" i="11"/>
  <c r="O264" i="11"/>
  <c r="O265" i="11"/>
  <c r="O266" i="11"/>
  <c r="O267" i="11"/>
  <c r="O268" i="11"/>
  <c r="O269" i="11"/>
  <c r="O270" i="11"/>
  <c r="O271" i="11"/>
  <c r="O272" i="11"/>
  <c r="O273" i="11"/>
  <c r="O274" i="11"/>
  <c r="O275" i="11"/>
  <c r="O276" i="11"/>
  <c r="O277" i="11"/>
  <c r="O278" i="11"/>
  <c r="O279" i="11"/>
  <c r="O280" i="11"/>
  <c r="O281" i="11"/>
  <c r="O282" i="11"/>
  <c r="O283" i="11"/>
  <c r="O284" i="11"/>
  <c r="O285" i="11"/>
  <c r="O286" i="11"/>
  <c r="O287" i="11"/>
  <c r="O288" i="11"/>
  <c r="O289" i="11"/>
  <c r="O291" i="11"/>
  <c r="O292" i="11"/>
  <c r="O293" i="11"/>
  <c r="O294" i="11"/>
  <c r="O295" i="11"/>
  <c r="O296" i="11"/>
  <c r="O297" i="11"/>
  <c r="O298" i="11"/>
  <c r="O299" i="11"/>
  <c r="O300" i="11"/>
  <c r="O301" i="11"/>
  <c r="O302" i="11"/>
  <c r="O303" i="11"/>
  <c r="O304" i="11"/>
  <c r="O305" i="11"/>
  <c r="O306" i="11"/>
  <c r="O307" i="11"/>
  <c r="O308" i="11"/>
  <c r="O309" i="11"/>
  <c r="O310" i="11"/>
  <c r="O311" i="11"/>
  <c r="O312" i="11"/>
  <c r="O313" i="11"/>
  <c r="O6" i="11"/>
  <c r="O7" i="11"/>
  <c r="O8" i="11"/>
  <c r="O9" i="11"/>
  <c r="O10" i="11"/>
  <c r="O11" i="11"/>
  <c r="O12" i="11"/>
  <c r="O13" i="11"/>
  <c r="O14" i="11"/>
  <c r="O15" i="11"/>
  <c r="O16" i="11"/>
  <c r="O17" i="11"/>
  <c r="O18" i="11"/>
  <c r="O19" i="11"/>
  <c r="O20" i="11"/>
  <c r="O21" i="11"/>
  <c r="O22" i="11"/>
  <c r="O23" i="11"/>
  <c r="O24" i="11"/>
  <c r="O25" i="11"/>
  <c r="O26" i="11"/>
  <c r="O27" i="11"/>
  <c r="O28" i="11"/>
  <c r="O29" i="11"/>
  <c r="O30" i="11"/>
  <c r="O31" i="11"/>
  <c r="O32" i="11"/>
  <c r="O33" i="11"/>
  <c r="O34" i="11"/>
  <c r="O35" i="11"/>
  <c r="O36" i="11"/>
  <c r="O37" i="11"/>
  <c r="O38" i="11"/>
  <c r="O39" i="11"/>
  <c r="O40" i="11"/>
  <c r="O41" i="11"/>
  <c r="O42" i="11"/>
  <c r="O43" i="11"/>
  <c r="O44" i="11"/>
  <c r="O45" i="11"/>
  <c r="O46" i="11"/>
  <c r="O47" i="11"/>
  <c r="O48" i="11"/>
  <c r="O49" i="11"/>
  <c r="O50" i="11"/>
  <c r="O51" i="11"/>
  <c r="O52" i="11"/>
  <c r="O53" i="11"/>
  <c r="O54" i="11"/>
  <c r="O55" i="11"/>
  <c r="O56" i="11"/>
  <c r="O57" i="11"/>
  <c r="O58" i="11"/>
  <c r="O59" i="11"/>
  <c r="O60" i="11"/>
  <c r="O61" i="11"/>
  <c r="O62" i="11"/>
  <c r="O63" i="11"/>
  <c r="O64" i="11"/>
  <c r="O65" i="11"/>
  <c r="O66" i="11"/>
  <c r="O67" i="11"/>
  <c r="O68" i="11"/>
  <c r="O69" i="11"/>
  <c r="O70" i="11"/>
  <c r="O71" i="11"/>
  <c r="O72" i="11"/>
  <c r="O73" i="11"/>
  <c r="O74" i="11"/>
  <c r="O75" i="11"/>
  <c r="O76" i="11"/>
  <c r="O77" i="11"/>
  <c r="O78" i="11"/>
  <c r="O79" i="11"/>
  <c r="O80" i="11"/>
  <c r="O81" i="11"/>
  <c r="O82" i="11"/>
  <c r="O83" i="11"/>
  <c r="O84" i="11"/>
  <c r="O85" i="11"/>
  <c r="O86" i="11"/>
  <c r="O87" i="11"/>
  <c r="O88" i="11"/>
  <c r="O89" i="11"/>
  <c r="O90" i="11"/>
  <c r="O91" i="11"/>
  <c r="O92" i="11"/>
  <c r="O93" i="11"/>
  <c r="O94" i="11"/>
  <c r="O95" i="11"/>
  <c r="O96" i="11"/>
  <c r="O97" i="11"/>
  <c r="O98" i="11"/>
  <c r="O99" i="11"/>
  <c r="O100" i="11"/>
  <c r="O101" i="11"/>
  <c r="O102" i="11"/>
  <c r="O103" i="11"/>
  <c r="O104" i="11"/>
  <c r="O105" i="11"/>
  <c r="O106" i="11"/>
  <c r="O107" i="11"/>
  <c r="O108" i="11"/>
  <c r="O109" i="11"/>
  <c r="O110" i="11"/>
  <c r="O111" i="11"/>
  <c r="O112" i="11"/>
  <c r="O113" i="11"/>
  <c r="O114" i="11"/>
  <c r="O115" i="11"/>
  <c r="O116" i="11"/>
  <c r="O117" i="11"/>
  <c r="O118" i="11"/>
  <c r="O119" i="11"/>
  <c r="O120" i="11"/>
  <c r="O121" i="11"/>
  <c r="O122" i="11"/>
  <c r="O123" i="11"/>
  <c r="O124" i="11"/>
  <c r="O125" i="11"/>
  <c r="O126" i="11"/>
  <c r="O127" i="11"/>
  <c r="O128" i="11"/>
  <c r="O129" i="11"/>
  <c r="O130" i="11"/>
  <c r="O131" i="11"/>
  <c r="O132" i="11"/>
  <c r="O133" i="11"/>
  <c r="O134" i="11"/>
  <c r="O135" i="11"/>
  <c r="O136" i="11"/>
  <c r="O137" i="11"/>
  <c r="O138" i="11"/>
  <c r="O139" i="11"/>
  <c r="O140" i="11"/>
  <c r="O141" i="11"/>
  <c r="O142" i="11"/>
  <c r="O143" i="11"/>
  <c r="O144" i="11"/>
  <c r="O145" i="11"/>
  <c r="O146" i="11"/>
  <c r="O147" i="11"/>
  <c r="O148" i="11"/>
  <c r="O149" i="11"/>
  <c r="O150" i="11"/>
  <c r="O151" i="11"/>
  <c r="O152" i="11"/>
  <c r="O153" i="11"/>
  <c r="O154" i="11"/>
  <c r="O155" i="11"/>
  <c r="O156" i="11"/>
  <c r="O157" i="11"/>
  <c r="O158" i="11"/>
  <c r="O159" i="11"/>
  <c r="O160" i="11"/>
  <c r="O161" i="11"/>
  <c r="O162" i="11"/>
  <c r="O163" i="11"/>
  <c r="O164" i="11"/>
  <c r="O165" i="11"/>
  <c r="O166" i="11"/>
  <c r="O167" i="11"/>
  <c r="O168" i="11"/>
  <c r="O169" i="11"/>
  <c r="O170" i="11"/>
  <c r="O171" i="11"/>
  <c r="O172" i="11"/>
  <c r="O173" i="11"/>
  <c r="O174" i="11"/>
  <c r="O175" i="11"/>
  <c r="O176" i="11"/>
  <c r="O177" i="11"/>
  <c r="O178" i="11"/>
  <c r="O179" i="11"/>
  <c r="O181" i="11"/>
  <c r="O182" i="11"/>
  <c r="O183" i="11"/>
  <c r="O184" i="11"/>
  <c r="O185" i="11"/>
  <c r="O186" i="11"/>
  <c r="O187" i="11"/>
  <c r="O188" i="11"/>
  <c r="O189" i="11"/>
  <c r="O190" i="11"/>
  <c r="O191" i="11"/>
  <c r="O192" i="11"/>
  <c r="O193" i="11"/>
  <c r="O194" i="11"/>
  <c r="O195" i="11"/>
  <c r="O196" i="11"/>
  <c r="O197" i="11"/>
  <c r="O198" i="11"/>
  <c r="O199" i="11"/>
  <c r="O200" i="11"/>
  <c r="O201" i="11"/>
  <c r="O202" i="11"/>
  <c r="O203" i="11"/>
  <c r="O204" i="11"/>
  <c r="O205" i="11"/>
  <c r="O206" i="11"/>
  <c r="O207" i="11"/>
  <c r="O208" i="11"/>
  <c r="O209" i="11"/>
  <c r="O210" i="11"/>
  <c r="O211" i="11"/>
  <c r="O212" i="11"/>
  <c r="O213" i="11"/>
  <c r="O214" i="11"/>
  <c r="O215" i="11"/>
  <c r="O216" i="11"/>
  <c r="O217" i="11"/>
  <c r="O5" i="11"/>
  <c r="O218" i="11"/>
  <c r="E6" i="11" l="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66" i="11"/>
  <c r="E67" i="11"/>
  <c r="E68" i="11"/>
  <c r="E69" i="11"/>
  <c r="E70" i="11"/>
  <c r="E71" i="11"/>
  <c r="E72" i="11"/>
  <c r="E73" i="11"/>
  <c r="E74" i="11"/>
  <c r="E75" i="11"/>
  <c r="F75" i="11" s="1"/>
  <c r="E76" i="11"/>
  <c r="E77" i="11"/>
  <c r="E78" i="11"/>
  <c r="E79" i="11"/>
  <c r="E80" i="11"/>
  <c r="E81" i="11"/>
  <c r="E82" i="11"/>
  <c r="E83" i="11"/>
  <c r="E84" i="11"/>
  <c r="E85" i="11"/>
  <c r="E86" i="11"/>
  <c r="E87" i="11"/>
  <c r="E88" i="11"/>
  <c r="E89" i="11"/>
  <c r="E90" i="11"/>
  <c r="E91" i="11"/>
  <c r="E92" i="11"/>
  <c r="E93" i="11"/>
  <c r="E94" i="11"/>
  <c r="E95" i="11"/>
  <c r="E96" i="11"/>
  <c r="E97" i="11"/>
  <c r="E98" i="11"/>
  <c r="E99" i="11"/>
  <c r="E100" i="11"/>
  <c r="E101" i="11"/>
  <c r="E102" i="11"/>
  <c r="E103" i="11"/>
  <c r="E104" i="11"/>
  <c r="E105" i="11"/>
  <c r="E106" i="11"/>
  <c r="E107" i="11"/>
  <c r="E108" i="11"/>
  <c r="E109" i="11"/>
  <c r="E110" i="11"/>
  <c r="E111" i="11"/>
  <c r="E112" i="11"/>
  <c r="E113" i="11"/>
  <c r="E114" i="11"/>
  <c r="E115" i="11"/>
  <c r="E117" i="11"/>
  <c r="E118" i="11"/>
  <c r="E119" i="11"/>
  <c r="E120" i="11"/>
  <c r="E121" i="11"/>
  <c r="E122" i="11"/>
  <c r="E123" i="11"/>
  <c r="E124" i="11"/>
  <c r="E125" i="11"/>
  <c r="E126" i="11"/>
  <c r="E127" i="11"/>
  <c r="E128" i="11"/>
  <c r="E129" i="11"/>
  <c r="E130" i="11"/>
  <c r="E131" i="11"/>
  <c r="E132" i="11"/>
  <c r="E133" i="11"/>
  <c r="E134" i="11"/>
  <c r="E135" i="11"/>
  <c r="E136" i="11"/>
  <c r="E137" i="11"/>
  <c r="E138" i="11"/>
  <c r="E139" i="11"/>
  <c r="E140" i="11"/>
  <c r="E141" i="11"/>
  <c r="E142" i="11"/>
  <c r="E143" i="11"/>
  <c r="E144" i="11"/>
  <c r="E145" i="11"/>
  <c r="E146" i="11"/>
  <c r="E147" i="11"/>
  <c r="E148" i="11"/>
  <c r="E149" i="11"/>
  <c r="E150" i="11"/>
  <c r="E151" i="11"/>
  <c r="E152" i="11"/>
  <c r="E153" i="11"/>
  <c r="E154" i="11"/>
  <c r="E155" i="11"/>
  <c r="E156" i="11"/>
  <c r="E158" i="11"/>
  <c r="F158" i="11" s="1"/>
  <c r="E159" i="11"/>
  <c r="E160" i="11"/>
  <c r="E161" i="11"/>
  <c r="E162" i="11"/>
  <c r="E163" i="11"/>
  <c r="E164" i="11"/>
  <c r="E165" i="11"/>
  <c r="E166" i="11"/>
  <c r="E167" i="11"/>
  <c r="E168" i="11"/>
  <c r="E169" i="11"/>
  <c r="E170" i="11"/>
  <c r="E171" i="11"/>
  <c r="E172" i="11"/>
  <c r="E173" i="11"/>
  <c r="E174" i="11"/>
  <c r="E175" i="11"/>
  <c r="E176" i="11"/>
  <c r="E177" i="11"/>
  <c r="E178" i="11"/>
  <c r="E179" i="11"/>
  <c r="E180" i="11"/>
  <c r="E181" i="11"/>
  <c r="E182" i="11"/>
  <c r="E183" i="11"/>
  <c r="E184" i="11"/>
  <c r="E185" i="11"/>
  <c r="E186" i="11"/>
  <c r="E187" i="11"/>
  <c r="E188" i="11"/>
  <c r="E189" i="11"/>
  <c r="E190" i="11"/>
  <c r="E191" i="11"/>
  <c r="E192" i="11"/>
  <c r="E193" i="11"/>
  <c r="E194" i="11"/>
  <c r="E195" i="11"/>
  <c r="E196" i="11"/>
  <c r="E197" i="11"/>
  <c r="E198" i="11"/>
  <c r="E199" i="11"/>
  <c r="E200" i="11"/>
  <c r="E201" i="11"/>
  <c r="E202" i="11"/>
  <c r="E203" i="11"/>
  <c r="E204" i="11"/>
  <c r="E205" i="11"/>
  <c r="E206" i="11"/>
  <c r="E207" i="11"/>
  <c r="E208" i="11"/>
  <c r="E209" i="11"/>
  <c r="E210" i="11"/>
  <c r="E211" i="11"/>
  <c r="E212" i="11"/>
  <c r="E213" i="11"/>
  <c r="E214" i="11"/>
  <c r="E215" i="11"/>
  <c r="E216" i="11"/>
  <c r="E217" i="11"/>
  <c r="E218" i="11"/>
  <c r="E219" i="11"/>
  <c r="E220" i="11"/>
  <c r="E221" i="11"/>
  <c r="E222" i="11"/>
  <c r="E223" i="11"/>
  <c r="E224" i="11"/>
  <c r="E225" i="11"/>
  <c r="E226" i="11"/>
  <c r="E227" i="11"/>
  <c r="E228" i="11"/>
  <c r="E229" i="11"/>
  <c r="E230" i="11"/>
  <c r="E231" i="11"/>
  <c r="E232" i="11"/>
  <c r="E233" i="11"/>
  <c r="E234" i="11"/>
  <c r="E235" i="11"/>
  <c r="E236" i="11"/>
  <c r="E237" i="11"/>
  <c r="E238" i="11"/>
  <c r="E239" i="11"/>
  <c r="E240" i="11"/>
  <c r="E241" i="11"/>
  <c r="E242" i="11"/>
  <c r="E243" i="11"/>
  <c r="E244" i="11"/>
  <c r="E245" i="11"/>
  <c r="E246" i="11"/>
  <c r="E247" i="11"/>
  <c r="E248" i="11"/>
  <c r="E249" i="11"/>
  <c r="E250" i="11"/>
  <c r="E251" i="11"/>
  <c r="E252" i="11"/>
  <c r="E253" i="11"/>
  <c r="E254" i="11"/>
  <c r="E255" i="11"/>
  <c r="E256" i="11"/>
  <c r="E257" i="11"/>
  <c r="E258" i="11"/>
  <c r="E259" i="11"/>
  <c r="E260" i="11"/>
  <c r="E261" i="11"/>
  <c r="E262" i="11"/>
  <c r="E263" i="11"/>
  <c r="E264" i="11"/>
  <c r="E265" i="11"/>
  <c r="E266" i="11"/>
  <c r="E267" i="11"/>
  <c r="E268" i="11"/>
  <c r="E269" i="11"/>
  <c r="E270" i="11"/>
  <c r="E271" i="11"/>
  <c r="E272" i="11"/>
  <c r="E273" i="11"/>
  <c r="E274" i="11"/>
  <c r="E275" i="11"/>
  <c r="E276" i="11"/>
  <c r="E277" i="11"/>
  <c r="E278" i="11"/>
  <c r="E279" i="11"/>
  <c r="E280" i="11"/>
  <c r="E281" i="11"/>
  <c r="E282" i="11"/>
  <c r="E283" i="11"/>
  <c r="E284" i="11"/>
  <c r="E285" i="11"/>
  <c r="E286" i="11"/>
  <c r="E287" i="11"/>
  <c r="E288" i="11"/>
  <c r="E289" i="11"/>
  <c r="E290" i="11"/>
  <c r="E291" i="11"/>
  <c r="E292" i="11"/>
  <c r="E293" i="11"/>
  <c r="E294" i="11"/>
  <c r="E295" i="11"/>
  <c r="E296" i="11"/>
  <c r="E297" i="11"/>
  <c r="E298" i="11"/>
  <c r="E299" i="11"/>
  <c r="E300" i="11"/>
  <c r="E301" i="11"/>
  <c r="E302" i="11"/>
  <c r="E303" i="11"/>
  <c r="E304" i="11"/>
  <c r="E305" i="11"/>
  <c r="E306" i="11"/>
  <c r="E307" i="11"/>
  <c r="E308" i="11"/>
  <c r="E309" i="11"/>
  <c r="E310" i="11"/>
  <c r="E311" i="11"/>
  <c r="E312" i="11"/>
  <c r="E313" i="11"/>
  <c r="E5" i="11"/>
  <c r="J5" i="11"/>
  <c r="H245" i="13" l="1"/>
  <c r="H6" i="13" l="1"/>
  <c r="H7" i="13"/>
  <c r="H8" i="13"/>
  <c r="H9" i="13"/>
  <c r="H10" i="13"/>
  <c r="H11" i="13"/>
  <c r="H12" i="13"/>
  <c r="H13" i="13"/>
  <c r="H14" i="13"/>
  <c r="H15" i="13"/>
  <c r="H16" i="13"/>
  <c r="H17" i="13"/>
  <c r="H18" i="13"/>
  <c r="H19" i="13"/>
  <c r="H20" i="13"/>
  <c r="H21" i="13"/>
  <c r="H22" i="13"/>
  <c r="H23" i="13"/>
  <c r="H24" i="13"/>
  <c r="H25" i="13"/>
  <c r="H26" i="13"/>
  <c r="H27" i="13"/>
  <c r="H28" i="13"/>
  <c r="H29" i="13"/>
  <c r="H30" i="13"/>
  <c r="H31" i="13"/>
  <c r="H32" i="13"/>
  <c r="H33" i="13"/>
  <c r="H34" i="13"/>
  <c r="H35" i="13"/>
  <c r="H36" i="13"/>
  <c r="H37" i="13"/>
  <c r="H38" i="13"/>
  <c r="H39" i="13"/>
  <c r="H40" i="13"/>
  <c r="H41" i="13"/>
  <c r="H42" i="13"/>
  <c r="H43" i="13"/>
  <c r="H44" i="13"/>
  <c r="H45" i="13"/>
  <c r="H46" i="13"/>
  <c r="H47" i="13"/>
  <c r="H48" i="13"/>
  <c r="H49" i="13"/>
  <c r="H50" i="13"/>
  <c r="H51" i="13"/>
  <c r="H52" i="13"/>
  <c r="H53" i="13"/>
  <c r="H54" i="13"/>
  <c r="H55" i="13"/>
  <c r="H56" i="13"/>
  <c r="H57" i="13"/>
  <c r="H58" i="13"/>
  <c r="H59" i="13"/>
  <c r="H60" i="13"/>
  <c r="H61" i="13"/>
  <c r="H62" i="13"/>
  <c r="H63" i="13"/>
  <c r="H64" i="13"/>
  <c r="H65" i="13"/>
  <c r="H66" i="13"/>
  <c r="H67" i="13"/>
  <c r="H68" i="13"/>
  <c r="H69" i="13"/>
  <c r="H70" i="13"/>
  <c r="H71" i="13"/>
  <c r="H72" i="13"/>
  <c r="H73" i="13"/>
  <c r="H74" i="13"/>
  <c r="H75" i="13"/>
  <c r="H76" i="13"/>
  <c r="H77" i="13"/>
  <c r="H78" i="13"/>
  <c r="H79" i="13"/>
  <c r="H80" i="13"/>
  <c r="H81" i="13"/>
  <c r="H82" i="13"/>
  <c r="H83" i="13"/>
  <c r="H84" i="13"/>
  <c r="H85" i="13"/>
  <c r="H86" i="13"/>
  <c r="H87" i="13"/>
  <c r="H88" i="13"/>
  <c r="H89" i="13"/>
  <c r="H90" i="13"/>
  <c r="H91" i="13"/>
  <c r="H92" i="13"/>
  <c r="H93" i="13"/>
  <c r="H94" i="13"/>
  <c r="H95" i="13"/>
  <c r="H96" i="13"/>
  <c r="H97" i="13"/>
  <c r="H98" i="13"/>
  <c r="H99" i="13"/>
  <c r="H100" i="13"/>
  <c r="H101" i="13"/>
  <c r="H102" i="13"/>
  <c r="H103" i="13"/>
  <c r="H104" i="13"/>
  <c r="H105" i="13"/>
  <c r="H106" i="13"/>
  <c r="H107" i="13"/>
  <c r="H108" i="13"/>
  <c r="H109" i="13"/>
  <c r="H110" i="13"/>
  <c r="H111" i="13"/>
  <c r="H112" i="13"/>
  <c r="H113" i="13"/>
  <c r="H114" i="13"/>
  <c r="H115" i="13"/>
  <c r="H116" i="13"/>
  <c r="H117" i="13"/>
  <c r="H118" i="13"/>
  <c r="H119" i="13"/>
  <c r="H120" i="13"/>
  <c r="H121" i="13"/>
  <c r="H122" i="13"/>
  <c r="H123" i="13"/>
  <c r="H124" i="13"/>
  <c r="H125" i="13"/>
  <c r="H126" i="13"/>
  <c r="H127" i="13"/>
  <c r="H128" i="13"/>
  <c r="H129" i="13"/>
  <c r="H130" i="13"/>
  <c r="H131" i="13"/>
  <c r="H132" i="13"/>
  <c r="H133" i="13"/>
  <c r="H134" i="13"/>
  <c r="H135" i="13"/>
  <c r="H136" i="13"/>
  <c r="H137" i="13"/>
  <c r="H138" i="13"/>
  <c r="H139" i="13"/>
  <c r="H140" i="13"/>
  <c r="H141" i="13"/>
  <c r="H142" i="13"/>
  <c r="H143" i="13"/>
  <c r="H144" i="13"/>
  <c r="H145" i="13"/>
  <c r="H146" i="13"/>
  <c r="H147" i="13"/>
  <c r="H148" i="13"/>
  <c r="H149" i="13"/>
  <c r="H150" i="13"/>
  <c r="H151" i="13"/>
  <c r="H152" i="13"/>
  <c r="H153" i="13"/>
  <c r="H154" i="13"/>
  <c r="H155" i="13"/>
  <c r="H156" i="13"/>
  <c r="H157" i="13"/>
  <c r="H158" i="13"/>
  <c r="H159" i="13"/>
  <c r="H160" i="13"/>
  <c r="H161" i="13"/>
  <c r="H162" i="13"/>
  <c r="H163" i="13"/>
  <c r="H164" i="13"/>
  <c r="H165" i="13"/>
  <c r="H166" i="13"/>
  <c r="H167" i="13"/>
  <c r="H168" i="13"/>
  <c r="H169" i="13"/>
  <c r="H170" i="13"/>
  <c r="H171" i="13"/>
  <c r="H172" i="13"/>
  <c r="H173" i="13"/>
  <c r="H174" i="13"/>
  <c r="H175" i="13"/>
  <c r="H176" i="13"/>
  <c r="H177" i="13"/>
  <c r="H178" i="13"/>
  <c r="H179" i="13"/>
  <c r="H180" i="13"/>
  <c r="H181" i="13"/>
  <c r="H182" i="13"/>
  <c r="H183" i="13"/>
  <c r="H184" i="13"/>
  <c r="H185" i="13"/>
  <c r="H186" i="13"/>
  <c r="H187" i="13"/>
  <c r="H188" i="13"/>
  <c r="H189" i="13"/>
  <c r="H190" i="13"/>
  <c r="H191" i="13"/>
  <c r="H192" i="13"/>
  <c r="H193" i="13"/>
  <c r="H194" i="13"/>
  <c r="H195" i="13"/>
  <c r="H196" i="13"/>
  <c r="H197" i="13"/>
  <c r="H198" i="13"/>
  <c r="H199" i="13"/>
  <c r="H200" i="13"/>
  <c r="H201" i="13"/>
  <c r="H202" i="13"/>
  <c r="H203" i="13"/>
  <c r="H204" i="13"/>
  <c r="H205" i="13"/>
  <c r="H206" i="13"/>
  <c r="H207" i="13"/>
  <c r="H208" i="13"/>
  <c r="H209" i="13"/>
  <c r="H210" i="13"/>
  <c r="H211" i="13"/>
  <c r="H212" i="13"/>
  <c r="H213" i="13"/>
  <c r="H214" i="13"/>
  <c r="H215" i="13"/>
  <c r="H216" i="13"/>
  <c r="H217" i="13"/>
  <c r="H218" i="13"/>
  <c r="H219" i="13"/>
  <c r="H220" i="13"/>
  <c r="H221" i="13"/>
  <c r="H222" i="13"/>
  <c r="H223" i="13"/>
  <c r="H224" i="13"/>
  <c r="H225" i="13"/>
  <c r="H226" i="13"/>
  <c r="H227" i="13"/>
  <c r="H228" i="13"/>
  <c r="H229" i="13"/>
  <c r="H230" i="13"/>
  <c r="H231" i="13"/>
  <c r="H232" i="13"/>
  <c r="H233" i="13"/>
  <c r="H234" i="13"/>
  <c r="H235" i="13"/>
  <c r="H236" i="13"/>
  <c r="H237" i="13"/>
  <c r="H238" i="13"/>
  <c r="H239" i="13"/>
  <c r="H240" i="13"/>
  <c r="H241" i="13"/>
  <c r="H242" i="13"/>
  <c r="H243" i="13"/>
  <c r="H244" i="13"/>
  <c r="H246" i="13"/>
  <c r="H247" i="13"/>
  <c r="H248" i="13"/>
  <c r="H249" i="13"/>
  <c r="H250" i="13"/>
  <c r="H251" i="13"/>
  <c r="H252" i="13"/>
  <c r="H253" i="13"/>
  <c r="H254" i="13"/>
  <c r="H255" i="13"/>
  <c r="H256" i="13"/>
  <c r="H257" i="13"/>
  <c r="H258" i="13"/>
  <c r="H259" i="13"/>
  <c r="H260" i="13"/>
  <c r="H261" i="13"/>
  <c r="H262" i="13"/>
  <c r="H263" i="13"/>
  <c r="H264" i="13"/>
  <c r="H265" i="13"/>
  <c r="H266" i="13"/>
  <c r="H267" i="13"/>
  <c r="H268" i="13"/>
  <c r="H269" i="13"/>
  <c r="H270" i="13"/>
  <c r="H271" i="13"/>
  <c r="H272" i="13"/>
  <c r="H273" i="13"/>
  <c r="H274" i="13"/>
  <c r="H275" i="13"/>
  <c r="H276" i="13"/>
  <c r="H277" i="13"/>
  <c r="H278" i="13"/>
  <c r="H279" i="13"/>
  <c r="H280" i="13"/>
  <c r="H281" i="13"/>
  <c r="H282" i="13"/>
  <c r="H283" i="13"/>
  <c r="H284" i="13"/>
  <c r="H285" i="13"/>
  <c r="H286" i="13"/>
  <c r="H287" i="13"/>
  <c r="H288" i="13"/>
  <c r="H289" i="13"/>
  <c r="H290" i="13"/>
  <c r="H291" i="13"/>
  <c r="H292" i="13"/>
  <c r="H293" i="13"/>
  <c r="H294" i="13"/>
  <c r="H295" i="13"/>
  <c r="H296" i="13"/>
  <c r="H297" i="13"/>
  <c r="H298" i="13"/>
  <c r="H299" i="13"/>
  <c r="H300" i="13"/>
  <c r="H301" i="13"/>
  <c r="H302" i="13"/>
  <c r="H303" i="13"/>
  <c r="H304" i="13"/>
  <c r="H305" i="13"/>
  <c r="H306" i="13"/>
  <c r="H307" i="13"/>
  <c r="H308" i="13"/>
  <c r="H309" i="13"/>
  <c r="H310" i="13"/>
  <c r="H311" i="13"/>
  <c r="H312" i="13"/>
  <c r="H313" i="13"/>
  <c r="H314" i="13"/>
  <c r="AM30" i="42" l="1"/>
  <c r="C8" i="19" l="1"/>
  <c r="D8" i="19"/>
  <c r="E8" i="19"/>
  <c r="F8" i="19"/>
  <c r="H8" i="19"/>
  <c r="I8" i="19"/>
  <c r="J8" i="19"/>
  <c r="K8" i="19"/>
  <c r="L8" i="19"/>
  <c r="M8" i="19"/>
  <c r="N8" i="19"/>
  <c r="P8" i="19"/>
  <c r="Q8" i="19"/>
  <c r="S8" i="19"/>
  <c r="V8" i="19"/>
  <c r="W8" i="19"/>
  <c r="X8" i="19"/>
  <c r="Z8" i="19"/>
  <c r="D6" i="32" s="1"/>
  <c r="AA8" i="19"/>
  <c r="D6" i="33" s="1"/>
  <c r="C9" i="19"/>
  <c r="D9" i="19"/>
  <c r="E9" i="19"/>
  <c r="F9" i="19"/>
  <c r="H9" i="19"/>
  <c r="I9" i="19"/>
  <c r="J9" i="19"/>
  <c r="K9" i="19"/>
  <c r="L9" i="19"/>
  <c r="M9" i="19"/>
  <c r="N9" i="19"/>
  <c r="P9" i="19"/>
  <c r="Q9" i="19"/>
  <c r="S9" i="19"/>
  <c r="V9" i="19"/>
  <c r="W9" i="19"/>
  <c r="X9" i="19"/>
  <c r="Z9" i="19"/>
  <c r="D7" i="32" s="1"/>
  <c r="AA9" i="19"/>
  <c r="D7" i="33" s="1"/>
  <c r="C10" i="19"/>
  <c r="D10" i="19"/>
  <c r="E10" i="19"/>
  <c r="F10" i="19"/>
  <c r="H10" i="19"/>
  <c r="I10" i="19"/>
  <c r="J10" i="19"/>
  <c r="K10" i="19"/>
  <c r="L10" i="19"/>
  <c r="M10" i="19"/>
  <c r="N10" i="19"/>
  <c r="P10" i="19"/>
  <c r="Q10" i="19"/>
  <c r="S10" i="19"/>
  <c r="V10" i="19"/>
  <c r="W10" i="19"/>
  <c r="X10" i="19"/>
  <c r="Z10" i="19"/>
  <c r="D8" i="32" s="1"/>
  <c r="AA10" i="19"/>
  <c r="D8" i="33" s="1"/>
  <c r="C11" i="19"/>
  <c r="D11" i="19"/>
  <c r="E11" i="19"/>
  <c r="F11" i="19"/>
  <c r="H11" i="19"/>
  <c r="I11" i="19"/>
  <c r="J11" i="19"/>
  <c r="K11" i="19"/>
  <c r="L11" i="19"/>
  <c r="M11" i="19"/>
  <c r="N11" i="19"/>
  <c r="P11" i="19"/>
  <c r="Q11" i="19"/>
  <c r="S11" i="19"/>
  <c r="V11" i="19"/>
  <c r="W11" i="19"/>
  <c r="X11" i="19"/>
  <c r="Z11" i="19"/>
  <c r="D9" i="32" s="1"/>
  <c r="AA11" i="19"/>
  <c r="D9" i="33" s="1"/>
  <c r="C12" i="19"/>
  <c r="D12" i="19"/>
  <c r="E12" i="19"/>
  <c r="F12" i="19"/>
  <c r="H12" i="19"/>
  <c r="I12" i="19"/>
  <c r="J12" i="19"/>
  <c r="K12" i="19"/>
  <c r="L12" i="19"/>
  <c r="M12" i="19"/>
  <c r="N12" i="19"/>
  <c r="P12" i="19"/>
  <c r="Q12" i="19"/>
  <c r="S12" i="19"/>
  <c r="V12" i="19"/>
  <c r="W12" i="19"/>
  <c r="Y12" i="19" s="1"/>
  <c r="C10" i="32" s="1"/>
  <c r="E10" i="32" s="1"/>
  <c r="X12" i="19"/>
  <c r="Z12" i="19"/>
  <c r="D10" i="32" s="1"/>
  <c r="AA12" i="19"/>
  <c r="D10" i="33" s="1"/>
  <c r="C13" i="19"/>
  <c r="D13" i="19"/>
  <c r="E13" i="19"/>
  <c r="F13" i="19"/>
  <c r="H13" i="19"/>
  <c r="I13" i="19"/>
  <c r="J13" i="19"/>
  <c r="K13" i="19"/>
  <c r="L13" i="19"/>
  <c r="M13" i="19"/>
  <c r="N13" i="19"/>
  <c r="P13" i="19"/>
  <c r="Q13" i="19"/>
  <c r="S13" i="19"/>
  <c r="V13" i="19"/>
  <c r="W13" i="19"/>
  <c r="X13" i="19"/>
  <c r="Z13" i="19"/>
  <c r="D11" i="32" s="1"/>
  <c r="AA13" i="19"/>
  <c r="D11" i="33" s="1"/>
  <c r="C14" i="19"/>
  <c r="D14" i="19"/>
  <c r="E14" i="19"/>
  <c r="F14" i="19"/>
  <c r="H14" i="19"/>
  <c r="I14" i="19"/>
  <c r="J14" i="19"/>
  <c r="K14" i="19"/>
  <c r="L14" i="19"/>
  <c r="M14" i="19"/>
  <c r="N14" i="19"/>
  <c r="P14" i="19"/>
  <c r="Q14" i="19"/>
  <c r="S14" i="19"/>
  <c r="V14" i="19"/>
  <c r="W14" i="19"/>
  <c r="X14" i="19"/>
  <c r="Z14" i="19"/>
  <c r="D12" i="32" s="1"/>
  <c r="AA14" i="19"/>
  <c r="D12" i="33" s="1"/>
  <c r="C15" i="19"/>
  <c r="D15" i="19"/>
  <c r="E15" i="19"/>
  <c r="F15" i="19"/>
  <c r="H15" i="19"/>
  <c r="I15" i="19"/>
  <c r="J15" i="19"/>
  <c r="K15" i="19"/>
  <c r="L15" i="19"/>
  <c r="M15" i="19"/>
  <c r="N15" i="19"/>
  <c r="P15" i="19"/>
  <c r="Q15" i="19"/>
  <c r="S15" i="19"/>
  <c r="V15" i="19"/>
  <c r="W15" i="19"/>
  <c r="X15" i="19"/>
  <c r="Z15" i="19"/>
  <c r="D13" i="32" s="1"/>
  <c r="AA15" i="19"/>
  <c r="D13" i="33" s="1"/>
  <c r="C16" i="19"/>
  <c r="D16" i="19"/>
  <c r="E16" i="19"/>
  <c r="F16" i="19"/>
  <c r="H16" i="19"/>
  <c r="I16" i="19"/>
  <c r="J16" i="19"/>
  <c r="K16" i="19"/>
  <c r="L16" i="19"/>
  <c r="M16" i="19"/>
  <c r="N16" i="19"/>
  <c r="P16" i="19"/>
  <c r="Q16" i="19"/>
  <c r="S16" i="19"/>
  <c r="V16" i="19"/>
  <c r="W16" i="19"/>
  <c r="X16" i="19"/>
  <c r="Z16" i="19"/>
  <c r="D14" i="32" s="1"/>
  <c r="AA16" i="19"/>
  <c r="D14" i="33" s="1"/>
  <c r="C17" i="19"/>
  <c r="D17" i="19"/>
  <c r="E17" i="19"/>
  <c r="F17" i="19"/>
  <c r="H17" i="19"/>
  <c r="I17" i="19"/>
  <c r="J17" i="19"/>
  <c r="K17" i="19"/>
  <c r="L17" i="19"/>
  <c r="M17" i="19"/>
  <c r="N17" i="19"/>
  <c r="P17" i="19"/>
  <c r="Q17" i="19"/>
  <c r="S17" i="19"/>
  <c r="V17" i="19"/>
  <c r="W17" i="19"/>
  <c r="X17" i="19"/>
  <c r="Z17" i="19"/>
  <c r="D15" i="32" s="1"/>
  <c r="AA17" i="19"/>
  <c r="D15" i="33" s="1"/>
  <c r="C18" i="19"/>
  <c r="D18" i="19"/>
  <c r="E18" i="19"/>
  <c r="F18" i="19"/>
  <c r="H18" i="19"/>
  <c r="I18" i="19"/>
  <c r="J18" i="19"/>
  <c r="K18" i="19"/>
  <c r="L18" i="19"/>
  <c r="M18" i="19"/>
  <c r="N18" i="19"/>
  <c r="P18" i="19"/>
  <c r="Q18" i="19"/>
  <c r="S18" i="19"/>
  <c r="V18" i="19"/>
  <c r="W18" i="19"/>
  <c r="X18" i="19"/>
  <c r="Z18" i="19"/>
  <c r="D16" i="32" s="1"/>
  <c r="AA18" i="19"/>
  <c r="D16" i="33" s="1"/>
  <c r="C19" i="19"/>
  <c r="D19" i="19"/>
  <c r="E19" i="19"/>
  <c r="F19" i="19"/>
  <c r="H19" i="19"/>
  <c r="I19" i="19"/>
  <c r="J19" i="19"/>
  <c r="K19" i="19"/>
  <c r="L19" i="19"/>
  <c r="M19" i="19"/>
  <c r="N19" i="19"/>
  <c r="P19" i="19"/>
  <c r="Q19" i="19"/>
  <c r="S19" i="19"/>
  <c r="V19" i="19"/>
  <c r="W19" i="19"/>
  <c r="X19" i="19"/>
  <c r="Z19" i="19"/>
  <c r="D17" i="32" s="1"/>
  <c r="AA19" i="19"/>
  <c r="D17" i="33" s="1"/>
  <c r="C20" i="19"/>
  <c r="D20" i="19"/>
  <c r="E20" i="19"/>
  <c r="F20" i="19"/>
  <c r="H20" i="19"/>
  <c r="I20" i="19"/>
  <c r="J20" i="19"/>
  <c r="K20" i="19"/>
  <c r="L20" i="19"/>
  <c r="M20" i="19"/>
  <c r="N20" i="19"/>
  <c r="P20" i="19"/>
  <c r="Q20" i="19"/>
  <c r="S20" i="19"/>
  <c r="V20" i="19"/>
  <c r="W20" i="19"/>
  <c r="X20" i="19"/>
  <c r="Z20" i="19"/>
  <c r="D18" i="32" s="1"/>
  <c r="AA20" i="19"/>
  <c r="D18" i="33" s="1"/>
  <c r="C21" i="19"/>
  <c r="D21" i="19"/>
  <c r="E21" i="19"/>
  <c r="F21" i="19"/>
  <c r="H21" i="19"/>
  <c r="I21" i="19"/>
  <c r="J21" i="19"/>
  <c r="K21" i="19"/>
  <c r="L21" i="19"/>
  <c r="M21" i="19"/>
  <c r="N21" i="19"/>
  <c r="P21" i="19"/>
  <c r="Q21" i="19"/>
  <c r="S21" i="19"/>
  <c r="V21" i="19"/>
  <c r="W21" i="19"/>
  <c r="X21" i="19"/>
  <c r="Z21" i="19"/>
  <c r="D19" i="32" s="1"/>
  <c r="AA21" i="19"/>
  <c r="D19" i="33" s="1"/>
  <c r="C22" i="19"/>
  <c r="D22" i="19"/>
  <c r="E22" i="19"/>
  <c r="F22" i="19"/>
  <c r="H22" i="19"/>
  <c r="I22" i="19"/>
  <c r="J22" i="19"/>
  <c r="K22" i="19"/>
  <c r="L22" i="19"/>
  <c r="M22" i="19"/>
  <c r="N22" i="19"/>
  <c r="P22" i="19"/>
  <c r="Q22" i="19"/>
  <c r="S22" i="19"/>
  <c r="V22" i="19"/>
  <c r="W22" i="19"/>
  <c r="X22" i="19"/>
  <c r="Z22" i="19"/>
  <c r="D20" i="32" s="1"/>
  <c r="AA22" i="19"/>
  <c r="D20" i="33" s="1"/>
  <c r="C23" i="19"/>
  <c r="D23" i="19"/>
  <c r="E23" i="19"/>
  <c r="F23" i="19"/>
  <c r="H23" i="19"/>
  <c r="I23" i="19"/>
  <c r="J23" i="19"/>
  <c r="K23" i="19"/>
  <c r="L23" i="19"/>
  <c r="M23" i="19"/>
  <c r="N23" i="19"/>
  <c r="P23" i="19"/>
  <c r="Q23" i="19"/>
  <c r="S23" i="19"/>
  <c r="V23" i="19"/>
  <c r="W23" i="19"/>
  <c r="X23" i="19"/>
  <c r="Z23" i="19"/>
  <c r="D21" i="32" s="1"/>
  <c r="AA23" i="19"/>
  <c r="D21" i="33" s="1"/>
  <c r="C24" i="19"/>
  <c r="D24" i="19"/>
  <c r="E24" i="19"/>
  <c r="F24" i="19"/>
  <c r="H24" i="19"/>
  <c r="I24" i="19"/>
  <c r="J24" i="19"/>
  <c r="K24" i="19"/>
  <c r="L24" i="19"/>
  <c r="M24" i="19"/>
  <c r="N24" i="19"/>
  <c r="P24" i="19"/>
  <c r="Q24" i="19"/>
  <c r="S24" i="19"/>
  <c r="V24" i="19"/>
  <c r="W24" i="19"/>
  <c r="X24" i="19"/>
  <c r="Z24" i="19"/>
  <c r="D22" i="32" s="1"/>
  <c r="AA24" i="19"/>
  <c r="D22" i="33" s="1"/>
  <c r="C25" i="19"/>
  <c r="D25" i="19"/>
  <c r="E25" i="19"/>
  <c r="F25" i="19"/>
  <c r="H25" i="19"/>
  <c r="I25" i="19"/>
  <c r="J25" i="19"/>
  <c r="K25" i="19"/>
  <c r="L25" i="19"/>
  <c r="M25" i="19"/>
  <c r="N25" i="19"/>
  <c r="P25" i="19"/>
  <c r="Q25" i="19"/>
  <c r="S25" i="19"/>
  <c r="V25" i="19"/>
  <c r="W25" i="19"/>
  <c r="X25" i="19"/>
  <c r="Z25" i="19"/>
  <c r="D23" i="32" s="1"/>
  <c r="AA25" i="19"/>
  <c r="D23" i="33" s="1"/>
  <c r="C26" i="19"/>
  <c r="D26" i="19"/>
  <c r="E26" i="19"/>
  <c r="F26" i="19"/>
  <c r="H26" i="19"/>
  <c r="I26" i="19"/>
  <c r="J26" i="19"/>
  <c r="K26" i="19"/>
  <c r="L26" i="19"/>
  <c r="M26" i="19"/>
  <c r="N26" i="19"/>
  <c r="P26" i="19"/>
  <c r="Q26" i="19"/>
  <c r="S26" i="19"/>
  <c r="V26" i="19"/>
  <c r="W26" i="19"/>
  <c r="X26" i="19"/>
  <c r="Z26" i="19"/>
  <c r="D24" i="32" s="1"/>
  <c r="AA26" i="19"/>
  <c r="D24" i="33" s="1"/>
  <c r="C27" i="19"/>
  <c r="D27" i="19"/>
  <c r="E27" i="19"/>
  <c r="F27" i="19"/>
  <c r="H27" i="19"/>
  <c r="I27" i="19"/>
  <c r="J27" i="19"/>
  <c r="K27" i="19"/>
  <c r="L27" i="19"/>
  <c r="M27" i="19"/>
  <c r="N27" i="19"/>
  <c r="P27" i="19"/>
  <c r="Q27" i="19"/>
  <c r="S27" i="19"/>
  <c r="V27" i="19"/>
  <c r="W27" i="19"/>
  <c r="X27" i="19"/>
  <c r="Z27" i="19"/>
  <c r="D25" i="32" s="1"/>
  <c r="AA27" i="19"/>
  <c r="D25" i="33" s="1"/>
  <c r="C28" i="19"/>
  <c r="D28" i="19"/>
  <c r="E28" i="19"/>
  <c r="F28" i="19"/>
  <c r="H28" i="19"/>
  <c r="I28" i="19"/>
  <c r="J28" i="19"/>
  <c r="K28" i="19"/>
  <c r="L28" i="19"/>
  <c r="M28" i="19"/>
  <c r="N28" i="19"/>
  <c r="P28" i="19"/>
  <c r="Q28" i="19"/>
  <c r="S28" i="19"/>
  <c r="V28" i="19"/>
  <c r="W28" i="19"/>
  <c r="X28" i="19"/>
  <c r="Z28" i="19"/>
  <c r="D26" i="32" s="1"/>
  <c r="AA28" i="19"/>
  <c r="D26" i="33" s="1"/>
  <c r="C29" i="19"/>
  <c r="D29" i="19"/>
  <c r="E29" i="19"/>
  <c r="F29" i="19"/>
  <c r="H29" i="19"/>
  <c r="I29" i="19"/>
  <c r="J29" i="19"/>
  <c r="K29" i="19"/>
  <c r="L29" i="19"/>
  <c r="M29" i="19"/>
  <c r="N29" i="19"/>
  <c r="P29" i="19"/>
  <c r="Q29" i="19"/>
  <c r="S29" i="19"/>
  <c r="V29" i="19"/>
  <c r="W29" i="19"/>
  <c r="X29" i="19"/>
  <c r="Z29" i="19"/>
  <c r="D27" i="32" s="1"/>
  <c r="AA29" i="19"/>
  <c r="D27" i="33" s="1"/>
  <c r="C30" i="19"/>
  <c r="D30" i="19"/>
  <c r="E30" i="19"/>
  <c r="F30" i="19"/>
  <c r="H30" i="19"/>
  <c r="I30" i="19"/>
  <c r="J30" i="19"/>
  <c r="K30" i="19"/>
  <c r="L30" i="19"/>
  <c r="M30" i="19"/>
  <c r="N30" i="19"/>
  <c r="P30" i="19"/>
  <c r="Q30" i="19"/>
  <c r="S30" i="19"/>
  <c r="V30" i="19"/>
  <c r="W30" i="19"/>
  <c r="X30" i="19"/>
  <c r="Z30" i="19"/>
  <c r="D28" i="32" s="1"/>
  <c r="AA30" i="19"/>
  <c r="D28" i="33" s="1"/>
  <c r="C31" i="19"/>
  <c r="D31" i="19"/>
  <c r="E31" i="19"/>
  <c r="F31" i="19"/>
  <c r="H31" i="19"/>
  <c r="I31" i="19"/>
  <c r="J31" i="19"/>
  <c r="K31" i="19"/>
  <c r="L31" i="19"/>
  <c r="M31" i="19"/>
  <c r="N31" i="19"/>
  <c r="P31" i="19"/>
  <c r="Q31" i="19"/>
  <c r="S31" i="19"/>
  <c r="V31" i="19"/>
  <c r="W31" i="19"/>
  <c r="X31" i="19"/>
  <c r="Z31" i="19"/>
  <c r="D29" i="32" s="1"/>
  <c r="AA31" i="19"/>
  <c r="D29" i="33" s="1"/>
  <c r="C32" i="19"/>
  <c r="D32" i="19"/>
  <c r="E32" i="19"/>
  <c r="F32" i="19"/>
  <c r="H32" i="19"/>
  <c r="I32" i="19"/>
  <c r="J32" i="19"/>
  <c r="K32" i="19"/>
  <c r="L32" i="19"/>
  <c r="M32" i="19"/>
  <c r="N32" i="19"/>
  <c r="P32" i="19"/>
  <c r="Q32" i="19"/>
  <c r="S32" i="19"/>
  <c r="V32" i="19"/>
  <c r="W32" i="19"/>
  <c r="X32" i="19"/>
  <c r="Z32" i="19"/>
  <c r="D30" i="32" s="1"/>
  <c r="AA32" i="19"/>
  <c r="D30" i="33" s="1"/>
  <c r="C33" i="19"/>
  <c r="D33" i="19"/>
  <c r="E33" i="19"/>
  <c r="F33" i="19"/>
  <c r="H33" i="19"/>
  <c r="I33" i="19"/>
  <c r="J33" i="19"/>
  <c r="K33" i="19"/>
  <c r="L33" i="19"/>
  <c r="M33" i="19"/>
  <c r="N33" i="19"/>
  <c r="P33" i="19"/>
  <c r="Q33" i="19"/>
  <c r="S33" i="19"/>
  <c r="V33" i="19"/>
  <c r="W33" i="19"/>
  <c r="X33" i="19"/>
  <c r="Z33" i="19"/>
  <c r="D31" i="32" s="1"/>
  <c r="AA33" i="19"/>
  <c r="D31" i="33" s="1"/>
  <c r="C34" i="19"/>
  <c r="D34" i="19"/>
  <c r="E34" i="19"/>
  <c r="F34" i="19"/>
  <c r="H34" i="19"/>
  <c r="I34" i="19"/>
  <c r="J34" i="19"/>
  <c r="K34" i="19"/>
  <c r="L34" i="19"/>
  <c r="M34" i="19"/>
  <c r="N34" i="19"/>
  <c r="P34" i="19"/>
  <c r="Q34" i="19"/>
  <c r="S34" i="19"/>
  <c r="V34" i="19"/>
  <c r="W34" i="19"/>
  <c r="X34" i="19"/>
  <c r="Z34" i="19"/>
  <c r="D32" i="32" s="1"/>
  <c r="AA34" i="19"/>
  <c r="D32" i="33" s="1"/>
  <c r="C35" i="19"/>
  <c r="D35" i="19"/>
  <c r="E35" i="19"/>
  <c r="F35" i="19"/>
  <c r="H35" i="19"/>
  <c r="I35" i="19"/>
  <c r="J35" i="19"/>
  <c r="K35" i="19"/>
  <c r="L35" i="19"/>
  <c r="M35" i="19"/>
  <c r="N35" i="19"/>
  <c r="P35" i="19"/>
  <c r="Q35" i="19"/>
  <c r="S35" i="19"/>
  <c r="V35" i="19"/>
  <c r="W35" i="19"/>
  <c r="X35" i="19"/>
  <c r="Z35" i="19"/>
  <c r="D33" i="32" s="1"/>
  <c r="AA35" i="19"/>
  <c r="D33" i="33" s="1"/>
  <c r="C36" i="19"/>
  <c r="D36" i="19"/>
  <c r="E36" i="19"/>
  <c r="F36" i="19"/>
  <c r="H36" i="19"/>
  <c r="I36" i="19"/>
  <c r="J36" i="19"/>
  <c r="K36" i="19"/>
  <c r="L36" i="19"/>
  <c r="M36" i="19"/>
  <c r="N36" i="19"/>
  <c r="P36" i="19"/>
  <c r="Q36" i="19"/>
  <c r="S36" i="19"/>
  <c r="V36" i="19"/>
  <c r="W36" i="19"/>
  <c r="X36" i="19"/>
  <c r="Z36" i="19"/>
  <c r="D34" i="32" s="1"/>
  <c r="AA36" i="19"/>
  <c r="D34" i="33" s="1"/>
  <c r="C37" i="19"/>
  <c r="D37" i="19"/>
  <c r="E37" i="19"/>
  <c r="F37" i="19"/>
  <c r="H37" i="19"/>
  <c r="I37" i="19"/>
  <c r="J37" i="19"/>
  <c r="K37" i="19"/>
  <c r="L37" i="19"/>
  <c r="M37" i="19"/>
  <c r="N37" i="19"/>
  <c r="P37" i="19"/>
  <c r="Q37" i="19"/>
  <c r="S37" i="19"/>
  <c r="V37" i="19"/>
  <c r="W37" i="19"/>
  <c r="X37" i="19"/>
  <c r="Z37" i="19"/>
  <c r="D35" i="32" s="1"/>
  <c r="AA37" i="19"/>
  <c r="D35" i="33" s="1"/>
  <c r="C38" i="19"/>
  <c r="D38" i="19"/>
  <c r="E38" i="19"/>
  <c r="F38" i="19"/>
  <c r="H38" i="19"/>
  <c r="I38" i="19"/>
  <c r="J38" i="19"/>
  <c r="K38" i="19"/>
  <c r="L38" i="19"/>
  <c r="M38" i="19"/>
  <c r="N38" i="19"/>
  <c r="P38" i="19"/>
  <c r="Q38" i="19"/>
  <c r="S38" i="19"/>
  <c r="V38" i="19"/>
  <c r="W38" i="19"/>
  <c r="X38" i="19"/>
  <c r="Z38" i="19"/>
  <c r="D36" i="32" s="1"/>
  <c r="AA38" i="19"/>
  <c r="D36" i="33" s="1"/>
  <c r="C39" i="19"/>
  <c r="D39" i="19"/>
  <c r="E39" i="19"/>
  <c r="F39" i="19"/>
  <c r="H39" i="19"/>
  <c r="I39" i="19"/>
  <c r="J39" i="19"/>
  <c r="K39" i="19"/>
  <c r="L39" i="19"/>
  <c r="M39" i="19"/>
  <c r="N39" i="19"/>
  <c r="P39" i="19"/>
  <c r="Q39" i="19"/>
  <c r="S39" i="19"/>
  <c r="V39" i="19"/>
  <c r="W39" i="19"/>
  <c r="X39" i="19"/>
  <c r="Z39" i="19"/>
  <c r="D37" i="32" s="1"/>
  <c r="AA39" i="19"/>
  <c r="D37" i="33" s="1"/>
  <c r="C40" i="19"/>
  <c r="D40" i="19"/>
  <c r="E40" i="19"/>
  <c r="F40" i="19"/>
  <c r="H40" i="19"/>
  <c r="I40" i="19"/>
  <c r="J40" i="19"/>
  <c r="K40" i="19"/>
  <c r="L40" i="19"/>
  <c r="M40" i="19"/>
  <c r="N40" i="19"/>
  <c r="P40" i="19"/>
  <c r="Q40" i="19"/>
  <c r="S40" i="19"/>
  <c r="V40" i="19"/>
  <c r="W40" i="19"/>
  <c r="X40" i="19"/>
  <c r="Z40" i="19"/>
  <c r="D38" i="32" s="1"/>
  <c r="AA40" i="19"/>
  <c r="D38" i="33" s="1"/>
  <c r="C41" i="19"/>
  <c r="D41" i="19"/>
  <c r="E41" i="19"/>
  <c r="F41" i="19"/>
  <c r="H41" i="19"/>
  <c r="I41" i="19"/>
  <c r="J41" i="19"/>
  <c r="K41" i="19"/>
  <c r="L41" i="19"/>
  <c r="M41" i="19"/>
  <c r="N41" i="19"/>
  <c r="P41" i="19"/>
  <c r="Q41" i="19"/>
  <c r="S41" i="19"/>
  <c r="V41" i="19"/>
  <c r="W41" i="19"/>
  <c r="X41" i="19"/>
  <c r="Z41" i="19"/>
  <c r="D39" i="32" s="1"/>
  <c r="AA41" i="19"/>
  <c r="D39" i="33" s="1"/>
  <c r="C42" i="19"/>
  <c r="D42" i="19"/>
  <c r="E42" i="19"/>
  <c r="F42" i="19"/>
  <c r="H42" i="19"/>
  <c r="I42" i="19"/>
  <c r="J42" i="19"/>
  <c r="K42" i="19"/>
  <c r="L42" i="19"/>
  <c r="M42" i="19"/>
  <c r="N42" i="19"/>
  <c r="P42" i="19"/>
  <c r="Q42" i="19"/>
  <c r="S42" i="19"/>
  <c r="V42" i="19"/>
  <c r="W42" i="19"/>
  <c r="X42" i="19"/>
  <c r="Z42" i="19"/>
  <c r="D40" i="32" s="1"/>
  <c r="AA42" i="19"/>
  <c r="D40" i="33" s="1"/>
  <c r="C43" i="19"/>
  <c r="D43" i="19"/>
  <c r="E43" i="19"/>
  <c r="F43" i="19"/>
  <c r="H43" i="19"/>
  <c r="I43" i="19"/>
  <c r="J43" i="19"/>
  <c r="K43" i="19"/>
  <c r="L43" i="19"/>
  <c r="M43" i="19"/>
  <c r="N43" i="19"/>
  <c r="P43" i="19"/>
  <c r="Q43" i="19"/>
  <c r="S43" i="19"/>
  <c r="V43" i="19"/>
  <c r="W43" i="19"/>
  <c r="X43" i="19"/>
  <c r="Z43" i="19"/>
  <c r="D41" i="32" s="1"/>
  <c r="AA43" i="19"/>
  <c r="D41" i="33" s="1"/>
  <c r="C44" i="19"/>
  <c r="D44" i="19"/>
  <c r="E44" i="19"/>
  <c r="F44" i="19"/>
  <c r="H44" i="19"/>
  <c r="I44" i="19"/>
  <c r="J44" i="19"/>
  <c r="K44" i="19"/>
  <c r="L44" i="19"/>
  <c r="M44" i="19"/>
  <c r="N44" i="19"/>
  <c r="P44" i="19"/>
  <c r="Q44" i="19"/>
  <c r="S44" i="19"/>
  <c r="V44" i="19"/>
  <c r="W44" i="19"/>
  <c r="X44" i="19"/>
  <c r="Z44" i="19"/>
  <c r="D42" i="32" s="1"/>
  <c r="AA44" i="19"/>
  <c r="D42" i="33" s="1"/>
  <c r="C45" i="19"/>
  <c r="D45" i="19"/>
  <c r="E45" i="19"/>
  <c r="F45" i="19"/>
  <c r="H45" i="19"/>
  <c r="I45" i="19"/>
  <c r="J45" i="19"/>
  <c r="K45" i="19"/>
  <c r="L45" i="19"/>
  <c r="M45" i="19"/>
  <c r="N45" i="19"/>
  <c r="P45" i="19"/>
  <c r="Q45" i="19"/>
  <c r="S45" i="19"/>
  <c r="V45" i="19"/>
  <c r="W45" i="19"/>
  <c r="X45" i="19"/>
  <c r="Z45" i="19"/>
  <c r="D43" i="32" s="1"/>
  <c r="AA45" i="19"/>
  <c r="D43" i="33" s="1"/>
  <c r="C46" i="19"/>
  <c r="D46" i="19"/>
  <c r="E46" i="19"/>
  <c r="F46" i="19"/>
  <c r="H46" i="19"/>
  <c r="I46" i="19"/>
  <c r="J46" i="19"/>
  <c r="K46" i="19"/>
  <c r="L46" i="19"/>
  <c r="M46" i="19"/>
  <c r="N46" i="19"/>
  <c r="P46" i="19"/>
  <c r="Q46" i="19"/>
  <c r="S46" i="19"/>
  <c r="V46" i="19"/>
  <c r="W46" i="19"/>
  <c r="X46" i="19"/>
  <c r="Z46" i="19"/>
  <c r="D44" i="32" s="1"/>
  <c r="AA46" i="19"/>
  <c r="D44" i="33" s="1"/>
  <c r="C47" i="19"/>
  <c r="D47" i="19"/>
  <c r="E47" i="19"/>
  <c r="F47" i="19"/>
  <c r="H47" i="19"/>
  <c r="I47" i="19"/>
  <c r="J47" i="19"/>
  <c r="K47" i="19"/>
  <c r="L47" i="19"/>
  <c r="M47" i="19"/>
  <c r="N47" i="19"/>
  <c r="P47" i="19"/>
  <c r="Q47" i="19"/>
  <c r="S47" i="19"/>
  <c r="V47" i="19"/>
  <c r="W47" i="19"/>
  <c r="X47" i="19"/>
  <c r="Z47" i="19"/>
  <c r="D45" i="32" s="1"/>
  <c r="AA47" i="19"/>
  <c r="D45" i="33" s="1"/>
  <c r="C48" i="19"/>
  <c r="D48" i="19"/>
  <c r="E48" i="19"/>
  <c r="F48" i="19"/>
  <c r="H48" i="19"/>
  <c r="I48" i="19"/>
  <c r="J48" i="19"/>
  <c r="K48" i="19"/>
  <c r="L48" i="19"/>
  <c r="M48" i="19"/>
  <c r="N48" i="19"/>
  <c r="P48" i="19"/>
  <c r="Q48" i="19"/>
  <c r="S48" i="19"/>
  <c r="V48" i="19"/>
  <c r="W48" i="19"/>
  <c r="X48" i="19"/>
  <c r="Z48" i="19"/>
  <c r="D46" i="32" s="1"/>
  <c r="AA48" i="19"/>
  <c r="D46" i="33" s="1"/>
  <c r="C49" i="19"/>
  <c r="D49" i="19"/>
  <c r="E49" i="19"/>
  <c r="F49" i="19"/>
  <c r="H49" i="19"/>
  <c r="I49" i="19"/>
  <c r="J49" i="19"/>
  <c r="K49" i="19"/>
  <c r="L49" i="19"/>
  <c r="M49" i="19"/>
  <c r="N49" i="19"/>
  <c r="P49" i="19"/>
  <c r="Q49" i="19"/>
  <c r="S49" i="19"/>
  <c r="V49" i="19"/>
  <c r="W49" i="19"/>
  <c r="X49" i="19"/>
  <c r="Z49" i="19"/>
  <c r="D47" i="32" s="1"/>
  <c r="AA49" i="19"/>
  <c r="D47" i="33" s="1"/>
  <c r="C50" i="19"/>
  <c r="D50" i="19"/>
  <c r="E50" i="19"/>
  <c r="F50" i="19"/>
  <c r="H50" i="19"/>
  <c r="I50" i="19"/>
  <c r="J50" i="19"/>
  <c r="K50" i="19"/>
  <c r="L50" i="19"/>
  <c r="M50" i="19"/>
  <c r="N50" i="19"/>
  <c r="P50" i="19"/>
  <c r="Q50" i="19"/>
  <c r="S50" i="19"/>
  <c r="V50" i="19"/>
  <c r="W50" i="19"/>
  <c r="X50" i="19"/>
  <c r="Z50" i="19"/>
  <c r="D48" i="32" s="1"/>
  <c r="AA50" i="19"/>
  <c r="D48" i="33" s="1"/>
  <c r="C51" i="19"/>
  <c r="D51" i="19"/>
  <c r="E51" i="19"/>
  <c r="F51" i="19"/>
  <c r="H51" i="19"/>
  <c r="I51" i="19"/>
  <c r="J51" i="19"/>
  <c r="K51" i="19"/>
  <c r="L51" i="19"/>
  <c r="M51" i="19"/>
  <c r="N51" i="19"/>
  <c r="P51" i="19"/>
  <c r="Q51" i="19"/>
  <c r="S51" i="19"/>
  <c r="V51" i="19"/>
  <c r="W51" i="19"/>
  <c r="X51" i="19"/>
  <c r="Z51" i="19"/>
  <c r="D49" i="32" s="1"/>
  <c r="AA51" i="19"/>
  <c r="D49" i="33" s="1"/>
  <c r="C52" i="19"/>
  <c r="D52" i="19"/>
  <c r="E52" i="19"/>
  <c r="F52" i="19"/>
  <c r="H52" i="19"/>
  <c r="I52" i="19"/>
  <c r="J52" i="19"/>
  <c r="K52" i="19"/>
  <c r="L52" i="19"/>
  <c r="M52" i="19"/>
  <c r="N52" i="19"/>
  <c r="P52" i="19"/>
  <c r="Q52" i="19"/>
  <c r="S52" i="19"/>
  <c r="V52" i="19"/>
  <c r="W52" i="19"/>
  <c r="X52" i="19"/>
  <c r="Z52" i="19"/>
  <c r="D50" i="32" s="1"/>
  <c r="AA52" i="19"/>
  <c r="D50" i="33" s="1"/>
  <c r="C53" i="19"/>
  <c r="D53" i="19"/>
  <c r="E53" i="19"/>
  <c r="F53" i="19"/>
  <c r="H53" i="19"/>
  <c r="I53" i="19"/>
  <c r="J53" i="19"/>
  <c r="K53" i="19"/>
  <c r="L53" i="19"/>
  <c r="M53" i="19"/>
  <c r="N53" i="19"/>
  <c r="P53" i="19"/>
  <c r="Q53" i="19"/>
  <c r="S53" i="19"/>
  <c r="V53" i="19"/>
  <c r="W53" i="19"/>
  <c r="X53" i="19"/>
  <c r="Z53" i="19"/>
  <c r="D51" i="32" s="1"/>
  <c r="AA53" i="19"/>
  <c r="D51" i="33" s="1"/>
  <c r="C54" i="19"/>
  <c r="D54" i="19"/>
  <c r="E54" i="19"/>
  <c r="F54" i="19"/>
  <c r="H54" i="19"/>
  <c r="I54" i="19"/>
  <c r="J54" i="19"/>
  <c r="K54" i="19"/>
  <c r="L54" i="19"/>
  <c r="M54" i="19"/>
  <c r="N54" i="19"/>
  <c r="P54" i="19"/>
  <c r="Q54" i="19"/>
  <c r="S54" i="19"/>
  <c r="V54" i="19"/>
  <c r="W54" i="19"/>
  <c r="X54" i="19"/>
  <c r="Z54" i="19"/>
  <c r="D52" i="32" s="1"/>
  <c r="AA54" i="19"/>
  <c r="D52" i="33" s="1"/>
  <c r="C55" i="19"/>
  <c r="D55" i="19"/>
  <c r="E55" i="19"/>
  <c r="F55" i="19"/>
  <c r="H55" i="19"/>
  <c r="I55" i="19"/>
  <c r="J55" i="19"/>
  <c r="K55" i="19"/>
  <c r="L55" i="19"/>
  <c r="M55" i="19"/>
  <c r="N55" i="19"/>
  <c r="P55" i="19"/>
  <c r="Q55" i="19"/>
  <c r="S55" i="19"/>
  <c r="V55" i="19"/>
  <c r="W55" i="19"/>
  <c r="X55" i="19"/>
  <c r="Z55" i="19"/>
  <c r="D53" i="32" s="1"/>
  <c r="AA55" i="19"/>
  <c r="D53" i="33" s="1"/>
  <c r="C56" i="19"/>
  <c r="D56" i="19"/>
  <c r="E56" i="19"/>
  <c r="F56" i="19"/>
  <c r="H56" i="19"/>
  <c r="I56" i="19"/>
  <c r="J56" i="19"/>
  <c r="K56" i="19"/>
  <c r="L56" i="19"/>
  <c r="M56" i="19"/>
  <c r="N56" i="19"/>
  <c r="P56" i="19"/>
  <c r="Q56" i="19"/>
  <c r="S56" i="19"/>
  <c r="V56" i="19"/>
  <c r="W56" i="19"/>
  <c r="X56" i="19"/>
  <c r="Z56" i="19"/>
  <c r="D54" i="32" s="1"/>
  <c r="AA56" i="19"/>
  <c r="D54" i="33" s="1"/>
  <c r="C57" i="19"/>
  <c r="D57" i="19"/>
  <c r="E57" i="19"/>
  <c r="F57" i="19"/>
  <c r="H57" i="19"/>
  <c r="I57" i="19"/>
  <c r="J57" i="19"/>
  <c r="K57" i="19"/>
  <c r="L57" i="19"/>
  <c r="M57" i="19"/>
  <c r="N57" i="19"/>
  <c r="P57" i="19"/>
  <c r="Q57" i="19"/>
  <c r="S57" i="19"/>
  <c r="V57" i="19"/>
  <c r="W57" i="19"/>
  <c r="X57" i="19"/>
  <c r="Z57" i="19"/>
  <c r="D55" i="32" s="1"/>
  <c r="AA57" i="19"/>
  <c r="D55" i="33" s="1"/>
  <c r="C58" i="19"/>
  <c r="D58" i="19"/>
  <c r="E58" i="19"/>
  <c r="F58" i="19"/>
  <c r="H58" i="19"/>
  <c r="I58" i="19"/>
  <c r="J58" i="19"/>
  <c r="K58" i="19"/>
  <c r="L58" i="19"/>
  <c r="M58" i="19"/>
  <c r="N58" i="19"/>
  <c r="P58" i="19"/>
  <c r="Q58" i="19"/>
  <c r="S58" i="19"/>
  <c r="V58" i="19"/>
  <c r="W58" i="19"/>
  <c r="X58" i="19"/>
  <c r="Z58" i="19"/>
  <c r="D56" i="32" s="1"/>
  <c r="AA58" i="19"/>
  <c r="D56" i="33" s="1"/>
  <c r="C59" i="19"/>
  <c r="D59" i="19"/>
  <c r="E59" i="19"/>
  <c r="F59" i="19"/>
  <c r="H59" i="19"/>
  <c r="I59" i="19"/>
  <c r="J59" i="19"/>
  <c r="K59" i="19"/>
  <c r="L59" i="19"/>
  <c r="M59" i="19"/>
  <c r="N59" i="19"/>
  <c r="P59" i="19"/>
  <c r="Q59" i="19"/>
  <c r="S59" i="19"/>
  <c r="V59" i="19"/>
  <c r="W59" i="19"/>
  <c r="X59" i="19"/>
  <c r="Z59" i="19"/>
  <c r="D57" i="32" s="1"/>
  <c r="AA59" i="19"/>
  <c r="D57" i="33" s="1"/>
  <c r="C60" i="19"/>
  <c r="D60" i="19"/>
  <c r="E60" i="19"/>
  <c r="F60" i="19"/>
  <c r="H60" i="19"/>
  <c r="I60" i="19"/>
  <c r="J60" i="19"/>
  <c r="K60" i="19"/>
  <c r="L60" i="19"/>
  <c r="M60" i="19"/>
  <c r="N60" i="19"/>
  <c r="P60" i="19"/>
  <c r="Q60" i="19"/>
  <c r="S60" i="19"/>
  <c r="V60" i="19"/>
  <c r="W60" i="19"/>
  <c r="X60" i="19"/>
  <c r="Z60" i="19"/>
  <c r="D58" i="32" s="1"/>
  <c r="AA60" i="19"/>
  <c r="D58" i="33" s="1"/>
  <c r="C61" i="19"/>
  <c r="D61" i="19"/>
  <c r="E61" i="19"/>
  <c r="F61" i="19"/>
  <c r="H61" i="19"/>
  <c r="I61" i="19"/>
  <c r="J61" i="19"/>
  <c r="K61" i="19"/>
  <c r="L61" i="19"/>
  <c r="M61" i="19"/>
  <c r="N61" i="19"/>
  <c r="P61" i="19"/>
  <c r="Q61" i="19"/>
  <c r="S61" i="19"/>
  <c r="V61" i="19"/>
  <c r="W61" i="19"/>
  <c r="X61" i="19"/>
  <c r="Z61" i="19"/>
  <c r="D59" i="32" s="1"/>
  <c r="AA61" i="19"/>
  <c r="D59" i="33" s="1"/>
  <c r="C62" i="19"/>
  <c r="D62" i="19"/>
  <c r="E62" i="19"/>
  <c r="F62" i="19"/>
  <c r="H62" i="19"/>
  <c r="I62" i="19"/>
  <c r="J62" i="19"/>
  <c r="K62" i="19"/>
  <c r="L62" i="19"/>
  <c r="M62" i="19"/>
  <c r="N62" i="19"/>
  <c r="P62" i="19"/>
  <c r="Q62" i="19"/>
  <c r="S62" i="19"/>
  <c r="V62" i="19"/>
  <c r="W62" i="19"/>
  <c r="X62" i="19"/>
  <c r="Z62" i="19"/>
  <c r="D60" i="32" s="1"/>
  <c r="AA62" i="19"/>
  <c r="D60" i="33" s="1"/>
  <c r="C63" i="19"/>
  <c r="D63" i="19"/>
  <c r="E63" i="19"/>
  <c r="F63" i="19"/>
  <c r="H63" i="19"/>
  <c r="I63" i="19"/>
  <c r="J63" i="19"/>
  <c r="K63" i="19"/>
  <c r="L63" i="19"/>
  <c r="M63" i="19"/>
  <c r="N63" i="19"/>
  <c r="P63" i="19"/>
  <c r="Q63" i="19"/>
  <c r="S63" i="19"/>
  <c r="V63" i="19"/>
  <c r="W63" i="19"/>
  <c r="X63" i="19"/>
  <c r="Z63" i="19"/>
  <c r="D61" i="32" s="1"/>
  <c r="AA63" i="19"/>
  <c r="D61" i="33" s="1"/>
  <c r="C64" i="19"/>
  <c r="D64" i="19"/>
  <c r="E64" i="19"/>
  <c r="F64" i="19"/>
  <c r="H64" i="19"/>
  <c r="I64" i="19"/>
  <c r="J64" i="19"/>
  <c r="K64" i="19"/>
  <c r="L64" i="19"/>
  <c r="M64" i="19"/>
  <c r="N64" i="19"/>
  <c r="P64" i="19"/>
  <c r="Q64" i="19"/>
  <c r="S64" i="19"/>
  <c r="V64" i="19"/>
  <c r="W64" i="19"/>
  <c r="X64" i="19"/>
  <c r="Z64" i="19"/>
  <c r="D62" i="32" s="1"/>
  <c r="AA64" i="19"/>
  <c r="D62" i="33" s="1"/>
  <c r="C65" i="19"/>
  <c r="D65" i="19"/>
  <c r="E65" i="19"/>
  <c r="F65" i="19"/>
  <c r="H65" i="19"/>
  <c r="I65" i="19"/>
  <c r="J65" i="19"/>
  <c r="K65" i="19"/>
  <c r="L65" i="19"/>
  <c r="M65" i="19"/>
  <c r="N65" i="19"/>
  <c r="P65" i="19"/>
  <c r="Q65" i="19"/>
  <c r="S65" i="19"/>
  <c r="V65" i="19"/>
  <c r="W65" i="19"/>
  <c r="X65" i="19"/>
  <c r="Z65" i="19"/>
  <c r="D63" i="32" s="1"/>
  <c r="AA65" i="19"/>
  <c r="D63" i="33" s="1"/>
  <c r="C66" i="19"/>
  <c r="D66" i="19"/>
  <c r="E66" i="19"/>
  <c r="F66" i="19"/>
  <c r="H66" i="19"/>
  <c r="I66" i="19"/>
  <c r="J66" i="19"/>
  <c r="K66" i="19"/>
  <c r="L66" i="19"/>
  <c r="M66" i="19"/>
  <c r="N66" i="19"/>
  <c r="P66" i="19"/>
  <c r="Q66" i="19"/>
  <c r="S66" i="19"/>
  <c r="V66" i="19"/>
  <c r="W66" i="19"/>
  <c r="X66" i="19"/>
  <c r="Z66" i="19"/>
  <c r="D64" i="32" s="1"/>
  <c r="AA66" i="19"/>
  <c r="D64" i="33" s="1"/>
  <c r="C67" i="19"/>
  <c r="D67" i="19"/>
  <c r="E67" i="19"/>
  <c r="F67" i="19"/>
  <c r="H67" i="19"/>
  <c r="I67" i="19"/>
  <c r="J67" i="19"/>
  <c r="K67" i="19"/>
  <c r="L67" i="19"/>
  <c r="M67" i="19"/>
  <c r="N67" i="19"/>
  <c r="P67" i="19"/>
  <c r="Q67" i="19"/>
  <c r="S67" i="19"/>
  <c r="V67" i="19"/>
  <c r="W67" i="19"/>
  <c r="X67" i="19"/>
  <c r="Z67" i="19"/>
  <c r="D65" i="32" s="1"/>
  <c r="AA67" i="19"/>
  <c r="D65" i="33" s="1"/>
  <c r="C68" i="19"/>
  <c r="D68" i="19"/>
  <c r="E68" i="19"/>
  <c r="F68" i="19"/>
  <c r="H68" i="19"/>
  <c r="I68" i="19"/>
  <c r="J68" i="19"/>
  <c r="K68" i="19"/>
  <c r="L68" i="19"/>
  <c r="M68" i="19"/>
  <c r="N68" i="19"/>
  <c r="P68" i="19"/>
  <c r="Q68" i="19"/>
  <c r="S68" i="19"/>
  <c r="V68" i="19"/>
  <c r="W68" i="19"/>
  <c r="X68" i="19"/>
  <c r="Z68" i="19"/>
  <c r="D66" i="32" s="1"/>
  <c r="AA68" i="19"/>
  <c r="D66" i="33" s="1"/>
  <c r="C69" i="19"/>
  <c r="D69" i="19"/>
  <c r="E69" i="19"/>
  <c r="F69" i="19"/>
  <c r="H69" i="19"/>
  <c r="I69" i="19"/>
  <c r="J69" i="19"/>
  <c r="K69" i="19"/>
  <c r="L69" i="19"/>
  <c r="M69" i="19"/>
  <c r="N69" i="19"/>
  <c r="P69" i="19"/>
  <c r="Q69" i="19"/>
  <c r="S69" i="19"/>
  <c r="V69" i="19"/>
  <c r="W69" i="19"/>
  <c r="X69" i="19"/>
  <c r="Z69" i="19"/>
  <c r="D67" i="32" s="1"/>
  <c r="AA69" i="19"/>
  <c r="D67" i="33" s="1"/>
  <c r="C70" i="19"/>
  <c r="D70" i="19"/>
  <c r="E70" i="19"/>
  <c r="F70" i="19"/>
  <c r="H70" i="19"/>
  <c r="I70" i="19"/>
  <c r="J70" i="19"/>
  <c r="K70" i="19"/>
  <c r="L70" i="19"/>
  <c r="M70" i="19"/>
  <c r="N70" i="19"/>
  <c r="P70" i="19"/>
  <c r="Q70" i="19"/>
  <c r="S70" i="19"/>
  <c r="V70" i="19"/>
  <c r="W70" i="19"/>
  <c r="X70" i="19"/>
  <c r="Z70" i="19"/>
  <c r="D68" i="32" s="1"/>
  <c r="AA70" i="19"/>
  <c r="D68" i="33" s="1"/>
  <c r="C71" i="19"/>
  <c r="D71" i="19"/>
  <c r="E71" i="19"/>
  <c r="F71" i="19"/>
  <c r="H71" i="19"/>
  <c r="I71" i="19"/>
  <c r="J71" i="19"/>
  <c r="K71" i="19"/>
  <c r="L71" i="19"/>
  <c r="M71" i="19"/>
  <c r="N71" i="19"/>
  <c r="P71" i="19"/>
  <c r="Q71" i="19"/>
  <c r="S71" i="19"/>
  <c r="V71" i="19"/>
  <c r="W71" i="19"/>
  <c r="X71" i="19"/>
  <c r="Z71" i="19"/>
  <c r="D69" i="32" s="1"/>
  <c r="AA71" i="19"/>
  <c r="D69" i="33" s="1"/>
  <c r="C72" i="19"/>
  <c r="D72" i="19"/>
  <c r="E72" i="19"/>
  <c r="F72" i="19"/>
  <c r="H72" i="19"/>
  <c r="I72" i="19"/>
  <c r="J72" i="19"/>
  <c r="K72" i="19"/>
  <c r="L72" i="19"/>
  <c r="M72" i="19"/>
  <c r="N72" i="19"/>
  <c r="P72" i="19"/>
  <c r="Q72" i="19"/>
  <c r="S72" i="19"/>
  <c r="V72" i="19"/>
  <c r="W72" i="19"/>
  <c r="X72" i="19"/>
  <c r="Z72" i="19"/>
  <c r="D70" i="32" s="1"/>
  <c r="AA72" i="19"/>
  <c r="D70" i="33" s="1"/>
  <c r="C73" i="19"/>
  <c r="D73" i="19"/>
  <c r="E73" i="19"/>
  <c r="F73" i="19"/>
  <c r="H73" i="19"/>
  <c r="I73" i="19"/>
  <c r="J73" i="19"/>
  <c r="K73" i="19"/>
  <c r="L73" i="19"/>
  <c r="M73" i="19"/>
  <c r="N73" i="19"/>
  <c r="P73" i="19"/>
  <c r="Q73" i="19"/>
  <c r="S73" i="19"/>
  <c r="V73" i="19"/>
  <c r="W73" i="19"/>
  <c r="X73" i="19"/>
  <c r="Z73" i="19"/>
  <c r="D71" i="32" s="1"/>
  <c r="AA73" i="19"/>
  <c r="D71" i="33" s="1"/>
  <c r="C74" i="19"/>
  <c r="D74" i="19"/>
  <c r="E74" i="19"/>
  <c r="F74" i="19"/>
  <c r="H74" i="19"/>
  <c r="I74" i="19"/>
  <c r="J74" i="19"/>
  <c r="K74" i="19"/>
  <c r="L74" i="19"/>
  <c r="M74" i="19"/>
  <c r="N74" i="19"/>
  <c r="P74" i="19"/>
  <c r="Q74" i="19"/>
  <c r="S74" i="19"/>
  <c r="V74" i="19"/>
  <c r="W74" i="19"/>
  <c r="X74" i="19"/>
  <c r="Z74" i="19"/>
  <c r="D72" i="32" s="1"/>
  <c r="AA74" i="19"/>
  <c r="D72" i="33" s="1"/>
  <c r="C75" i="19"/>
  <c r="D75" i="19"/>
  <c r="E75" i="19"/>
  <c r="F75" i="19"/>
  <c r="H75" i="19"/>
  <c r="I75" i="19"/>
  <c r="J75" i="19"/>
  <c r="K75" i="19"/>
  <c r="L75" i="19"/>
  <c r="M75" i="19"/>
  <c r="N75" i="19"/>
  <c r="P75" i="19"/>
  <c r="Q75" i="19"/>
  <c r="S75" i="19"/>
  <c r="V75" i="19"/>
  <c r="W75" i="19"/>
  <c r="X75" i="19"/>
  <c r="Z75" i="19"/>
  <c r="D73" i="32" s="1"/>
  <c r="AA75" i="19"/>
  <c r="D73" i="33" s="1"/>
  <c r="C76" i="19"/>
  <c r="D76" i="19"/>
  <c r="E76" i="19"/>
  <c r="F76" i="19"/>
  <c r="H76" i="19"/>
  <c r="I76" i="19"/>
  <c r="J76" i="19"/>
  <c r="K76" i="19"/>
  <c r="L76" i="19"/>
  <c r="M76" i="19"/>
  <c r="N76" i="19"/>
  <c r="P76" i="19"/>
  <c r="Q76" i="19"/>
  <c r="S76" i="19"/>
  <c r="V76" i="19"/>
  <c r="W76" i="19"/>
  <c r="X76" i="19"/>
  <c r="Z76" i="19"/>
  <c r="D74" i="32" s="1"/>
  <c r="AA76" i="19"/>
  <c r="D74" i="33" s="1"/>
  <c r="C77" i="19"/>
  <c r="D77" i="19"/>
  <c r="E77" i="19"/>
  <c r="F77" i="19"/>
  <c r="H77" i="19"/>
  <c r="I77" i="19"/>
  <c r="J77" i="19"/>
  <c r="K77" i="19"/>
  <c r="L77" i="19"/>
  <c r="M77" i="19"/>
  <c r="N77" i="19"/>
  <c r="P77" i="19"/>
  <c r="Q77" i="19"/>
  <c r="S77" i="19"/>
  <c r="V77" i="19"/>
  <c r="W77" i="19"/>
  <c r="X77" i="19"/>
  <c r="Z77" i="19"/>
  <c r="D75" i="32" s="1"/>
  <c r="AA77" i="19"/>
  <c r="D75" i="33" s="1"/>
  <c r="C78" i="19"/>
  <c r="D78" i="19"/>
  <c r="E78" i="19"/>
  <c r="F78" i="19"/>
  <c r="H78" i="19"/>
  <c r="I78" i="19"/>
  <c r="J78" i="19"/>
  <c r="K78" i="19"/>
  <c r="L78" i="19"/>
  <c r="M78" i="19"/>
  <c r="N78" i="19"/>
  <c r="P78" i="19"/>
  <c r="Q78" i="19"/>
  <c r="S78" i="19"/>
  <c r="V78" i="19"/>
  <c r="W78" i="19"/>
  <c r="X78" i="19"/>
  <c r="Z78" i="19"/>
  <c r="D76" i="32" s="1"/>
  <c r="AA78" i="19"/>
  <c r="D76" i="33" s="1"/>
  <c r="C79" i="19"/>
  <c r="D79" i="19"/>
  <c r="E79" i="19"/>
  <c r="F79" i="19"/>
  <c r="H79" i="19"/>
  <c r="I79" i="19"/>
  <c r="J79" i="19"/>
  <c r="K79" i="19"/>
  <c r="L79" i="19"/>
  <c r="M79" i="19"/>
  <c r="N79" i="19"/>
  <c r="P79" i="19"/>
  <c r="Q79" i="19"/>
  <c r="S79" i="19"/>
  <c r="V79" i="19"/>
  <c r="W79" i="19"/>
  <c r="X79" i="19"/>
  <c r="Z79" i="19"/>
  <c r="D77" i="32" s="1"/>
  <c r="AA79" i="19"/>
  <c r="D77" i="33" s="1"/>
  <c r="C80" i="19"/>
  <c r="D80" i="19"/>
  <c r="E80" i="19"/>
  <c r="F80" i="19"/>
  <c r="H80" i="19"/>
  <c r="I80" i="19"/>
  <c r="J80" i="19"/>
  <c r="K80" i="19"/>
  <c r="L80" i="19"/>
  <c r="M80" i="19"/>
  <c r="N80" i="19"/>
  <c r="P80" i="19"/>
  <c r="Q80" i="19"/>
  <c r="S80" i="19"/>
  <c r="V80" i="19"/>
  <c r="W80" i="19"/>
  <c r="X80" i="19"/>
  <c r="Z80" i="19"/>
  <c r="D78" i="32" s="1"/>
  <c r="AA80" i="19"/>
  <c r="D78" i="33" s="1"/>
  <c r="C81" i="19"/>
  <c r="D81" i="19"/>
  <c r="E81" i="19"/>
  <c r="F81" i="19"/>
  <c r="H81" i="19"/>
  <c r="I81" i="19"/>
  <c r="J81" i="19"/>
  <c r="K81" i="19"/>
  <c r="L81" i="19"/>
  <c r="M81" i="19"/>
  <c r="N81" i="19"/>
  <c r="P81" i="19"/>
  <c r="Q81" i="19"/>
  <c r="S81" i="19"/>
  <c r="V81" i="19"/>
  <c r="W81" i="19"/>
  <c r="X81" i="19"/>
  <c r="Z81" i="19"/>
  <c r="D79" i="32" s="1"/>
  <c r="AA81" i="19"/>
  <c r="D79" i="33" s="1"/>
  <c r="C82" i="19"/>
  <c r="D82" i="19"/>
  <c r="E82" i="19"/>
  <c r="F82" i="19"/>
  <c r="H82" i="19"/>
  <c r="I82" i="19"/>
  <c r="J82" i="19"/>
  <c r="K82" i="19"/>
  <c r="L82" i="19"/>
  <c r="M82" i="19"/>
  <c r="N82" i="19"/>
  <c r="P82" i="19"/>
  <c r="Q82" i="19"/>
  <c r="S82" i="19"/>
  <c r="V82" i="19"/>
  <c r="W82" i="19"/>
  <c r="X82" i="19"/>
  <c r="Z82" i="19"/>
  <c r="D80" i="32" s="1"/>
  <c r="AA82" i="19"/>
  <c r="D80" i="33" s="1"/>
  <c r="C83" i="19"/>
  <c r="D83" i="19"/>
  <c r="E83" i="19"/>
  <c r="F83" i="19"/>
  <c r="H83" i="19"/>
  <c r="I83" i="19"/>
  <c r="J83" i="19"/>
  <c r="K83" i="19"/>
  <c r="L83" i="19"/>
  <c r="M83" i="19"/>
  <c r="N83" i="19"/>
  <c r="P83" i="19"/>
  <c r="Q83" i="19"/>
  <c r="S83" i="19"/>
  <c r="V83" i="19"/>
  <c r="W83" i="19"/>
  <c r="X83" i="19"/>
  <c r="Z83" i="19"/>
  <c r="D81" i="32" s="1"/>
  <c r="AA83" i="19"/>
  <c r="D81" i="33" s="1"/>
  <c r="C84" i="19"/>
  <c r="D84" i="19"/>
  <c r="E84" i="19"/>
  <c r="F84" i="19"/>
  <c r="H84" i="19"/>
  <c r="I84" i="19"/>
  <c r="J84" i="19"/>
  <c r="K84" i="19"/>
  <c r="L84" i="19"/>
  <c r="M84" i="19"/>
  <c r="N84" i="19"/>
  <c r="P84" i="19"/>
  <c r="Q84" i="19"/>
  <c r="S84" i="19"/>
  <c r="V84" i="19"/>
  <c r="W84" i="19"/>
  <c r="X84" i="19"/>
  <c r="Z84" i="19"/>
  <c r="D82" i="32" s="1"/>
  <c r="AA84" i="19"/>
  <c r="D82" i="33" s="1"/>
  <c r="C85" i="19"/>
  <c r="D85" i="19"/>
  <c r="E85" i="19"/>
  <c r="F85" i="19"/>
  <c r="H85" i="19"/>
  <c r="I85" i="19"/>
  <c r="J85" i="19"/>
  <c r="K85" i="19"/>
  <c r="L85" i="19"/>
  <c r="M85" i="19"/>
  <c r="N85" i="19"/>
  <c r="P85" i="19"/>
  <c r="Q85" i="19"/>
  <c r="S85" i="19"/>
  <c r="V85" i="19"/>
  <c r="W85" i="19"/>
  <c r="X85" i="19"/>
  <c r="Z85" i="19"/>
  <c r="D83" i="32" s="1"/>
  <c r="AA85" i="19"/>
  <c r="D83" i="33" s="1"/>
  <c r="C86" i="19"/>
  <c r="D86" i="19"/>
  <c r="E86" i="19"/>
  <c r="F86" i="19"/>
  <c r="H86" i="19"/>
  <c r="I86" i="19"/>
  <c r="J86" i="19"/>
  <c r="K86" i="19"/>
  <c r="L86" i="19"/>
  <c r="M86" i="19"/>
  <c r="N86" i="19"/>
  <c r="P86" i="19"/>
  <c r="Q86" i="19"/>
  <c r="S86" i="19"/>
  <c r="V86" i="19"/>
  <c r="W86" i="19"/>
  <c r="X86" i="19"/>
  <c r="Z86" i="19"/>
  <c r="D84" i="32" s="1"/>
  <c r="AA86" i="19"/>
  <c r="D84" i="33" s="1"/>
  <c r="C87" i="19"/>
  <c r="D87" i="19"/>
  <c r="E87" i="19"/>
  <c r="F87" i="19"/>
  <c r="H87" i="19"/>
  <c r="I87" i="19"/>
  <c r="J87" i="19"/>
  <c r="K87" i="19"/>
  <c r="L87" i="19"/>
  <c r="M87" i="19"/>
  <c r="N87" i="19"/>
  <c r="P87" i="19"/>
  <c r="Q87" i="19"/>
  <c r="S87" i="19"/>
  <c r="V87" i="19"/>
  <c r="W87" i="19"/>
  <c r="X87" i="19"/>
  <c r="Z87" i="19"/>
  <c r="D85" i="32" s="1"/>
  <c r="AA87" i="19"/>
  <c r="D85" i="33" s="1"/>
  <c r="C88" i="19"/>
  <c r="D88" i="19"/>
  <c r="E88" i="19"/>
  <c r="F88" i="19"/>
  <c r="H88" i="19"/>
  <c r="I88" i="19"/>
  <c r="J88" i="19"/>
  <c r="K88" i="19"/>
  <c r="L88" i="19"/>
  <c r="M88" i="19"/>
  <c r="N88" i="19"/>
  <c r="P88" i="19"/>
  <c r="Q88" i="19"/>
  <c r="S88" i="19"/>
  <c r="V88" i="19"/>
  <c r="W88" i="19"/>
  <c r="X88" i="19"/>
  <c r="Z88" i="19"/>
  <c r="D86" i="32" s="1"/>
  <c r="AA88" i="19"/>
  <c r="D86" i="33" s="1"/>
  <c r="C89" i="19"/>
  <c r="D89" i="19"/>
  <c r="E89" i="19"/>
  <c r="F89" i="19"/>
  <c r="H89" i="19"/>
  <c r="I89" i="19"/>
  <c r="J89" i="19"/>
  <c r="K89" i="19"/>
  <c r="L89" i="19"/>
  <c r="M89" i="19"/>
  <c r="N89" i="19"/>
  <c r="P89" i="19"/>
  <c r="Q89" i="19"/>
  <c r="S89" i="19"/>
  <c r="V89" i="19"/>
  <c r="W89" i="19"/>
  <c r="X89" i="19"/>
  <c r="Z89" i="19"/>
  <c r="D87" i="32" s="1"/>
  <c r="AA89" i="19"/>
  <c r="D87" i="33" s="1"/>
  <c r="C90" i="19"/>
  <c r="D90" i="19"/>
  <c r="E90" i="19"/>
  <c r="F90" i="19"/>
  <c r="H90" i="19"/>
  <c r="I90" i="19"/>
  <c r="J90" i="19"/>
  <c r="K90" i="19"/>
  <c r="L90" i="19"/>
  <c r="M90" i="19"/>
  <c r="N90" i="19"/>
  <c r="P90" i="19"/>
  <c r="Q90" i="19"/>
  <c r="S90" i="19"/>
  <c r="V90" i="19"/>
  <c r="W90" i="19"/>
  <c r="X90" i="19"/>
  <c r="Z90" i="19"/>
  <c r="D88" i="32" s="1"/>
  <c r="AA90" i="19"/>
  <c r="D88" i="33" s="1"/>
  <c r="C91" i="19"/>
  <c r="D91" i="19"/>
  <c r="E91" i="19"/>
  <c r="F91" i="19"/>
  <c r="H91" i="19"/>
  <c r="I91" i="19"/>
  <c r="J91" i="19"/>
  <c r="K91" i="19"/>
  <c r="L91" i="19"/>
  <c r="M91" i="19"/>
  <c r="N91" i="19"/>
  <c r="P91" i="19"/>
  <c r="Q91" i="19"/>
  <c r="S91" i="19"/>
  <c r="V91" i="19"/>
  <c r="W91" i="19"/>
  <c r="X91" i="19"/>
  <c r="Z91" i="19"/>
  <c r="D89" i="32" s="1"/>
  <c r="AA91" i="19"/>
  <c r="D89" i="33" s="1"/>
  <c r="C92" i="19"/>
  <c r="D92" i="19"/>
  <c r="E92" i="19"/>
  <c r="F92" i="19"/>
  <c r="H92" i="19"/>
  <c r="I92" i="19"/>
  <c r="J92" i="19"/>
  <c r="K92" i="19"/>
  <c r="L92" i="19"/>
  <c r="M92" i="19"/>
  <c r="N92" i="19"/>
  <c r="P92" i="19"/>
  <c r="Q92" i="19"/>
  <c r="S92" i="19"/>
  <c r="V92" i="19"/>
  <c r="W92" i="19"/>
  <c r="X92" i="19"/>
  <c r="Z92" i="19"/>
  <c r="D90" i="32" s="1"/>
  <c r="AA92" i="19"/>
  <c r="D90" i="33" s="1"/>
  <c r="C93" i="19"/>
  <c r="D93" i="19"/>
  <c r="E93" i="19"/>
  <c r="F93" i="19"/>
  <c r="H93" i="19"/>
  <c r="I93" i="19"/>
  <c r="J93" i="19"/>
  <c r="K93" i="19"/>
  <c r="L93" i="19"/>
  <c r="M93" i="19"/>
  <c r="N93" i="19"/>
  <c r="P93" i="19"/>
  <c r="Q93" i="19"/>
  <c r="S93" i="19"/>
  <c r="V93" i="19"/>
  <c r="W93" i="19"/>
  <c r="X93" i="19"/>
  <c r="Z93" i="19"/>
  <c r="D91" i="32" s="1"/>
  <c r="AA93" i="19"/>
  <c r="D91" i="33" s="1"/>
  <c r="C94" i="19"/>
  <c r="D94" i="19"/>
  <c r="E94" i="19"/>
  <c r="F94" i="19"/>
  <c r="H94" i="19"/>
  <c r="I94" i="19"/>
  <c r="J94" i="19"/>
  <c r="K94" i="19"/>
  <c r="L94" i="19"/>
  <c r="M94" i="19"/>
  <c r="N94" i="19"/>
  <c r="P94" i="19"/>
  <c r="Q94" i="19"/>
  <c r="S94" i="19"/>
  <c r="V94" i="19"/>
  <c r="W94" i="19"/>
  <c r="X94" i="19"/>
  <c r="Z94" i="19"/>
  <c r="D92" i="32" s="1"/>
  <c r="AA94" i="19"/>
  <c r="D92" i="33" s="1"/>
  <c r="C95" i="19"/>
  <c r="D95" i="19"/>
  <c r="E95" i="19"/>
  <c r="F95" i="19"/>
  <c r="H95" i="19"/>
  <c r="I95" i="19"/>
  <c r="J95" i="19"/>
  <c r="K95" i="19"/>
  <c r="L95" i="19"/>
  <c r="M95" i="19"/>
  <c r="N95" i="19"/>
  <c r="P95" i="19"/>
  <c r="Q95" i="19"/>
  <c r="S95" i="19"/>
  <c r="V95" i="19"/>
  <c r="W95" i="19"/>
  <c r="X95" i="19"/>
  <c r="Z95" i="19"/>
  <c r="D93" i="32" s="1"/>
  <c r="AA95" i="19"/>
  <c r="D93" i="33" s="1"/>
  <c r="C96" i="19"/>
  <c r="D96" i="19"/>
  <c r="E96" i="19"/>
  <c r="F96" i="19"/>
  <c r="H96" i="19"/>
  <c r="I96" i="19"/>
  <c r="J96" i="19"/>
  <c r="K96" i="19"/>
  <c r="L96" i="19"/>
  <c r="M96" i="19"/>
  <c r="N96" i="19"/>
  <c r="P96" i="19"/>
  <c r="Q96" i="19"/>
  <c r="S96" i="19"/>
  <c r="V96" i="19"/>
  <c r="W96" i="19"/>
  <c r="X96" i="19"/>
  <c r="Z96" i="19"/>
  <c r="D94" i="32" s="1"/>
  <c r="AA96" i="19"/>
  <c r="D94" i="33" s="1"/>
  <c r="C97" i="19"/>
  <c r="D97" i="19"/>
  <c r="E97" i="19"/>
  <c r="F97" i="19"/>
  <c r="H97" i="19"/>
  <c r="I97" i="19"/>
  <c r="J97" i="19"/>
  <c r="K97" i="19"/>
  <c r="L97" i="19"/>
  <c r="M97" i="19"/>
  <c r="N97" i="19"/>
  <c r="P97" i="19"/>
  <c r="Q97" i="19"/>
  <c r="S97" i="19"/>
  <c r="V97" i="19"/>
  <c r="W97" i="19"/>
  <c r="X97" i="19"/>
  <c r="Z97" i="19"/>
  <c r="D95" i="32" s="1"/>
  <c r="AA97" i="19"/>
  <c r="D95" i="33" s="1"/>
  <c r="C98" i="19"/>
  <c r="D98" i="19"/>
  <c r="E98" i="19"/>
  <c r="F98" i="19"/>
  <c r="H98" i="19"/>
  <c r="I98" i="19"/>
  <c r="J98" i="19"/>
  <c r="K98" i="19"/>
  <c r="L98" i="19"/>
  <c r="M98" i="19"/>
  <c r="N98" i="19"/>
  <c r="P98" i="19"/>
  <c r="Q98" i="19"/>
  <c r="S98" i="19"/>
  <c r="V98" i="19"/>
  <c r="W98" i="19"/>
  <c r="X98" i="19"/>
  <c r="Z98" i="19"/>
  <c r="D96" i="32" s="1"/>
  <c r="AA98" i="19"/>
  <c r="D96" i="33" s="1"/>
  <c r="C99" i="19"/>
  <c r="D99" i="19"/>
  <c r="E99" i="19"/>
  <c r="F99" i="19"/>
  <c r="H99" i="19"/>
  <c r="I99" i="19"/>
  <c r="J99" i="19"/>
  <c r="K99" i="19"/>
  <c r="L99" i="19"/>
  <c r="M99" i="19"/>
  <c r="N99" i="19"/>
  <c r="P99" i="19"/>
  <c r="Q99" i="19"/>
  <c r="S99" i="19"/>
  <c r="V99" i="19"/>
  <c r="W99" i="19"/>
  <c r="X99" i="19"/>
  <c r="Z99" i="19"/>
  <c r="D97" i="32" s="1"/>
  <c r="AA99" i="19"/>
  <c r="D97" i="33" s="1"/>
  <c r="C100" i="19"/>
  <c r="D100" i="19"/>
  <c r="E100" i="19"/>
  <c r="F100" i="19"/>
  <c r="H100" i="19"/>
  <c r="I100" i="19"/>
  <c r="J100" i="19"/>
  <c r="K100" i="19"/>
  <c r="L100" i="19"/>
  <c r="M100" i="19"/>
  <c r="N100" i="19"/>
  <c r="P100" i="19"/>
  <c r="Q100" i="19"/>
  <c r="S100" i="19"/>
  <c r="V100" i="19"/>
  <c r="W100" i="19"/>
  <c r="X100" i="19"/>
  <c r="Z100" i="19"/>
  <c r="D98" i="32" s="1"/>
  <c r="AA100" i="19"/>
  <c r="D98" i="33" s="1"/>
  <c r="C101" i="19"/>
  <c r="D101" i="19"/>
  <c r="E101" i="19"/>
  <c r="F101" i="19"/>
  <c r="H101" i="19"/>
  <c r="I101" i="19"/>
  <c r="J101" i="19"/>
  <c r="K101" i="19"/>
  <c r="L101" i="19"/>
  <c r="M101" i="19"/>
  <c r="N101" i="19"/>
  <c r="P101" i="19"/>
  <c r="Q101" i="19"/>
  <c r="S101" i="19"/>
  <c r="V101" i="19"/>
  <c r="W101" i="19"/>
  <c r="X101" i="19"/>
  <c r="Z101" i="19"/>
  <c r="D99" i="32" s="1"/>
  <c r="AA101" i="19"/>
  <c r="D99" i="33" s="1"/>
  <c r="C102" i="19"/>
  <c r="D102" i="19"/>
  <c r="E102" i="19"/>
  <c r="F102" i="19"/>
  <c r="H102" i="19"/>
  <c r="I102" i="19"/>
  <c r="J102" i="19"/>
  <c r="K102" i="19"/>
  <c r="L102" i="19"/>
  <c r="M102" i="19"/>
  <c r="N102" i="19"/>
  <c r="P102" i="19"/>
  <c r="Q102" i="19"/>
  <c r="S102" i="19"/>
  <c r="V102" i="19"/>
  <c r="W102" i="19"/>
  <c r="X102" i="19"/>
  <c r="Z102" i="19"/>
  <c r="D100" i="32" s="1"/>
  <c r="AA102" i="19"/>
  <c r="D100" i="33" s="1"/>
  <c r="C103" i="19"/>
  <c r="D103" i="19"/>
  <c r="E103" i="19"/>
  <c r="F103" i="19"/>
  <c r="H103" i="19"/>
  <c r="I103" i="19"/>
  <c r="J103" i="19"/>
  <c r="K103" i="19"/>
  <c r="L103" i="19"/>
  <c r="M103" i="19"/>
  <c r="N103" i="19"/>
  <c r="P103" i="19"/>
  <c r="Q103" i="19"/>
  <c r="S103" i="19"/>
  <c r="V103" i="19"/>
  <c r="W103" i="19"/>
  <c r="X103" i="19"/>
  <c r="Z103" i="19"/>
  <c r="D101" i="32" s="1"/>
  <c r="AA103" i="19"/>
  <c r="D101" i="33" s="1"/>
  <c r="C104" i="19"/>
  <c r="D104" i="19"/>
  <c r="E104" i="19"/>
  <c r="F104" i="19"/>
  <c r="H104" i="19"/>
  <c r="I104" i="19"/>
  <c r="J104" i="19"/>
  <c r="K104" i="19"/>
  <c r="L104" i="19"/>
  <c r="M104" i="19"/>
  <c r="N104" i="19"/>
  <c r="P104" i="19"/>
  <c r="Q104" i="19"/>
  <c r="S104" i="19"/>
  <c r="V104" i="19"/>
  <c r="W104" i="19"/>
  <c r="X104" i="19"/>
  <c r="Z104" i="19"/>
  <c r="D102" i="32" s="1"/>
  <c r="AA104" i="19"/>
  <c r="D102" i="33" s="1"/>
  <c r="C105" i="19"/>
  <c r="D105" i="19"/>
  <c r="E105" i="19"/>
  <c r="F105" i="19"/>
  <c r="H105" i="19"/>
  <c r="I105" i="19"/>
  <c r="J105" i="19"/>
  <c r="K105" i="19"/>
  <c r="L105" i="19"/>
  <c r="M105" i="19"/>
  <c r="N105" i="19"/>
  <c r="P105" i="19"/>
  <c r="Q105" i="19"/>
  <c r="S105" i="19"/>
  <c r="V105" i="19"/>
  <c r="W105" i="19"/>
  <c r="X105" i="19"/>
  <c r="Z105" i="19"/>
  <c r="D103" i="32" s="1"/>
  <c r="AA105" i="19"/>
  <c r="D103" i="33" s="1"/>
  <c r="C106" i="19"/>
  <c r="D106" i="19"/>
  <c r="E106" i="19"/>
  <c r="F106" i="19"/>
  <c r="H106" i="19"/>
  <c r="I106" i="19"/>
  <c r="J106" i="19"/>
  <c r="K106" i="19"/>
  <c r="L106" i="19"/>
  <c r="M106" i="19"/>
  <c r="N106" i="19"/>
  <c r="P106" i="19"/>
  <c r="Q106" i="19"/>
  <c r="S106" i="19"/>
  <c r="V106" i="19"/>
  <c r="W106" i="19"/>
  <c r="X106" i="19"/>
  <c r="Z106" i="19"/>
  <c r="D104" i="32" s="1"/>
  <c r="AA106" i="19"/>
  <c r="D104" i="33" s="1"/>
  <c r="C107" i="19"/>
  <c r="D107" i="19"/>
  <c r="E107" i="19"/>
  <c r="F107" i="19"/>
  <c r="H107" i="19"/>
  <c r="I107" i="19"/>
  <c r="J107" i="19"/>
  <c r="K107" i="19"/>
  <c r="L107" i="19"/>
  <c r="M107" i="19"/>
  <c r="N107" i="19"/>
  <c r="P107" i="19"/>
  <c r="Q107" i="19"/>
  <c r="S107" i="19"/>
  <c r="V107" i="19"/>
  <c r="W107" i="19"/>
  <c r="X107" i="19"/>
  <c r="Z107" i="19"/>
  <c r="D105" i="32" s="1"/>
  <c r="AA107" i="19"/>
  <c r="D105" i="33" s="1"/>
  <c r="C108" i="19"/>
  <c r="D108" i="19"/>
  <c r="E108" i="19"/>
  <c r="F108" i="19"/>
  <c r="H108" i="19"/>
  <c r="I108" i="19"/>
  <c r="J108" i="19"/>
  <c r="K108" i="19"/>
  <c r="L108" i="19"/>
  <c r="M108" i="19"/>
  <c r="N108" i="19"/>
  <c r="P108" i="19"/>
  <c r="Q108" i="19"/>
  <c r="S108" i="19"/>
  <c r="V108" i="19"/>
  <c r="W108" i="19"/>
  <c r="X108" i="19"/>
  <c r="Z108" i="19"/>
  <c r="D106" i="32" s="1"/>
  <c r="AA108" i="19"/>
  <c r="D106" i="33" s="1"/>
  <c r="C109" i="19"/>
  <c r="D109" i="19"/>
  <c r="E109" i="19"/>
  <c r="F109" i="19"/>
  <c r="H109" i="19"/>
  <c r="I109" i="19"/>
  <c r="J109" i="19"/>
  <c r="K109" i="19"/>
  <c r="L109" i="19"/>
  <c r="M109" i="19"/>
  <c r="N109" i="19"/>
  <c r="P109" i="19"/>
  <c r="Q109" i="19"/>
  <c r="S109" i="19"/>
  <c r="V109" i="19"/>
  <c r="W109" i="19"/>
  <c r="X109" i="19"/>
  <c r="Z109" i="19"/>
  <c r="D107" i="32" s="1"/>
  <c r="AA109" i="19"/>
  <c r="D107" i="33" s="1"/>
  <c r="C110" i="19"/>
  <c r="D110" i="19"/>
  <c r="E110" i="19"/>
  <c r="F110" i="19"/>
  <c r="H110" i="19"/>
  <c r="I110" i="19"/>
  <c r="J110" i="19"/>
  <c r="K110" i="19"/>
  <c r="L110" i="19"/>
  <c r="M110" i="19"/>
  <c r="N110" i="19"/>
  <c r="P110" i="19"/>
  <c r="Q110" i="19"/>
  <c r="S110" i="19"/>
  <c r="V110" i="19"/>
  <c r="W110" i="19"/>
  <c r="X110" i="19"/>
  <c r="Z110" i="19"/>
  <c r="D108" i="32" s="1"/>
  <c r="AA110" i="19"/>
  <c r="D108" i="33" s="1"/>
  <c r="C111" i="19"/>
  <c r="D111" i="19"/>
  <c r="E111" i="19"/>
  <c r="F111" i="19"/>
  <c r="H111" i="19"/>
  <c r="I111" i="19"/>
  <c r="J111" i="19"/>
  <c r="K111" i="19"/>
  <c r="L111" i="19"/>
  <c r="M111" i="19"/>
  <c r="N111" i="19"/>
  <c r="P111" i="19"/>
  <c r="Q111" i="19"/>
  <c r="S111" i="19"/>
  <c r="V111" i="19"/>
  <c r="W111" i="19"/>
  <c r="X111" i="19"/>
  <c r="Z111" i="19"/>
  <c r="D109" i="32" s="1"/>
  <c r="AA111" i="19"/>
  <c r="D109" i="33" s="1"/>
  <c r="C112" i="19"/>
  <c r="D112" i="19"/>
  <c r="E112" i="19"/>
  <c r="F112" i="19"/>
  <c r="H112" i="19"/>
  <c r="I112" i="19"/>
  <c r="J112" i="19"/>
  <c r="K112" i="19"/>
  <c r="L112" i="19"/>
  <c r="M112" i="19"/>
  <c r="N112" i="19"/>
  <c r="P112" i="19"/>
  <c r="Q112" i="19"/>
  <c r="S112" i="19"/>
  <c r="V112" i="19"/>
  <c r="W112" i="19"/>
  <c r="X112" i="19"/>
  <c r="Z112" i="19"/>
  <c r="D110" i="32" s="1"/>
  <c r="AA112" i="19"/>
  <c r="D110" i="33" s="1"/>
  <c r="C113" i="19"/>
  <c r="D113" i="19"/>
  <c r="E113" i="19"/>
  <c r="F113" i="19"/>
  <c r="H113" i="19"/>
  <c r="I113" i="19"/>
  <c r="J113" i="19"/>
  <c r="K113" i="19"/>
  <c r="L113" i="19"/>
  <c r="M113" i="19"/>
  <c r="N113" i="19"/>
  <c r="P113" i="19"/>
  <c r="Q113" i="19"/>
  <c r="S113" i="19"/>
  <c r="V113" i="19"/>
  <c r="W113" i="19"/>
  <c r="X113" i="19"/>
  <c r="Z113" i="19"/>
  <c r="D111" i="32" s="1"/>
  <c r="AA113" i="19"/>
  <c r="D111" i="33" s="1"/>
  <c r="C114" i="19"/>
  <c r="D114" i="19"/>
  <c r="E114" i="19"/>
  <c r="F114" i="19"/>
  <c r="H114" i="19"/>
  <c r="I114" i="19"/>
  <c r="J114" i="19"/>
  <c r="K114" i="19"/>
  <c r="L114" i="19"/>
  <c r="M114" i="19"/>
  <c r="N114" i="19"/>
  <c r="P114" i="19"/>
  <c r="Q114" i="19"/>
  <c r="S114" i="19"/>
  <c r="V114" i="19"/>
  <c r="W114" i="19"/>
  <c r="X114" i="19"/>
  <c r="Z114" i="19"/>
  <c r="D112" i="32" s="1"/>
  <c r="AA114" i="19"/>
  <c r="D112" i="33" s="1"/>
  <c r="C115" i="19"/>
  <c r="D115" i="19"/>
  <c r="E115" i="19"/>
  <c r="F115" i="19"/>
  <c r="H115" i="19"/>
  <c r="I115" i="19"/>
  <c r="J115" i="19"/>
  <c r="K115" i="19"/>
  <c r="L115" i="19"/>
  <c r="M115" i="19"/>
  <c r="N115" i="19"/>
  <c r="P115" i="19"/>
  <c r="Q115" i="19"/>
  <c r="S115" i="19"/>
  <c r="V115" i="19"/>
  <c r="W115" i="19"/>
  <c r="X115" i="19"/>
  <c r="Z115" i="19"/>
  <c r="D113" i="32" s="1"/>
  <c r="AA115" i="19"/>
  <c r="D113" i="33" s="1"/>
  <c r="C116" i="19"/>
  <c r="D116" i="19"/>
  <c r="E116" i="19"/>
  <c r="F116" i="19"/>
  <c r="H116" i="19"/>
  <c r="I116" i="19"/>
  <c r="J116" i="19"/>
  <c r="K116" i="19"/>
  <c r="L116" i="19"/>
  <c r="M116" i="19"/>
  <c r="N116" i="19"/>
  <c r="P116" i="19"/>
  <c r="Q116" i="19"/>
  <c r="S116" i="19"/>
  <c r="V116" i="19"/>
  <c r="W116" i="19"/>
  <c r="X116" i="19"/>
  <c r="Z116" i="19"/>
  <c r="D114" i="32" s="1"/>
  <c r="AA116" i="19"/>
  <c r="D114" i="33" s="1"/>
  <c r="C117" i="19"/>
  <c r="D117" i="19"/>
  <c r="E117" i="19"/>
  <c r="F117" i="19"/>
  <c r="H117" i="19"/>
  <c r="I117" i="19"/>
  <c r="J117" i="19"/>
  <c r="K117" i="19"/>
  <c r="L117" i="19"/>
  <c r="M117" i="19"/>
  <c r="N117" i="19"/>
  <c r="P117" i="19"/>
  <c r="Q117" i="19"/>
  <c r="S117" i="19"/>
  <c r="V117" i="19"/>
  <c r="W117" i="19"/>
  <c r="X117" i="19"/>
  <c r="Z117" i="19"/>
  <c r="D115" i="32" s="1"/>
  <c r="AA117" i="19"/>
  <c r="D115" i="33" s="1"/>
  <c r="C118" i="19"/>
  <c r="D118" i="19"/>
  <c r="E118" i="19"/>
  <c r="F118" i="19"/>
  <c r="H118" i="19"/>
  <c r="I118" i="19"/>
  <c r="J118" i="19"/>
  <c r="K118" i="19"/>
  <c r="L118" i="19"/>
  <c r="M118" i="19"/>
  <c r="N118" i="19"/>
  <c r="P118" i="19"/>
  <c r="Q118" i="19"/>
  <c r="S118" i="19"/>
  <c r="V118" i="19"/>
  <c r="W118" i="19"/>
  <c r="X118" i="19"/>
  <c r="Z118" i="19"/>
  <c r="D116" i="32" s="1"/>
  <c r="AA118" i="19"/>
  <c r="D116" i="33" s="1"/>
  <c r="C119" i="19"/>
  <c r="D119" i="19"/>
  <c r="E119" i="19"/>
  <c r="F119" i="19"/>
  <c r="H119" i="19"/>
  <c r="I119" i="19"/>
  <c r="J119" i="19"/>
  <c r="K119" i="19"/>
  <c r="L119" i="19"/>
  <c r="M119" i="19"/>
  <c r="N119" i="19"/>
  <c r="P119" i="19"/>
  <c r="Q119" i="19"/>
  <c r="S119" i="19"/>
  <c r="V119" i="19"/>
  <c r="W119" i="19"/>
  <c r="X119" i="19"/>
  <c r="Z119" i="19"/>
  <c r="D117" i="32" s="1"/>
  <c r="AA119" i="19"/>
  <c r="D117" i="33" s="1"/>
  <c r="C120" i="19"/>
  <c r="D120" i="19"/>
  <c r="E120" i="19"/>
  <c r="F120" i="19"/>
  <c r="H120" i="19"/>
  <c r="I120" i="19"/>
  <c r="J120" i="19"/>
  <c r="K120" i="19"/>
  <c r="L120" i="19"/>
  <c r="M120" i="19"/>
  <c r="N120" i="19"/>
  <c r="P120" i="19"/>
  <c r="Q120" i="19"/>
  <c r="S120" i="19"/>
  <c r="V120" i="19"/>
  <c r="W120" i="19"/>
  <c r="X120" i="19"/>
  <c r="Z120" i="19"/>
  <c r="D118" i="32" s="1"/>
  <c r="AA120" i="19"/>
  <c r="D118" i="33" s="1"/>
  <c r="C121" i="19"/>
  <c r="D121" i="19"/>
  <c r="E121" i="19"/>
  <c r="F121" i="19"/>
  <c r="H121" i="19"/>
  <c r="I121" i="19"/>
  <c r="J121" i="19"/>
  <c r="K121" i="19"/>
  <c r="L121" i="19"/>
  <c r="M121" i="19"/>
  <c r="N121" i="19"/>
  <c r="P121" i="19"/>
  <c r="Q121" i="19"/>
  <c r="S121" i="19"/>
  <c r="V121" i="19"/>
  <c r="W121" i="19"/>
  <c r="X121" i="19"/>
  <c r="Z121" i="19"/>
  <c r="D119" i="32" s="1"/>
  <c r="AA121" i="19"/>
  <c r="D119" i="33" s="1"/>
  <c r="C122" i="19"/>
  <c r="D122" i="19"/>
  <c r="E122" i="19"/>
  <c r="F122" i="19"/>
  <c r="H122" i="19"/>
  <c r="I122" i="19"/>
  <c r="J122" i="19"/>
  <c r="K122" i="19"/>
  <c r="L122" i="19"/>
  <c r="M122" i="19"/>
  <c r="N122" i="19"/>
  <c r="P122" i="19"/>
  <c r="Q122" i="19"/>
  <c r="S122" i="19"/>
  <c r="V122" i="19"/>
  <c r="W122" i="19"/>
  <c r="X122" i="19"/>
  <c r="Z122" i="19"/>
  <c r="D120" i="32" s="1"/>
  <c r="AA122" i="19"/>
  <c r="D120" i="33" s="1"/>
  <c r="C123" i="19"/>
  <c r="D123" i="19"/>
  <c r="E123" i="19"/>
  <c r="F123" i="19"/>
  <c r="H123" i="19"/>
  <c r="I123" i="19"/>
  <c r="J123" i="19"/>
  <c r="K123" i="19"/>
  <c r="L123" i="19"/>
  <c r="M123" i="19"/>
  <c r="N123" i="19"/>
  <c r="P123" i="19"/>
  <c r="Q123" i="19"/>
  <c r="S123" i="19"/>
  <c r="V123" i="19"/>
  <c r="W123" i="19"/>
  <c r="X123" i="19"/>
  <c r="Z123" i="19"/>
  <c r="D121" i="32" s="1"/>
  <c r="AA123" i="19"/>
  <c r="D121" i="33" s="1"/>
  <c r="C124" i="19"/>
  <c r="D124" i="19"/>
  <c r="E124" i="19"/>
  <c r="F124" i="19"/>
  <c r="H124" i="19"/>
  <c r="I124" i="19"/>
  <c r="J124" i="19"/>
  <c r="K124" i="19"/>
  <c r="L124" i="19"/>
  <c r="M124" i="19"/>
  <c r="N124" i="19"/>
  <c r="P124" i="19"/>
  <c r="Q124" i="19"/>
  <c r="S124" i="19"/>
  <c r="V124" i="19"/>
  <c r="W124" i="19"/>
  <c r="X124" i="19"/>
  <c r="Z124" i="19"/>
  <c r="D122" i="32" s="1"/>
  <c r="AA124" i="19"/>
  <c r="D122" i="33" s="1"/>
  <c r="C125" i="19"/>
  <c r="D125" i="19"/>
  <c r="E125" i="19"/>
  <c r="F125" i="19"/>
  <c r="H125" i="19"/>
  <c r="I125" i="19"/>
  <c r="J125" i="19"/>
  <c r="K125" i="19"/>
  <c r="L125" i="19"/>
  <c r="M125" i="19"/>
  <c r="N125" i="19"/>
  <c r="P125" i="19"/>
  <c r="Q125" i="19"/>
  <c r="S125" i="19"/>
  <c r="V125" i="19"/>
  <c r="W125" i="19"/>
  <c r="X125" i="19"/>
  <c r="Z125" i="19"/>
  <c r="D123" i="32" s="1"/>
  <c r="AA125" i="19"/>
  <c r="D123" i="33" s="1"/>
  <c r="C126" i="19"/>
  <c r="D126" i="19"/>
  <c r="E126" i="19"/>
  <c r="F126" i="19"/>
  <c r="H126" i="19"/>
  <c r="I126" i="19"/>
  <c r="J126" i="19"/>
  <c r="K126" i="19"/>
  <c r="L126" i="19"/>
  <c r="M126" i="19"/>
  <c r="N126" i="19"/>
  <c r="P126" i="19"/>
  <c r="Q126" i="19"/>
  <c r="O126" i="19" s="1"/>
  <c r="S126" i="19"/>
  <c r="V126" i="19"/>
  <c r="W126" i="19"/>
  <c r="X126" i="19"/>
  <c r="Z126" i="19"/>
  <c r="D124" i="32" s="1"/>
  <c r="AA126" i="19"/>
  <c r="D124" i="33" s="1"/>
  <c r="C127" i="19"/>
  <c r="D127" i="19"/>
  <c r="E127" i="19"/>
  <c r="F127" i="19"/>
  <c r="H127" i="19"/>
  <c r="I127" i="19"/>
  <c r="J127" i="19"/>
  <c r="K127" i="19"/>
  <c r="L127" i="19"/>
  <c r="M127" i="19"/>
  <c r="N127" i="19"/>
  <c r="P127" i="19"/>
  <c r="Q127" i="19"/>
  <c r="S127" i="19"/>
  <c r="V127" i="19"/>
  <c r="W127" i="19"/>
  <c r="X127" i="19"/>
  <c r="Z127" i="19"/>
  <c r="D125" i="32" s="1"/>
  <c r="AA127" i="19"/>
  <c r="D125" i="33" s="1"/>
  <c r="C128" i="19"/>
  <c r="D128" i="19"/>
  <c r="E128" i="19"/>
  <c r="F128" i="19"/>
  <c r="H128" i="19"/>
  <c r="I128" i="19"/>
  <c r="J128" i="19"/>
  <c r="K128" i="19"/>
  <c r="L128" i="19"/>
  <c r="M128" i="19"/>
  <c r="N128" i="19"/>
  <c r="P128" i="19"/>
  <c r="Q128" i="19"/>
  <c r="S128" i="19"/>
  <c r="V128" i="19"/>
  <c r="W128" i="19"/>
  <c r="X128" i="19"/>
  <c r="Z128" i="19"/>
  <c r="D126" i="32" s="1"/>
  <c r="AA128" i="19"/>
  <c r="D126" i="33" s="1"/>
  <c r="C129" i="19"/>
  <c r="D129" i="19"/>
  <c r="E129" i="19"/>
  <c r="F129" i="19"/>
  <c r="H129" i="19"/>
  <c r="I129" i="19"/>
  <c r="J129" i="19"/>
  <c r="K129" i="19"/>
  <c r="L129" i="19"/>
  <c r="M129" i="19"/>
  <c r="N129" i="19"/>
  <c r="P129" i="19"/>
  <c r="Q129" i="19"/>
  <c r="S129" i="19"/>
  <c r="V129" i="19"/>
  <c r="W129" i="19"/>
  <c r="X129" i="19"/>
  <c r="Z129" i="19"/>
  <c r="D127" i="32" s="1"/>
  <c r="AA129" i="19"/>
  <c r="D127" i="33" s="1"/>
  <c r="C130" i="19"/>
  <c r="D130" i="19"/>
  <c r="E130" i="19"/>
  <c r="F130" i="19"/>
  <c r="H130" i="19"/>
  <c r="I130" i="19"/>
  <c r="J130" i="19"/>
  <c r="K130" i="19"/>
  <c r="L130" i="19"/>
  <c r="M130" i="19"/>
  <c r="N130" i="19"/>
  <c r="P130" i="19"/>
  <c r="Q130" i="19"/>
  <c r="S130" i="19"/>
  <c r="V130" i="19"/>
  <c r="W130" i="19"/>
  <c r="X130" i="19"/>
  <c r="Z130" i="19"/>
  <c r="D128" i="32" s="1"/>
  <c r="AA130" i="19"/>
  <c r="D128" i="33" s="1"/>
  <c r="C131" i="19"/>
  <c r="D131" i="19"/>
  <c r="E131" i="19"/>
  <c r="F131" i="19"/>
  <c r="H131" i="19"/>
  <c r="I131" i="19"/>
  <c r="J131" i="19"/>
  <c r="K131" i="19"/>
  <c r="L131" i="19"/>
  <c r="M131" i="19"/>
  <c r="N131" i="19"/>
  <c r="P131" i="19"/>
  <c r="Q131" i="19"/>
  <c r="S131" i="19"/>
  <c r="V131" i="19"/>
  <c r="W131" i="19"/>
  <c r="X131" i="19"/>
  <c r="Z131" i="19"/>
  <c r="D129" i="32" s="1"/>
  <c r="AA131" i="19"/>
  <c r="D129" i="33" s="1"/>
  <c r="C132" i="19"/>
  <c r="D132" i="19"/>
  <c r="E132" i="19"/>
  <c r="F132" i="19"/>
  <c r="H132" i="19"/>
  <c r="I132" i="19"/>
  <c r="J132" i="19"/>
  <c r="K132" i="19"/>
  <c r="L132" i="19"/>
  <c r="M132" i="19"/>
  <c r="N132" i="19"/>
  <c r="P132" i="19"/>
  <c r="Q132" i="19"/>
  <c r="S132" i="19"/>
  <c r="V132" i="19"/>
  <c r="W132" i="19"/>
  <c r="X132" i="19"/>
  <c r="Z132" i="19"/>
  <c r="D130" i="32" s="1"/>
  <c r="AA132" i="19"/>
  <c r="D130" i="33" s="1"/>
  <c r="C133" i="19"/>
  <c r="D133" i="19"/>
  <c r="E133" i="19"/>
  <c r="F133" i="19"/>
  <c r="H133" i="19"/>
  <c r="I133" i="19"/>
  <c r="J133" i="19"/>
  <c r="K133" i="19"/>
  <c r="L133" i="19"/>
  <c r="M133" i="19"/>
  <c r="N133" i="19"/>
  <c r="P133" i="19"/>
  <c r="Q133" i="19"/>
  <c r="S133" i="19"/>
  <c r="V133" i="19"/>
  <c r="W133" i="19"/>
  <c r="X133" i="19"/>
  <c r="Z133" i="19"/>
  <c r="D131" i="32" s="1"/>
  <c r="AA133" i="19"/>
  <c r="D131" i="33" s="1"/>
  <c r="C134" i="19"/>
  <c r="D134" i="19"/>
  <c r="E134" i="19"/>
  <c r="F134" i="19"/>
  <c r="H134" i="19"/>
  <c r="I134" i="19"/>
  <c r="J134" i="19"/>
  <c r="K134" i="19"/>
  <c r="L134" i="19"/>
  <c r="M134" i="19"/>
  <c r="N134" i="19"/>
  <c r="P134" i="19"/>
  <c r="Q134" i="19"/>
  <c r="S134" i="19"/>
  <c r="V134" i="19"/>
  <c r="W134" i="19"/>
  <c r="X134" i="19"/>
  <c r="Z134" i="19"/>
  <c r="D132" i="32" s="1"/>
  <c r="AA134" i="19"/>
  <c r="D132" i="33" s="1"/>
  <c r="C135" i="19"/>
  <c r="D135" i="19"/>
  <c r="E135" i="19"/>
  <c r="F135" i="19"/>
  <c r="H135" i="19"/>
  <c r="I135" i="19"/>
  <c r="J135" i="19"/>
  <c r="K135" i="19"/>
  <c r="L135" i="19"/>
  <c r="M135" i="19"/>
  <c r="N135" i="19"/>
  <c r="P135" i="19"/>
  <c r="Q135" i="19"/>
  <c r="S135" i="19"/>
  <c r="V135" i="19"/>
  <c r="W135" i="19"/>
  <c r="X135" i="19"/>
  <c r="Z135" i="19"/>
  <c r="D133" i="32" s="1"/>
  <c r="AA135" i="19"/>
  <c r="D133" i="33" s="1"/>
  <c r="C136" i="19"/>
  <c r="D136" i="19"/>
  <c r="E136" i="19"/>
  <c r="F136" i="19"/>
  <c r="H136" i="19"/>
  <c r="I136" i="19"/>
  <c r="J136" i="19"/>
  <c r="K136" i="19"/>
  <c r="L136" i="19"/>
  <c r="M136" i="19"/>
  <c r="N136" i="19"/>
  <c r="P136" i="19"/>
  <c r="Q136" i="19"/>
  <c r="S136" i="19"/>
  <c r="V136" i="19"/>
  <c r="W136" i="19"/>
  <c r="X136" i="19"/>
  <c r="Z136" i="19"/>
  <c r="D134" i="32" s="1"/>
  <c r="AA136" i="19"/>
  <c r="D134" i="33" s="1"/>
  <c r="C137" i="19"/>
  <c r="D137" i="19"/>
  <c r="E137" i="19"/>
  <c r="F137" i="19"/>
  <c r="H137" i="19"/>
  <c r="I137" i="19"/>
  <c r="J137" i="19"/>
  <c r="K137" i="19"/>
  <c r="L137" i="19"/>
  <c r="M137" i="19"/>
  <c r="N137" i="19"/>
  <c r="P137" i="19"/>
  <c r="Q137" i="19"/>
  <c r="S137" i="19"/>
  <c r="V137" i="19"/>
  <c r="W137" i="19"/>
  <c r="X137" i="19"/>
  <c r="Z137" i="19"/>
  <c r="D135" i="32" s="1"/>
  <c r="AA137" i="19"/>
  <c r="D135" i="33" s="1"/>
  <c r="C138" i="19"/>
  <c r="D138" i="19"/>
  <c r="E138" i="19"/>
  <c r="F138" i="19"/>
  <c r="H138" i="19"/>
  <c r="I138" i="19"/>
  <c r="J138" i="19"/>
  <c r="K138" i="19"/>
  <c r="L138" i="19"/>
  <c r="M138" i="19"/>
  <c r="N138" i="19"/>
  <c r="P138" i="19"/>
  <c r="Q138" i="19"/>
  <c r="S138" i="19"/>
  <c r="V138" i="19"/>
  <c r="W138" i="19"/>
  <c r="X138" i="19"/>
  <c r="Z138" i="19"/>
  <c r="D136" i="32" s="1"/>
  <c r="AA138" i="19"/>
  <c r="D136" i="33" s="1"/>
  <c r="C139" i="19"/>
  <c r="D139" i="19"/>
  <c r="E139" i="19"/>
  <c r="F139" i="19"/>
  <c r="H139" i="19"/>
  <c r="I139" i="19"/>
  <c r="J139" i="19"/>
  <c r="K139" i="19"/>
  <c r="L139" i="19"/>
  <c r="M139" i="19"/>
  <c r="N139" i="19"/>
  <c r="P139" i="19"/>
  <c r="Q139" i="19"/>
  <c r="S139" i="19"/>
  <c r="V139" i="19"/>
  <c r="W139" i="19"/>
  <c r="X139" i="19"/>
  <c r="Z139" i="19"/>
  <c r="D137" i="32" s="1"/>
  <c r="AA139" i="19"/>
  <c r="D137" i="33" s="1"/>
  <c r="C140" i="19"/>
  <c r="D140" i="19"/>
  <c r="E140" i="19"/>
  <c r="F140" i="19"/>
  <c r="H140" i="19"/>
  <c r="I140" i="19"/>
  <c r="J140" i="19"/>
  <c r="K140" i="19"/>
  <c r="L140" i="19"/>
  <c r="M140" i="19"/>
  <c r="N140" i="19"/>
  <c r="P140" i="19"/>
  <c r="Q140" i="19"/>
  <c r="S140" i="19"/>
  <c r="V140" i="19"/>
  <c r="W140" i="19"/>
  <c r="X140" i="19"/>
  <c r="Z140" i="19"/>
  <c r="D138" i="32" s="1"/>
  <c r="AA140" i="19"/>
  <c r="D138" i="33" s="1"/>
  <c r="C141" i="19"/>
  <c r="D141" i="19"/>
  <c r="E141" i="19"/>
  <c r="F141" i="19"/>
  <c r="H141" i="19"/>
  <c r="I141" i="19"/>
  <c r="J141" i="19"/>
  <c r="K141" i="19"/>
  <c r="L141" i="19"/>
  <c r="M141" i="19"/>
  <c r="N141" i="19"/>
  <c r="P141" i="19"/>
  <c r="Q141" i="19"/>
  <c r="S141" i="19"/>
  <c r="V141" i="19"/>
  <c r="W141" i="19"/>
  <c r="X141" i="19"/>
  <c r="Z141" i="19"/>
  <c r="D139" i="32" s="1"/>
  <c r="AA141" i="19"/>
  <c r="D139" i="33" s="1"/>
  <c r="C142" i="19"/>
  <c r="D142" i="19"/>
  <c r="E142" i="19"/>
  <c r="F142" i="19"/>
  <c r="H142" i="19"/>
  <c r="I142" i="19"/>
  <c r="J142" i="19"/>
  <c r="K142" i="19"/>
  <c r="L142" i="19"/>
  <c r="M142" i="19"/>
  <c r="N142" i="19"/>
  <c r="P142" i="19"/>
  <c r="Q142" i="19"/>
  <c r="S142" i="19"/>
  <c r="V142" i="19"/>
  <c r="W142" i="19"/>
  <c r="X142" i="19"/>
  <c r="Z142" i="19"/>
  <c r="D140" i="32" s="1"/>
  <c r="AA142" i="19"/>
  <c r="D140" i="33" s="1"/>
  <c r="C143" i="19"/>
  <c r="D143" i="19"/>
  <c r="E143" i="19"/>
  <c r="F143" i="19"/>
  <c r="H143" i="19"/>
  <c r="I143" i="19"/>
  <c r="J143" i="19"/>
  <c r="K143" i="19"/>
  <c r="L143" i="19"/>
  <c r="M143" i="19"/>
  <c r="N143" i="19"/>
  <c r="P143" i="19"/>
  <c r="Q143" i="19"/>
  <c r="S143" i="19"/>
  <c r="V143" i="19"/>
  <c r="W143" i="19"/>
  <c r="X143" i="19"/>
  <c r="Z143" i="19"/>
  <c r="D141" i="32" s="1"/>
  <c r="AA143" i="19"/>
  <c r="D141" i="33" s="1"/>
  <c r="C144" i="19"/>
  <c r="D144" i="19"/>
  <c r="E144" i="19"/>
  <c r="F144" i="19"/>
  <c r="H144" i="19"/>
  <c r="I144" i="19"/>
  <c r="J144" i="19"/>
  <c r="K144" i="19"/>
  <c r="L144" i="19"/>
  <c r="M144" i="19"/>
  <c r="N144" i="19"/>
  <c r="P144" i="19"/>
  <c r="Q144" i="19"/>
  <c r="S144" i="19"/>
  <c r="V144" i="19"/>
  <c r="W144" i="19"/>
  <c r="X144" i="19"/>
  <c r="Z144" i="19"/>
  <c r="D142" i="32" s="1"/>
  <c r="AA144" i="19"/>
  <c r="D142" i="33" s="1"/>
  <c r="C145" i="19"/>
  <c r="D145" i="19"/>
  <c r="E145" i="19"/>
  <c r="F145" i="19"/>
  <c r="H145" i="19"/>
  <c r="I145" i="19"/>
  <c r="J145" i="19"/>
  <c r="K145" i="19"/>
  <c r="L145" i="19"/>
  <c r="M145" i="19"/>
  <c r="N145" i="19"/>
  <c r="P145" i="19"/>
  <c r="Q145" i="19"/>
  <c r="S145" i="19"/>
  <c r="V145" i="19"/>
  <c r="W145" i="19"/>
  <c r="X145" i="19"/>
  <c r="Z145" i="19"/>
  <c r="D143" i="32" s="1"/>
  <c r="AA145" i="19"/>
  <c r="D143" i="33" s="1"/>
  <c r="C146" i="19"/>
  <c r="D146" i="19"/>
  <c r="E146" i="19"/>
  <c r="F146" i="19"/>
  <c r="H146" i="19"/>
  <c r="I146" i="19"/>
  <c r="J146" i="19"/>
  <c r="K146" i="19"/>
  <c r="L146" i="19"/>
  <c r="M146" i="19"/>
  <c r="N146" i="19"/>
  <c r="P146" i="19"/>
  <c r="Q146" i="19"/>
  <c r="S146" i="19"/>
  <c r="V146" i="19"/>
  <c r="W146" i="19"/>
  <c r="X146" i="19"/>
  <c r="Z146" i="19"/>
  <c r="D144" i="32" s="1"/>
  <c r="AA146" i="19"/>
  <c r="D144" i="33" s="1"/>
  <c r="C147" i="19"/>
  <c r="D147" i="19"/>
  <c r="E147" i="19"/>
  <c r="F147" i="19"/>
  <c r="H147" i="19"/>
  <c r="I147" i="19"/>
  <c r="J147" i="19"/>
  <c r="K147" i="19"/>
  <c r="L147" i="19"/>
  <c r="M147" i="19"/>
  <c r="N147" i="19"/>
  <c r="P147" i="19"/>
  <c r="Q147" i="19"/>
  <c r="S147" i="19"/>
  <c r="V147" i="19"/>
  <c r="W147" i="19"/>
  <c r="X147" i="19"/>
  <c r="Z147" i="19"/>
  <c r="D145" i="32" s="1"/>
  <c r="AA147" i="19"/>
  <c r="D145" i="33" s="1"/>
  <c r="C148" i="19"/>
  <c r="D148" i="19"/>
  <c r="E148" i="19"/>
  <c r="F148" i="19"/>
  <c r="H148" i="19"/>
  <c r="I148" i="19"/>
  <c r="J148" i="19"/>
  <c r="K148" i="19"/>
  <c r="L148" i="19"/>
  <c r="M148" i="19"/>
  <c r="N148" i="19"/>
  <c r="P148" i="19"/>
  <c r="Q148" i="19"/>
  <c r="S148" i="19"/>
  <c r="V148" i="19"/>
  <c r="W148" i="19"/>
  <c r="X148" i="19"/>
  <c r="Z148" i="19"/>
  <c r="D146" i="32" s="1"/>
  <c r="AA148" i="19"/>
  <c r="D146" i="33" s="1"/>
  <c r="C149" i="19"/>
  <c r="D149" i="19"/>
  <c r="E149" i="19"/>
  <c r="F149" i="19"/>
  <c r="H149" i="19"/>
  <c r="I149" i="19"/>
  <c r="J149" i="19"/>
  <c r="K149" i="19"/>
  <c r="L149" i="19"/>
  <c r="M149" i="19"/>
  <c r="N149" i="19"/>
  <c r="P149" i="19"/>
  <c r="Q149" i="19"/>
  <c r="S149" i="19"/>
  <c r="V149" i="19"/>
  <c r="W149" i="19"/>
  <c r="X149" i="19"/>
  <c r="Z149" i="19"/>
  <c r="D147" i="32" s="1"/>
  <c r="AA149" i="19"/>
  <c r="D147" i="33" s="1"/>
  <c r="C150" i="19"/>
  <c r="D150" i="19"/>
  <c r="E150" i="19"/>
  <c r="F150" i="19"/>
  <c r="H150" i="19"/>
  <c r="I150" i="19"/>
  <c r="J150" i="19"/>
  <c r="K150" i="19"/>
  <c r="L150" i="19"/>
  <c r="M150" i="19"/>
  <c r="N150" i="19"/>
  <c r="P150" i="19"/>
  <c r="Q150" i="19"/>
  <c r="S150" i="19"/>
  <c r="V150" i="19"/>
  <c r="W150" i="19"/>
  <c r="X150" i="19"/>
  <c r="Z150" i="19"/>
  <c r="D148" i="32" s="1"/>
  <c r="AA150" i="19"/>
  <c r="D148" i="33" s="1"/>
  <c r="C151" i="19"/>
  <c r="D151" i="19"/>
  <c r="E151" i="19"/>
  <c r="F151" i="19"/>
  <c r="H151" i="19"/>
  <c r="I151" i="19"/>
  <c r="J151" i="19"/>
  <c r="K151" i="19"/>
  <c r="L151" i="19"/>
  <c r="M151" i="19"/>
  <c r="N151" i="19"/>
  <c r="P151" i="19"/>
  <c r="Q151" i="19"/>
  <c r="S151" i="19"/>
  <c r="V151" i="19"/>
  <c r="W151" i="19"/>
  <c r="X151" i="19"/>
  <c r="Z151" i="19"/>
  <c r="D149" i="32" s="1"/>
  <c r="AA151" i="19"/>
  <c r="D149" i="33" s="1"/>
  <c r="C152" i="19"/>
  <c r="D152" i="19"/>
  <c r="E152" i="19"/>
  <c r="F152" i="19"/>
  <c r="H152" i="19"/>
  <c r="I152" i="19"/>
  <c r="J152" i="19"/>
  <c r="K152" i="19"/>
  <c r="L152" i="19"/>
  <c r="M152" i="19"/>
  <c r="N152" i="19"/>
  <c r="P152" i="19"/>
  <c r="Q152" i="19"/>
  <c r="S152" i="19"/>
  <c r="V152" i="19"/>
  <c r="W152" i="19"/>
  <c r="X152" i="19"/>
  <c r="Z152" i="19"/>
  <c r="D150" i="32" s="1"/>
  <c r="AA152" i="19"/>
  <c r="D150" i="33" s="1"/>
  <c r="C153" i="19"/>
  <c r="D153" i="19"/>
  <c r="E153" i="19"/>
  <c r="F153" i="19"/>
  <c r="H153" i="19"/>
  <c r="I153" i="19"/>
  <c r="J153" i="19"/>
  <c r="K153" i="19"/>
  <c r="L153" i="19"/>
  <c r="M153" i="19"/>
  <c r="N153" i="19"/>
  <c r="P153" i="19"/>
  <c r="Q153" i="19"/>
  <c r="S153" i="19"/>
  <c r="V153" i="19"/>
  <c r="W153" i="19"/>
  <c r="X153" i="19"/>
  <c r="Z153" i="19"/>
  <c r="D151" i="32" s="1"/>
  <c r="AA153" i="19"/>
  <c r="D151" i="33" s="1"/>
  <c r="C154" i="19"/>
  <c r="D154" i="19"/>
  <c r="E154" i="19"/>
  <c r="F154" i="19"/>
  <c r="H154" i="19"/>
  <c r="I154" i="19"/>
  <c r="J154" i="19"/>
  <c r="K154" i="19"/>
  <c r="L154" i="19"/>
  <c r="M154" i="19"/>
  <c r="N154" i="19"/>
  <c r="P154" i="19"/>
  <c r="Q154" i="19"/>
  <c r="S154" i="19"/>
  <c r="V154" i="19"/>
  <c r="W154" i="19"/>
  <c r="X154" i="19"/>
  <c r="Z154" i="19"/>
  <c r="D152" i="32" s="1"/>
  <c r="AA154" i="19"/>
  <c r="D152" i="33" s="1"/>
  <c r="C155" i="19"/>
  <c r="D155" i="19"/>
  <c r="E155" i="19"/>
  <c r="F155" i="19"/>
  <c r="H155" i="19"/>
  <c r="I155" i="19"/>
  <c r="J155" i="19"/>
  <c r="K155" i="19"/>
  <c r="L155" i="19"/>
  <c r="M155" i="19"/>
  <c r="N155" i="19"/>
  <c r="P155" i="19"/>
  <c r="Q155" i="19"/>
  <c r="S155" i="19"/>
  <c r="V155" i="19"/>
  <c r="W155" i="19"/>
  <c r="X155" i="19"/>
  <c r="Z155" i="19"/>
  <c r="D153" i="32" s="1"/>
  <c r="AA155" i="19"/>
  <c r="D153" i="33" s="1"/>
  <c r="C156" i="19"/>
  <c r="D156" i="19"/>
  <c r="E156" i="19"/>
  <c r="F156" i="19"/>
  <c r="H156" i="19"/>
  <c r="I156" i="19"/>
  <c r="J156" i="19"/>
  <c r="K156" i="19"/>
  <c r="L156" i="19"/>
  <c r="M156" i="19"/>
  <c r="N156" i="19"/>
  <c r="P156" i="19"/>
  <c r="Q156" i="19"/>
  <c r="S156" i="19"/>
  <c r="V156" i="19"/>
  <c r="W156" i="19"/>
  <c r="X156" i="19"/>
  <c r="Z156" i="19"/>
  <c r="D154" i="32" s="1"/>
  <c r="AA156" i="19"/>
  <c r="D154" i="33" s="1"/>
  <c r="C157" i="19"/>
  <c r="D157" i="19"/>
  <c r="E157" i="19"/>
  <c r="F157" i="19"/>
  <c r="H157" i="19"/>
  <c r="I157" i="19"/>
  <c r="J157" i="19"/>
  <c r="K157" i="19"/>
  <c r="L157" i="19"/>
  <c r="M157" i="19"/>
  <c r="N157" i="19"/>
  <c r="P157" i="19"/>
  <c r="Q157" i="19"/>
  <c r="S157" i="19"/>
  <c r="V157" i="19"/>
  <c r="W157" i="19"/>
  <c r="X157" i="19"/>
  <c r="Z157" i="19"/>
  <c r="D155" i="32" s="1"/>
  <c r="AA157" i="19"/>
  <c r="D155" i="33" s="1"/>
  <c r="C158" i="19"/>
  <c r="D158" i="19"/>
  <c r="E158" i="19"/>
  <c r="F158" i="19"/>
  <c r="H158" i="19"/>
  <c r="I158" i="19"/>
  <c r="J158" i="19"/>
  <c r="K158" i="19"/>
  <c r="L158" i="19"/>
  <c r="M158" i="19"/>
  <c r="N158" i="19"/>
  <c r="P158" i="19"/>
  <c r="Q158" i="19"/>
  <c r="S158" i="19"/>
  <c r="V158" i="19"/>
  <c r="W158" i="19"/>
  <c r="X158" i="19"/>
  <c r="Z158" i="19"/>
  <c r="D156" i="32" s="1"/>
  <c r="AA158" i="19"/>
  <c r="D156" i="33" s="1"/>
  <c r="C159" i="19"/>
  <c r="D159" i="19"/>
  <c r="E159" i="19"/>
  <c r="F159" i="19"/>
  <c r="H159" i="19"/>
  <c r="I159" i="19"/>
  <c r="J159" i="19"/>
  <c r="K159" i="19"/>
  <c r="L159" i="19"/>
  <c r="M159" i="19"/>
  <c r="N159" i="19"/>
  <c r="P159" i="19"/>
  <c r="Q159" i="19"/>
  <c r="S159" i="19"/>
  <c r="V159" i="19"/>
  <c r="W159" i="19"/>
  <c r="X159" i="19"/>
  <c r="Z159" i="19"/>
  <c r="D157" i="32" s="1"/>
  <c r="AA159" i="19"/>
  <c r="D157" i="33" s="1"/>
  <c r="C160" i="19"/>
  <c r="D160" i="19"/>
  <c r="E160" i="19"/>
  <c r="F160" i="19"/>
  <c r="H160" i="19"/>
  <c r="I160" i="19"/>
  <c r="J160" i="19"/>
  <c r="K160" i="19"/>
  <c r="L160" i="19"/>
  <c r="M160" i="19"/>
  <c r="N160" i="19"/>
  <c r="P160" i="19"/>
  <c r="Q160" i="19"/>
  <c r="S160" i="19"/>
  <c r="V160" i="19"/>
  <c r="W160" i="19"/>
  <c r="X160" i="19"/>
  <c r="Z160" i="19"/>
  <c r="D158" i="32" s="1"/>
  <c r="AA160" i="19"/>
  <c r="D158" i="33" s="1"/>
  <c r="C161" i="19"/>
  <c r="D161" i="19"/>
  <c r="E161" i="19"/>
  <c r="F161" i="19"/>
  <c r="H161" i="19"/>
  <c r="I161" i="19"/>
  <c r="J161" i="19"/>
  <c r="K161" i="19"/>
  <c r="L161" i="19"/>
  <c r="M161" i="19"/>
  <c r="N161" i="19"/>
  <c r="P161" i="19"/>
  <c r="Q161" i="19"/>
  <c r="S161" i="19"/>
  <c r="V161" i="19"/>
  <c r="W161" i="19"/>
  <c r="X161" i="19"/>
  <c r="Z161" i="19"/>
  <c r="D159" i="32" s="1"/>
  <c r="AA161" i="19"/>
  <c r="D159" i="33" s="1"/>
  <c r="C162" i="19"/>
  <c r="D162" i="19"/>
  <c r="E162" i="19"/>
  <c r="F162" i="19"/>
  <c r="H162" i="19"/>
  <c r="I162" i="19"/>
  <c r="J162" i="19"/>
  <c r="K162" i="19"/>
  <c r="L162" i="19"/>
  <c r="M162" i="19"/>
  <c r="N162" i="19"/>
  <c r="P162" i="19"/>
  <c r="Q162" i="19"/>
  <c r="S162" i="19"/>
  <c r="V162" i="19"/>
  <c r="W162" i="19"/>
  <c r="X162" i="19"/>
  <c r="Z162" i="19"/>
  <c r="D160" i="32" s="1"/>
  <c r="AA162" i="19"/>
  <c r="D160" i="33" s="1"/>
  <c r="C163" i="19"/>
  <c r="D163" i="19"/>
  <c r="E163" i="19"/>
  <c r="F163" i="19"/>
  <c r="H163" i="19"/>
  <c r="I163" i="19"/>
  <c r="J163" i="19"/>
  <c r="K163" i="19"/>
  <c r="L163" i="19"/>
  <c r="M163" i="19"/>
  <c r="N163" i="19"/>
  <c r="P163" i="19"/>
  <c r="Q163" i="19"/>
  <c r="S163" i="19"/>
  <c r="V163" i="19"/>
  <c r="W163" i="19"/>
  <c r="X163" i="19"/>
  <c r="Z163" i="19"/>
  <c r="D161" i="32" s="1"/>
  <c r="AA163" i="19"/>
  <c r="D161" i="33" s="1"/>
  <c r="C164" i="19"/>
  <c r="D164" i="19"/>
  <c r="E164" i="19"/>
  <c r="F164" i="19"/>
  <c r="H164" i="19"/>
  <c r="I164" i="19"/>
  <c r="J164" i="19"/>
  <c r="K164" i="19"/>
  <c r="L164" i="19"/>
  <c r="M164" i="19"/>
  <c r="N164" i="19"/>
  <c r="P164" i="19"/>
  <c r="Q164" i="19"/>
  <c r="S164" i="19"/>
  <c r="V164" i="19"/>
  <c r="W164" i="19"/>
  <c r="X164" i="19"/>
  <c r="Z164" i="19"/>
  <c r="D162" i="32" s="1"/>
  <c r="AA164" i="19"/>
  <c r="D162" i="33" s="1"/>
  <c r="C165" i="19"/>
  <c r="D165" i="19"/>
  <c r="E165" i="19"/>
  <c r="F165" i="19"/>
  <c r="H165" i="19"/>
  <c r="I165" i="19"/>
  <c r="J165" i="19"/>
  <c r="K165" i="19"/>
  <c r="L165" i="19"/>
  <c r="M165" i="19"/>
  <c r="N165" i="19"/>
  <c r="P165" i="19"/>
  <c r="Q165" i="19"/>
  <c r="S165" i="19"/>
  <c r="V165" i="19"/>
  <c r="W165" i="19"/>
  <c r="X165" i="19"/>
  <c r="Z165" i="19"/>
  <c r="D163" i="32" s="1"/>
  <c r="AA165" i="19"/>
  <c r="D163" i="33" s="1"/>
  <c r="C166" i="19"/>
  <c r="D166" i="19"/>
  <c r="E166" i="19"/>
  <c r="F166" i="19"/>
  <c r="H166" i="19"/>
  <c r="I166" i="19"/>
  <c r="J166" i="19"/>
  <c r="K166" i="19"/>
  <c r="L166" i="19"/>
  <c r="M166" i="19"/>
  <c r="N166" i="19"/>
  <c r="P166" i="19"/>
  <c r="Q166" i="19"/>
  <c r="S166" i="19"/>
  <c r="V166" i="19"/>
  <c r="W166" i="19"/>
  <c r="X166" i="19"/>
  <c r="Z166" i="19"/>
  <c r="D164" i="32" s="1"/>
  <c r="AA166" i="19"/>
  <c r="D164" i="33" s="1"/>
  <c r="C167" i="19"/>
  <c r="D167" i="19"/>
  <c r="E167" i="19"/>
  <c r="F167" i="19"/>
  <c r="H167" i="19"/>
  <c r="I167" i="19"/>
  <c r="J167" i="19"/>
  <c r="K167" i="19"/>
  <c r="L167" i="19"/>
  <c r="M167" i="19"/>
  <c r="N167" i="19"/>
  <c r="P167" i="19"/>
  <c r="Q167" i="19"/>
  <c r="S167" i="19"/>
  <c r="V167" i="19"/>
  <c r="W167" i="19"/>
  <c r="X167" i="19"/>
  <c r="Z167" i="19"/>
  <c r="D165" i="32" s="1"/>
  <c r="AA167" i="19"/>
  <c r="D165" i="33" s="1"/>
  <c r="C168" i="19"/>
  <c r="D168" i="19"/>
  <c r="E168" i="19"/>
  <c r="F168" i="19"/>
  <c r="H168" i="19"/>
  <c r="I168" i="19"/>
  <c r="J168" i="19"/>
  <c r="K168" i="19"/>
  <c r="L168" i="19"/>
  <c r="M168" i="19"/>
  <c r="N168" i="19"/>
  <c r="P168" i="19"/>
  <c r="Q168" i="19"/>
  <c r="S168" i="19"/>
  <c r="V168" i="19"/>
  <c r="W168" i="19"/>
  <c r="X168" i="19"/>
  <c r="Z168" i="19"/>
  <c r="D166" i="32" s="1"/>
  <c r="AA168" i="19"/>
  <c r="D166" i="33" s="1"/>
  <c r="C169" i="19"/>
  <c r="D169" i="19"/>
  <c r="E169" i="19"/>
  <c r="F169" i="19"/>
  <c r="H169" i="19"/>
  <c r="I169" i="19"/>
  <c r="J169" i="19"/>
  <c r="K169" i="19"/>
  <c r="L169" i="19"/>
  <c r="M169" i="19"/>
  <c r="N169" i="19"/>
  <c r="P169" i="19"/>
  <c r="Q169" i="19"/>
  <c r="S169" i="19"/>
  <c r="V169" i="19"/>
  <c r="W169" i="19"/>
  <c r="X169" i="19"/>
  <c r="Z169" i="19"/>
  <c r="D167" i="32" s="1"/>
  <c r="AA169" i="19"/>
  <c r="D167" i="33" s="1"/>
  <c r="C170" i="19"/>
  <c r="D170" i="19"/>
  <c r="E170" i="19"/>
  <c r="F170" i="19"/>
  <c r="H170" i="19"/>
  <c r="I170" i="19"/>
  <c r="J170" i="19"/>
  <c r="K170" i="19"/>
  <c r="L170" i="19"/>
  <c r="M170" i="19"/>
  <c r="N170" i="19"/>
  <c r="P170" i="19"/>
  <c r="Q170" i="19"/>
  <c r="S170" i="19"/>
  <c r="V170" i="19"/>
  <c r="W170" i="19"/>
  <c r="X170" i="19"/>
  <c r="Z170" i="19"/>
  <c r="D168" i="32" s="1"/>
  <c r="AA170" i="19"/>
  <c r="D168" i="33" s="1"/>
  <c r="C171" i="19"/>
  <c r="D171" i="19"/>
  <c r="E171" i="19"/>
  <c r="F171" i="19"/>
  <c r="H171" i="19"/>
  <c r="I171" i="19"/>
  <c r="J171" i="19"/>
  <c r="K171" i="19"/>
  <c r="L171" i="19"/>
  <c r="M171" i="19"/>
  <c r="N171" i="19"/>
  <c r="P171" i="19"/>
  <c r="Q171" i="19"/>
  <c r="S171" i="19"/>
  <c r="V171" i="19"/>
  <c r="W171" i="19"/>
  <c r="X171" i="19"/>
  <c r="Z171" i="19"/>
  <c r="D169" i="32" s="1"/>
  <c r="AA171" i="19"/>
  <c r="D169" i="33" s="1"/>
  <c r="C172" i="19"/>
  <c r="D172" i="19"/>
  <c r="E172" i="19"/>
  <c r="F172" i="19"/>
  <c r="H172" i="19"/>
  <c r="I172" i="19"/>
  <c r="J172" i="19"/>
  <c r="K172" i="19"/>
  <c r="L172" i="19"/>
  <c r="M172" i="19"/>
  <c r="N172" i="19"/>
  <c r="P172" i="19"/>
  <c r="Q172" i="19"/>
  <c r="S172" i="19"/>
  <c r="V172" i="19"/>
  <c r="W172" i="19"/>
  <c r="X172" i="19"/>
  <c r="Z172" i="19"/>
  <c r="D170" i="32" s="1"/>
  <c r="AA172" i="19"/>
  <c r="D170" i="33" s="1"/>
  <c r="C173" i="19"/>
  <c r="D173" i="19"/>
  <c r="E173" i="19"/>
  <c r="F173" i="19"/>
  <c r="H173" i="19"/>
  <c r="I173" i="19"/>
  <c r="J173" i="19"/>
  <c r="K173" i="19"/>
  <c r="L173" i="19"/>
  <c r="M173" i="19"/>
  <c r="N173" i="19"/>
  <c r="P173" i="19"/>
  <c r="Q173" i="19"/>
  <c r="S173" i="19"/>
  <c r="V173" i="19"/>
  <c r="W173" i="19"/>
  <c r="X173" i="19"/>
  <c r="Z173" i="19"/>
  <c r="D171" i="32" s="1"/>
  <c r="AA173" i="19"/>
  <c r="D171" i="33" s="1"/>
  <c r="C174" i="19"/>
  <c r="D174" i="19"/>
  <c r="E174" i="19"/>
  <c r="F174" i="19"/>
  <c r="H174" i="19"/>
  <c r="I174" i="19"/>
  <c r="J174" i="19"/>
  <c r="K174" i="19"/>
  <c r="L174" i="19"/>
  <c r="M174" i="19"/>
  <c r="N174" i="19"/>
  <c r="P174" i="19"/>
  <c r="Q174" i="19"/>
  <c r="S174" i="19"/>
  <c r="V174" i="19"/>
  <c r="W174" i="19"/>
  <c r="X174" i="19"/>
  <c r="Z174" i="19"/>
  <c r="D172" i="32" s="1"/>
  <c r="AA174" i="19"/>
  <c r="D172" i="33" s="1"/>
  <c r="C175" i="19"/>
  <c r="D175" i="19"/>
  <c r="E175" i="19"/>
  <c r="F175" i="19"/>
  <c r="H175" i="19"/>
  <c r="I175" i="19"/>
  <c r="J175" i="19"/>
  <c r="K175" i="19"/>
  <c r="L175" i="19"/>
  <c r="M175" i="19"/>
  <c r="N175" i="19"/>
  <c r="P175" i="19"/>
  <c r="Q175" i="19"/>
  <c r="S175" i="19"/>
  <c r="V175" i="19"/>
  <c r="W175" i="19"/>
  <c r="X175" i="19"/>
  <c r="Z175" i="19"/>
  <c r="D173" i="32" s="1"/>
  <c r="AA175" i="19"/>
  <c r="D173" i="33" s="1"/>
  <c r="C176" i="19"/>
  <c r="D176" i="19"/>
  <c r="E176" i="19"/>
  <c r="F176" i="19"/>
  <c r="H176" i="19"/>
  <c r="I176" i="19"/>
  <c r="J176" i="19"/>
  <c r="K176" i="19"/>
  <c r="L176" i="19"/>
  <c r="M176" i="19"/>
  <c r="N176" i="19"/>
  <c r="P176" i="19"/>
  <c r="Q176" i="19"/>
  <c r="S176" i="19"/>
  <c r="V176" i="19"/>
  <c r="W176" i="19"/>
  <c r="X176" i="19"/>
  <c r="Z176" i="19"/>
  <c r="D174" i="32" s="1"/>
  <c r="AA176" i="19"/>
  <c r="D174" i="33" s="1"/>
  <c r="C177" i="19"/>
  <c r="D177" i="19"/>
  <c r="E177" i="19"/>
  <c r="F177" i="19"/>
  <c r="H177" i="19"/>
  <c r="I177" i="19"/>
  <c r="J177" i="19"/>
  <c r="K177" i="19"/>
  <c r="L177" i="19"/>
  <c r="M177" i="19"/>
  <c r="N177" i="19"/>
  <c r="P177" i="19"/>
  <c r="Q177" i="19"/>
  <c r="S177" i="19"/>
  <c r="V177" i="19"/>
  <c r="W177" i="19"/>
  <c r="X177" i="19"/>
  <c r="Z177" i="19"/>
  <c r="D175" i="32" s="1"/>
  <c r="AA177" i="19"/>
  <c r="D175" i="33" s="1"/>
  <c r="C178" i="19"/>
  <c r="D178" i="19"/>
  <c r="E178" i="19"/>
  <c r="F178" i="19"/>
  <c r="H178" i="19"/>
  <c r="I178" i="19"/>
  <c r="J178" i="19"/>
  <c r="K178" i="19"/>
  <c r="L178" i="19"/>
  <c r="M178" i="19"/>
  <c r="N178" i="19"/>
  <c r="P178" i="19"/>
  <c r="Q178" i="19"/>
  <c r="S178" i="19"/>
  <c r="V178" i="19"/>
  <c r="W178" i="19"/>
  <c r="X178" i="19"/>
  <c r="Z178" i="19"/>
  <c r="D176" i="32" s="1"/>
  <c r="AA178" i="19"/>
  <c r="D176" i="33" s="1"/>
  <c r="C179" i="19"/>
  <c r="D179" i="19"/>
  <c r="E179" i="19"/>
  <c r="F179" i="19"/>
  <c r="H179" i="19"/>
  <c r="I179" i="19"/>
  <c r="J179" i="19"/>
  <c r="K179" i="19"/>
  <c r="L179" i="19"/>
  <c r="M179" i="19"/>
  <c r="N179" i="19"/>
  <c r="P179" i="19"/>
  <c r="Q179" i="19"/>
  <c r="S179" i="19"/>
  <c r="V179" i="19"/>
  <c r="W179" i="19"/>
  <c r="X179" i="19"/>
  <c r="Z179" i="19"/>
  <c r="D177" i="32" s="1"/>
  <c r="AA179" i="19"/>
  <c r="D177" i="33" s="1"/>
  <c r="C180" i="19"/>
  <c r="D180" i="19"/>
  <c r="E180" i="19"/>
  <c r="F180" i="19"/>
  <c r="H180" i="19"/>
  <c r="I180" i="19"/>
  <c r="J180" i="19"/>
  <c r="K180" i="19"/>
  <c r="L180" i="19"/>
  <c r="M180" i="19"/>
  <c r="N180" i="19"/>
  <c r="P180" i="19"/>
  <c r="Q180" i="19"/>
  <c r="S180" i="19"/>
  <c r="V180" i="19"/>
  <c r="W180" i="19"/>
  <c r="X180" i="19"/>
  <c r="Z180" i="19"/>
  <c r="D178" i="32" s="1"/>
  <c r="AA180" i="19"/>
  <c r="D178" i="33" s="1"/>
  <c r="C181" i="19"/>
  <c r="D181" i="19"/>
  <c r="E181" i="19"/>
  <c r="F181" i="19"/>
  <c r="H181" i="19"/>
  <c r="I181" i="19"/>
  <c r="J181" i="19"/>
  <c r="K181" i="19"/>
  <c r="L181" i="19"/>
  <c r="M181" i="19"/>
  <c r="N181" i="19"/>
  <c r="P181" i="19"/>
  <c r="Q181" i="19"/>
  <c r="S181" i="19"/>
  <c r="V181" i="19"/>
  <c r="W181" i="19"/>
  <c r="X181" i="19"/>
  <c r="Z181" i="19"/>
  <c r="D179" i="32" s="1"/>
  <c r="AA181" i="19"/>
  <c r="D179" i="33" s="1"/>
  <c r="C182" i="19"/>
  <c r="D182" i="19"/>
  <c r="E182" i="19"/>
  <c r="F182" i="19"/>
  <c r="H182" i="19"/>
  <c r="I182" i="19"/>
  <c r="J182" i="19"/>
  <c r="K182" i="19"/>
  <c r="L182" i="19"/>
  <c r="M182" i="19"/>
  <c r="N182" i="19"/>
  <c r="P182" i="19"/>
  <c r="Q182" i="19"/>
  <c r="S182" i="19"/>
  <c r="V182" i="19"/>
  <c r="W182" i="19"/>
  <c r="X182" i="19"/>
  <c r="Z182" i="19"/>
  <c r="D180" i="32" s="1"/>
  <c r="AA182" i="19"/>
  <c r="D180" i="33" s="1"/>
  <c r="C183" i="19"/>
  <c r="D183" i="19"/>
  <c r="E183" i="19"/>
  <c r="F183" i="19"/>
  <c r="H183" i="19"/>
  <c r="I183" i="19"/>
  <c r="J183" i="19"/>
  <c r="K183" i="19"/>
  <c r="L183" i="19"/>
  <c r="M183" i="19"/>
  <c r="N183" i="19"/>
  <c r="P183" i="19"/>
  <c r="Q183" i="19"/>
  <c r="S183" i="19"/>
  <c r="V183" i="19"/>
  <c r="W183" i="19"/>
  <c r="X183" i="19"/>
  <c r="Z183" i="19"/>
  <c r="D181" i="32" s="1"/>
  <c r="AA183" i="19"/>
  <c r="D181" i="33" s="1"/>
  <c r="C184" i="19"/>
  <c r="D184" i="19"/>
  <c r="E184" i="19"/>
  <c r="F184" i="19"/>
  <c r="H184" i="19"/>
  <c r="I184" i="19"/>
  <c r="J184" i="19"/>
  <c r="K184" i="19"/>
  <c r="L184" i="19"/>
  <c r="M184" i="19"/>
  <c r="N184" i="19"/>
  <c r="P184" i="19"/>
  <c r="Q184" i="19"/>
  <c r="S184" i="19"/>
  <c r="V184" i="19"/>
  <c r="W184" i="19"/>
  <c r="X184" i="19"/>
  <c r="Z184" i="19"/>
  <c r="D182" i="32" s="1"/>
  <c r="AA184" i="19"/>
  <c r="D182" i="33" s="1"/>
  <c r="C185" i="19"/>
  <c r="D185" i="19"/>
  <c r="E185" i="19"/>
  <c r="F185" i="19"/>
  <c r="H185" i="19"/>
  <c r="I185" i="19"/>
  <c r="J185" i="19"/>
  <c r="K185" i="19"/>
  <c r="L185" i="19"/>
  <c r="M185" i="19"/>
  <c r="N185" i="19"/>
  <c r="P185" i="19"/>
  <c r="Q185" i="19"/>
  <c r="S185" i="19"/>
  <c r="V185" i="19"/>
  <c r="W185" i="19"/>
  <c r="X185" i="19"/>
  <c r="Z185" i="19"/>
  <c r="D183" i="32" s="1"/>
  <c r="AA185" i="19"/>
  <c r="D183" i="33" s="1"/>
  <c r="C186" i="19"/>
  <c r="D186" i="19"/>
  <c r="E186" i="19"/>
  <c r="F186" i="19"/>
  <c r="H186" i="19"/>
  <c r="I186" i="19"/>
  <c r="J186" i="19"/>
  <c r="K186" i="19"/>
  <c r="L186" i="19"/>
  <c r="M186" i="19"/>
  <c r="N186" i="19"/>
  <c r="P186" i="19"/>
  <c r="Q186" i="19"/>
  <c r="S186" i="19"/>
  <c r="V186" i="19"/>
  <c r="W186" i="19"/>
  <c r="X186" i="19"/>
  <c r="Z186" i="19"/>
  <c r="D184" i="32" s="1"/>
  <c r="AA186" i="19"/>
  <c r="D184" i="33" s="1"/>
  <c r="C187" i="19"/>
  <c r="D187" i="19"/>
  <c r="E187" i="19"/>
  <c r="F187" i="19"/>
  <c r="H187" i="19"/>
  <c r="I187" i="19"/>
  <c r="J187" i="19"/>
  <c r="K187" i="19"/>
  <c r="L187" i="19"/>
  <c r="M187" i="19"/>
  <c r="N187" i="19"/>
  <c r="P187" i="19"/>
  <c r="Q187" i="19"/>
  <c r="S187" i="19"/>
  <c r="V187" i="19"/>
  <c r="W187" i="19"/>
  <c r="X187" i="19"/>
  <c r="Z187" i="19"/>
  <c r="D185" i="32" s="1"/>
  <c r="AA187" i="19"/>
  <c r="D185" i="33" s="1"/>
  <c r="C188" i="19"/>
  <c r="D188" i="19"/>
  <c r="E188" i="19"/>
  <c r="F188" i="19"/>
  <c r="H188" i="19"/>
  <c r="I188" i="19"/>
  <c r="J188" i="19"/>
  <c r="K188" i="19"/>
  <c r="L188" i="19"/>
  <c r="M188" i="19"/>
  <c r="N188" i="19"/>
  <c r="P188" i="19"/>
  <c r="Q188" i="19"/>
  <c r="S188" i="19"/>
  <c r="V188" i="19"/>
  <c r="W188" i="19"/>
  <c r="X188" i="19"/>
  <c r="Z188" i="19"/>
  <c r="D186" i="32" s="1"/>
  <c r="AA188" i="19"/>
  <c r="D186" i="33" s="1"/>
  <c r="C189" i="19"/>
  <c r="D189" i="19"/>
  <c r="E189" i="19"/>
  <c r="F189" i="19"/>
  <c r="H189" i="19"/>
  <c r="I189" i="19"/>
  <c r="J189" i="19"/>
  <c r="K189" i="19"/>
  <c r="L189" i="19"/>
  <c r="M189" i="19"/>
  <c r="N189" i="19"/>
  <c r="P189" i="19"/>
  <c r="Q189" i="19"/>
  <c r="S189" i="19"/>
  <c r="V189" i="19"/>
  <c r="W189" i="19"/>
  <c r="X189" i="19"/>
  <c r="Z189" i="19"/>
  <c r="D187" i="32" s="1"/>
  <c r="AA189" i="19"/>
  <c r="D187" i="33" s="1"/>
  <c r="C190" i="19"/>
  <c r="D190" i="19"/>
  <c r="E190" i="19"/>
  <c r="F190" i="19"/>
  <c r="H190" i="19"/>
  <c r="I190" i="19"/>
  <c r="J190" i="19"/>
  <c r="K190" i="19"/>
  <c r="L190" i="19"/>
  <c r="M190" i="19"/>
  <c r="N190" i="19"/>
  <c r="P190" i="19"/>
  <c r="Q190" i="19"/>
  <c r="S190" i="19"/>
  <c r="V190" i="19"/>
  <c r="W190" i="19"/>
  <c r="X190" i="19"/>
  <c r="Z190" i="19"/>
  <c r="D188" i="32" s="1"/>
  <c r="AA190" i="19"/>
  <c r="D188" i="33" s="1"/>
  <c r="C191" i="19"/>
  <c r="D191" i="19"/>
  <c r="E191" i="19"/>
  <c r="F191" i="19"/>
  <c r="H191" i="19"/>
  <c r="I191" i="19"/>
  <c r="J191" i="19"/>
  <c r="K191" i="19"/>
  <c r="L191" i="19"/>
  <c r="M191" i="19"/>
  <c r="N191" i="19"/>
  <c r="P191" i="19"/>
  <c r="Q191" i="19"/>
  <c r="S191" i="19"/>
  <c r="V191" i="19"/>
  <c r="W191" i="19"/>
  <c r="X191" i="19"/>
  <c r="Z191" i="19"/>
  <c r="D189" i="32" s="1"/>
  <c r="AA191" i="19"/>
  <c r="D189" i="33" s="1"/>
  <c r="C192" i="19"/>
  <c r="D192" i="19"/>
  <c r="E192" i="19"/>
  <c r="F192" i="19"/>
  <c r="H192" i="19"/>
  <c r="I192" i="19"/>
  <c r="J192" i="19"/>
  <c r="K192" i="19"/>
  <c r="L192" i="19"/>
  <c r="M192" i="19"/>
  <c r="N192" i="19"/>
  <c r="P192" i="19"/>
  <c r="Q192" i="19"/>
  <c r="S192" i="19"/>
  <c r="V192" i="19"/>
  <c r="W192" i="19"/>
  <c r="X192" i="19"/>
  <c r="Z192" i="19"/>
  <c r="D190" i="32" s="1"/>
  <c r="AA192" i="19"/>
  <c r="D190" i="33" s="1"/>
  <c r="C193" i="19"/>
  <c r="D193" i="19"/>
  <c r="E193" i="19"/>
  <c r="F193" i="19"/>
  <c r="H193" i="19"/>
  <c r="I193" i="19"/>
  <c r="J193" i="19"/>
  <c r="K193" i="19"/>
  <c r="L193" i="19"/>
  <c r="M193" i="19"/>
  <c r="N193" i="19"/>
  <c r="P193" i="19"/>
  <c r="Q193" i="19"/>
  <c r="S193" i="19"/>
  <c r="V193" i="19"/>
  <c r="W193" i="19"/>
  <c r="X193" i="19"/>
  <c r="Z193" i="19"/>
  <c r="D191" i="32" s="1"/>
  <c r="AA193" i="19"/>
  <c r="D191" i="33" s="1"/>
  <c r="C194" i="19"/>
  <c r="D194" i="19"/>
  <c r="E194" i="19"/>
  <c r="F194" i="19"/>
  <c r="H194" i="19"/>
  <c r="I194" i="19"/>
  <c r="J194" i="19"/>
  <c r="K194" i="19"/>
  <c r="L194" i="19"/>
  <c r="M194" i="19"/>
  <c r="N194" i="19"/>
  <c r="P194" i="19"/>
  <c r="Q194" i="19"/>
  <c r="S194" i="19"/>
  <c r="V194" i="19"/>
  <c r="W194" i="19"/>
  <c r="X194" i="19"/>
  <c r="Z194" i="19"/>
  <c r="D192" i="32" s="1"/>
  <c r="AA194" i="19"/>
  <c r="D192" i="33" s="1"/>
  <c r="C195" i="19"/>
  <c r="D195" i="19"/>
  <c r="E195" i="19"/>
  <c r="F195" i="19"/>
  <c r="H195" i="19"/>
  <c r="I195" i="19"/>
  <c r="J195" i="19"/>
  <c r="K195" i="19"/>
  <c r="L195" i="19"/>
  <c r="M195" i="19"/>
  <c r="N195" i="19"/>
  <c r="P195" i="19"/>
  <c r="Q195" i="19"/>
  <c r="S195" i="19"/>
  <c r="V195" i="19"/>
  <c r="W195" i="19"/>
  <c r="X195" i="19"/>
  <c r="Z195" i="19"/>
  <c r="D193" i="32" s="1"/>
  <c r="AA195" i="19"/>
  <c r="D193" i="33" s="1"/>
  <c r="C196" i="19"/>
  <c r="D196" i="19"/>
  <c r="E196" i="19"/>
  <c r="F196" i="19"/>
  <c r="H196" i="19"/>
  <c r="I196" i="19"/>
  <c r="J196" i="19"/>
  <c r="K196" i="19"/>
  <c r="L196" i="19"/>
  <c r="M196" i="19"/>
  <c r="N196" i="19"/>
  <c r="P196" i="19"/>
  <c r="Q196" i="19"/>
  <c r="S196" i="19"/>
  <c r="V196" i="19"/>
  <c r="W196" i="19"/>
  <c r="X196" i="19"/>
  <c r="Z196" i="19"/>
  <c r="D194" i="32" s="1"/>
  <c r="AA196" i="19"/>
  <c r="D194" i="33" s="1"/>
  <c r="C197" i="19"/>
  <c r="D197" i="19"/>
  <c r="E197" i="19"/>
  <c r="F197" i="19"/>
  <c r="H197" i="19"/>
  <c r="I197" i="19"/>
  <c r="J197" i="19"/>
  <c r="K197" i="19"/>
  <c r="L197" i="19"/>
  <c r="M197" i="19"/>
  <c r="N197" i="19"/>
  <c r="P197" i="19"/>
  <c r="Q197" i="19"/>
  <c r="S197" i="19"/>
  <c r="V197" i="19"/>
  <c r="W197" i="19"/>
  <c r="X197" i="19"/>
  <c r="Z197" i="19"/>
  <c r="D195" i="32" s="1"/>
  <c r="AA197" i="19"/>
  <c r="D195" i="33" s="1"/>
  <c r="C198" i="19"/>
  <c r="D198" i="19"/>
  <c r="E198" i="19"/>
  <c r="F198" i="19"/>
  <c r="H198" i="19"/>
  <c r="I198" i="19"/>
  <c r="J198" i="19"/>
  <c r="K198" i="19"/>
  <c r="L198" i="19"/>
  <c r="M198" i="19"/>
  <c r="N198" i="19"/>
  <c r="P198" i="19"/>
  <c r="Q198" i="19"/>
  <c r="S198" i="19"/>
  <c r="V198" i="19"/>
  <c r="W198" i="19"/>
  <c r="X198" i="19"/>
  <c r="Z198" i="19"/>
  <c r="D196" i="32" s="1"/>
  <c r="AA198" i="19"/>
  <c r="D196" i="33" s="1"/>
  <c r="C199" i="19"/>
  <c r="D199" i="19"/>
  <c r="E199" i="19"/>
  <c r="F199" i="19"/>
  <c r="H199" i="19"/>
  <c r="I199" i="19"/>
  <c r="J199" i="19"/>
  <c r="K199" i="19"/>
  <c r="L199" i="19"/>
  <c r="M199" i="19"/>
  <c r="N199" i="19"/>
  <c r="P199" i="19"/>
  <c r="Q199" i="19"/>
  <c r="S199" i="19"/>
  <c r="V199" i="19"/>
  <c r="W199" i="19"/>
  <c r="X199" i="19"/>
  <c r="Z199" i="19"/>
  <c r="D197" i="32" s="1"/>
  <c r="AA199" i="19"/>
  <c r="D197" i="33" s="1"/>
  <c r="C200" i="19"/>
  <c r="D200" i="19"/>
  <c r="E200" i="19"/>
  <c r="F200" i="19"/>
  <c r="H200" i="19"/>
  <c r="I200" i="19"/>
  <c r="J200" i="19"/>
  <c r="K200" i="19"/>
  <c r="L200" i="19"/>
  <c r="M200" i="19"/>
  <c r="N200" i="19"/>
  <c r="P200" i="19"/>
  <c r="Q200" i="19"/>
  <c r="S200" i="19"/>
  <c r="V200" i="19"/>
  <c r="W200" i="19"/>
  <c r="X200" i="19"/>
  <c r="Z200" i="19"/>
  <c r="D198" i="32" s="1"/>
  <c r="AA200" i="19"/>
  <c r="D198" i="33" s="1"/>
  <c r="C201" i="19"/>
  <c r="D201" i="19"/>
  <c r="E201" i="19"/>
  <c r="F201" i="19"/>
  <c r="H201" i="19"/>
  <c r="I201" i="19"/>
  <c r="J201" i="19"/>
  <c r="K201" i="19"/>
  <c r="L201" i="19"/>
  <c r="M201" i="19"/>
  <c r="N201" i="19"/>
  <c r="P201" i="19"/>
  <c r="Q201" i="19"/>
  <c r="S201" i="19"/>
  <c r="V201" i="19"/>
  <c r="W201" i="19"/>
  <c r="X201" i="19"/>
  <c r="Z201" i="19"/>
  <c r="D199" i="32" s="1"/>
  <c r="AA201" i="19"/>
  <c r="D199" i="33" s="1"/>
  <c r="C202" i="19"/>
  <c r="D202" i="19"/>
  <c r="E202" i="19"/>
  <c r="F202" i="19"/>
  <c r="H202" i="19"/>
  <c r="I202" i="19"/>
  <c r="J202" i="19"/>
  <c r="K202" i="19"/>
  <c r="L202" i="19"/>
  <c r="M202" i="19"/>
  <c r="N202" i="19"/>
  <c r="P202" i="19"/>
  <c r="Q202" i="19"/>
  <c r="S202" i="19"/>
  <c r="V202" i="19"/>
  <c r="W202" i="19"/>
  <c r="X202" i="19"/>
  <c r="Z202" i="19"/>
  <c r="D200" i="32" s="1"/>
  <c r="AA202" i="19"/>
  <c r="D200" i="33" s="1"/>
  <c r="C203" i="19"/>
  <c r="D203" i="19"/>
  <c r="E203" i="19"/>
  <c r="F203" i="19"/>
  <c r="H203" i="19"/>
  <c r="I203" i="19"/>
  <c r="J203" i="19"/>
  <c r="K203" i="19"/>
  <c r="L203" i="19"/>
  <c r="M203" i="19"/>
  <c r="N203" i="19"/>
  <c r="P203" i="19"/>
  <c r="Q203" i="19"/>
  <c r="S203" i="19"/>
  <c r="V203" i="19"/>
  <c r="W203" i="19"/>
  <c r="X203" i="19"/>
  <c r="Z203" i="19"/>
  <c r="D201" i="32" s="1"/>
  <c r="AA203" i="19"/>
  <c r="D201" i="33" s="1"/>
  <c r="C204" i="19"/>
  <c r="D204" i="19"/>
  <c r="E204" i="19"/>
  <c r="F204" i="19"/>
  <c r="H204" i="19"/>
  <c r="I204" i="19"/>
  <c r="J204" i="19"/>
  <c r="K204" i="19"/>
  <c r="L204" i="19"/>
  <c r="M204" i="19"/>
  <c r="N204" i="19"/>
  <c r="P204" i="19"/>
  <c r="Q204" i="19"/>
  <c r="S204" i="19"/>
  <c r="V204" i="19"/>
  <c r="W204" i="19"/>
  <c r="X204" i="19"/>
  <c r="Z204" i="19"/>
  <c r="D202" i="32" s="1"/>
  <c r="AA204" i="19"/>
  <c r="D202" i="33" s="1"/>
  <c r="C205" i="19"/>
  <c r="D205" i="19"/>
  <c r="E205" i="19"/>
  <c r="F205" i="19"/>
  <c r="H205" i="19"/>
  <c r="I205" i="19"/>
  <c r="J205" i="19"/>
  <c r="K205" i="19"/>
  <c r="L205" i="19"/>
  <c r="M205" i="19"/>
  <c r="N205" i="19"/>
  <c r="P205" i="19"/>
  <c r="Q205" i="19"/>
  <c r="S205" i="19"/>
  <c r="V205" i="19"/>
  <c r="W205" i="19"/>
  <c r="X205" i="19"/>
  <c r="Z205" i="19"/>
  <c r="D203" i="32" s="1"/>
  <c r="AA205" i="19"/>
  <c r="D203" i="33" s="1"/>
  <c r="C206" i="19"/>
  <c r="D206" i="19"/>
  <c r="E206" i="19"/>
  <c r="F206" i="19"/>
  <c r="H206" i="19"/>
  <c r="I206" i="19"/>
  <c r="J206" i="19"/>
  <c r="K206" i="19"/>
  <c r="L206" i="19"/>
  <c r="M206" i="19"/>
  <c r="N206" i="19"/>
  <c r="P206" i="19"/>
  <c r="Q206" i="19"/>
  <c r="S206" i="19"/>
  <c r="V206" i="19"/>
  <c r="W206" i="19"/>
  <c r="X206" i="19"/>
  <c r="Z206" i="19"/>
  <c r="D204" i="32" s="1"/>
  <c r="AA206" i="19"/>
  <c r="D204" i="33" s="1"/>
  <c r="C207" i="19"/>
  <c r="D207" i="19"/>
  <c r="E207" i="19"/>
  <c r="F207" i="19"/>
  <c r="H207" i="19"/>
  <c r="I207" i="19"/>
  <c r="J207" i="19"/>
  <c r="K207" i="19"/>
  <c r="L207" i="19"/>
  <c r="M207" i="19"/>
  <c r="N207" i="19"/>
  <c r="P207" i="19"/>
  <c r="Q207" i="19"/>
  <c r="S207" i="19"/>
  <c r="V207" i="19"/>
  <c r="W207" i="19"/>
  <c r="X207" i="19"/>
  <c r="Z207" i="19"/>
  <c r="D205" i="32" s="1"/>
  <c r="AA207" i="19"/>
  <c r="D205" i="33" s="1"/>
  <c r="C208" i="19"/>
  <c r="D208" i="19"/>
  <c r="E208" i="19"/>
  <c r="F208" i="19"/>
  <c r="H208" i="19"/>
  <c r="I208" i="19"/>
  <c r="J208" i="19"/>
  <c r="K208" i="19"/>
  <c r="L208" i="19"/>
  <c r="M208" i="19"/>
  <c r="N208" i="19"/>
  <c r="P208" i="19"/>
  <c r="Q208" i="19"/>
  <c r="S208" i="19"/>
  <c r="V208" i="19"/>
  <c r="W208" i="19"/>
  <c r="X208" i="19"/>
  <c r="Z208" i="19"/>
  <c r="D206" i="32" s="1"/>
  <c r="AA208" i="19"/>
  <c r="D206" i="33" s="1"/>
  <c r="C209" i="19"/>
  <c r="D209" i="19"/>
  <c r="E209" i="19"/>
  <c r="F209" i="19"/>
  <c r="H209" i="19"/>
  <c r="I209" i="19"/>
  <c r="J209" i="19"/>
  <c r="K209" i="19"/>
  <c r="L209" i="19"/>
  <c r="M209" i="19"/>
  <c r="N209" i="19"/>
  <c r="P209" i="19"/>
  <c r="Q209" i="19"/>
  <c r="S209" i="19"/>
  <c r="V209" i="19"/>
  <c r="W209" i="19"/>
  <c r="X209" i="19"/>
  <c r="Z209" i="19"/>
  <c r="D207" i="32" s="1"/>
  <c r="AA209" i="19"/>
  <c r="D207" i="33" s="1"/>
  <c r="C210" i="19"/>
  <c r="D210" i="19"/>
  <c r="E210" i="19"/>
  <c r="F210" i="19"/>
  <c r="H210" i="19"/>
  <c r="I210" i="19"/>
  <c r="J210" i="19"/>
  <c r="K210" i="19"/>
  <c r="L210" i="19"/>
  <c r="M210" i="19"/>
  <c r="N210" i="19"/>
  <c r="P210" i="19"/>
  <c r="Q210" i="19"/>
  <c r="S210" i="19"/>
  <c r="V210" i="19"/>
  <c r="W210" i="19"/>
  <c r="X210" i="19"/>
  <c r="Z210" i="19"/>
  <c r="D208" i="32" s="1"/>
  <c r="AA210" i="19"/>
  <c r="D208" i="33" s="1"/>
  <c r="C211" i="19"/>
  <c r="D211" i="19"/>
  <c r="E211" i="19"/>
  <c r="F211" i="19"/>
  <c r="H211" i="19"/>
  <c r="I211" i="19"/>
  <c r="J211" i="19"/>
  <c r="K211" i="19"/>
  <c r="L211" i="19"/>
  <c r="M211" i="19"/>
  <c r="N211" i="19"/>
  <c r="P211" i="19"/>
  <c r="Q211" i="19"/>
  <c r="S211" i="19"/>
  <c r="V211" i="19"/>
  <c r="W211" i="19"/>
  <c r="X211" i="19"/>
  <c r="Z211" i="19"/>
  <c r="D209" i="32" s="1"/>
  <c r="AA211" i="19"/>
  <c r="D209" i="33" s="1"/>
  <c r="C212" i="19"/>
  <c r="D212" i="19"/>
  <c r="E212" i="19"/>
  <c r="F212" i="19"/>
  <c r="H212" i="19"/>
  <c r="I212" i="19"/>
  <c r="J212" i="19"/>
  <c r="K212" i="19"/>
  <c r="L212" i="19"/>
  <c r="M212" i="19"/>
  <c r="N212" i="19"/>
  <c r="P212" i="19"/>
  <c r="Q212" i="19"/>
  <c r="S212" i="19"/>
  <c r="V212" i="19"/>
  <c r="W212" i="19"/>
  <c r="X212" i="19"/>
  <c r="Z212" i="19"/>
  <c r="D210" i="32" s="1"/>
  <c r="AA212" i="19"/>
  <c r="D210" i="33" s="1"/>
  <c r="C213" i="19"/>
  <c r="D213" i="19"/>
  <c r="E213" i="19"/>
  <c r="F213" i="19"/>
  <c r="H213" i="19"/>
  <c r="I213" i="19"/>
  <c r="J213" i="19"/>
  <c r="K213" i="19"/>
  <c r="L213" i="19"/>
  <c r="M213" i="19"/>
  <c r="N213" i="19"/>
  <c r="P213" i="19"/>
  <c r="Q213" i="19"/>
  <c r="S213" i="19"/>
  <c r="V213" i="19"/>
  <c r="W213" i="19"/>
  <c r="X213" i="19"/>
  <c r="Z213" i="19"/>
  <c r="D211" i="32" s="1"/>
  <c r="AA213" i="19"/>
  <c r="D211" i="33" s="1"/>
  <c r="C214" i="19"/>
  <c r="D214" i="19"/>
  <c r="E214" i="19"/>
  <c r="F214" i="19"/>
  <c r="H214" i="19"/>
  <c r="I214" i="19"/>
  <c r="J214" i="19"/>
  <c r="K214" i="19"/>
  <c r="L214" i="19"/>
  <c r="M214" i="19"/>
  <c r="N214" i="19"/>
  <c r="P214" i="19"/>
  <c r="Q214" i="19"/>
  <c r="S214" i="19"/>
  <c r="V214" i="19"/>
  <c r="W214" i="19"/>
  <c r="X214" i="19"/>
  <c r="Z214" i="19"/>
  <c r="D212" i="32" s="1"/>
  <c r="AA214" i="19"/>
  <c r="D212" i="33" s="1"/>
  <c r="C215" i="19"/>
  <c r="D215" i="19"/>
  <c r="E215" i="19"/>
  <c r="F215" i="19"/>
  <c r="H215" i="19"/>
  <c r="I215" i="19"/>
  <c r="J215" i="19"/>
  <c r="K215" i="19"/>
  <c r="L215" i="19"/>
  <c r="M215" i="19"/>
  <c r="N215" i="19"/>
  <c r="P215" i="19"/>
  <c r="Q215" i="19"/>
  <c r="S215" i="19"/>
  <c r="V215" i="19"/>
  <c r="W215" i="19"/>
  <c r="X215" i="19"/>
  <c r="Z215" i="19"/>
  <c r="D213" i="32" s="1"/>
  <c r="AA215" i="19"/>
  <c r="D213" i="33" s="1"/>
  <c r="C216" i="19"/>
  <c r="D216" i="19"/>
  <c r="E216" i="19"/>
  <c r="F216" i="19"/>
  <c r="H216" i="19"/>
  <c r="I216" i="19"/>
  <c r="J216" i="19"/>
  <c r="K216" i="19"/>
  <c r="L216" i="19"/>
  <c r="M216" i="19"/>
  <c r="N216" i="19"/>
  <c r="P216" i="19"/>
  <c r="Q216" i="19"/>
  <c r="S216" i="19"/>
  <c r="V216" i="19"/>
  <c r="W216" i="19"/>
  <c r="X216" i="19"/>
  <c r="Z216" i="19"/>
  <c r="D214" i="32" s="1"/>
  <c r="AA216" i="19"/>
  <c r="D214" i="33" s="1"/>
  <c r="C217" i="19"/>
  <c r="D217" i="19"/>
  <c r="E217" i="19"/>
  <c r="F217" i="19"/>
  <c r="H217" i="19"/>
  <c r="I217" i="19"/>
  <c r="J217" i="19"/>
  <c r="K217" i="19"/>
  <c r="L217" i="19"/>
  <c r="M217" i="19"/>
  <c r="N217" i="19"/>
  <c r="P217" i="19"/>
  <c r="Q217" i="19"/>
  <c r="S217" i="19"/>
  <c r="V217" i="19"/>
  <c r="W217" i="19"/>
  <c r="X217" i="19"/>
  <c r="Z217" i="19"/>
  <c r="D215" i="32" s="1"/>
  <c r="AA217" i="19"/>
  <c r="D215" i="33" s="1"/>
  <c r="C218" i="19"/>
  <c r="D218" i="19"/>
  <c r="E218" i="19"/>
  <c r="F218" i="19"/>
  <c r="H218" i="19"/>
  <c r="I218" i="19"/>
  <c r="J218" i="19"/>
  <c r="K218" i="19"/>
  <c r="L218" i="19"/>
  <c r="M218" i="19"/>
  <c r="N218" i="19"/>
  <c r="P218" i="19"/>
  <c r="Q218" i="19"/>
  <c r="S218" i="19"/>
  <c r="V218" i="19"/>
  <c r="W218" i="19"/>
  <c r="X218" i="19"/>
  <c r="Z218" i="19"/>
  <c r="D216" i="32" s="1"/>
  <c r="AA218" i="19"/>
  <c r="D216" i="33" s="1"/>
  <c r="C219" i="19"/>
  <c r="D219" i="19"/>
  <c r="E219" i="19"/>
  <c r="F219" i="19"/>
  <c r="H219" i="19"/>
  <c r="I219" i="19"/>
  <c r="J219" i="19"/>
  <c r="K219" i="19"/>
  <c r="L219" i="19"/>
  <c r="M219" i="19"/>
  <c r="N219" i="19"/>
  <c r="P219" i="19"/>
  <c r="Q219" i="19"/>
  <c r="S219" i="19"/>
  <c r="V219" i="19"/>
  <c r="W219" i="19"/>
  <c r="X219" i="19"/>
  <c r="Z219" i="19"/>
  <c r="D217" i="32" s="1"/>
  <c r="AA219" i="19"/>
  <c r="D217" i="33" s="1"/>
  <c r="C220" i="19"/>
  <c r="D220" i="19"/>
  <c r="E220" i="19"/>
  <c r="F220" i="19"/>
  <c r="H220" i="19"/>
  <c r="I220" i="19"/>
  <c r="J220" i="19"/>
  <c r="K220" i="19"/>
  <c r="L220" i="19"/>
  <c r="M220" i="19"/>
  <c r="N220" i="19"/>
  <c r="P220" i="19"/>
  <c r="Q220" i="19"/>
  <c r="S220" i="19"/>
  <c r="V220" i="19"/>
  <c r="W220" i="19"/>
  <c r="X220" i="19"/>
  <c r="Z220" i="19"/>
  <c r="D218" i="32" s="1"/>
  <c r="AA220" i="19"/>
  <c r="D218" i="33" s="1"/>
  <c r="C221" i="19"/>
  <c r="D221" i="19"/>
  <c r="E221" i="19"/>
  <c r="F221" i="19"/>
  <c r="H221" i="19"/>
  <c r="I221" i="19"/>
  <c r="J221" i="19"/>
  <c r="K221" i="19"/>
  <c r="L221" i="19"/>
  <c r="M221" i="19"/>
  <c r="N221" i="19"/>
  <c r="P221" i="19"/>
  <c r="Q221" i="19"/>
  <c r="S221" i="19"/>
  <c r="V221" i="19"/>
  <c r="W221" i="19"/>
  <c r="X221" i="19"/>
  <c r="Z221" i="19"/>
  <c r="D219" i="32" s="1"/>
  <c r="AA221" i="19"/>
  <c r="D219" i="33" s="1"/>
  <c r="C222" i="19"/>
  <c r="D222" i="19"/>
  <c r="E222" i="19"/>
  <c r="F222" i="19"/>
  <c r="H222" i="19"/>
  <c r="I222" i="19"/>
  <c r="J222" i="19"/>
  <c r="K222" i="19"/>
  <c r="L222" i="19"/>
  <c r="M222" i="19"/>
  <c r="N222" i="19"/>
  <c r="P222" i="19"/>
  <c r="Q222" i="19"/>
  <c r="S222" i="19"/>
  <c r="V222" i="19"/>
  <c r="W222" i="19"/>
  <c r="X222" i="19"/>
  <c r="Z222" i="19"/>
  <c r="D220" i="32" s="1"/>
  <c r="AA222" i="19"/>
  <c r="D220" i="33" s="1"/>
  <c r="C223" i="19"/>
  <c r="D223" i="19"/>
  <c r="E223" i="19"/>
  <c r="F223" i="19"/>
  <c r="H223" i="19"/>
  <c r="I223" i="19"/>
  <c r="J223" i="19"/>
  <c r="K223" i="19"/>
  <c r="L223" i="19"/>
  <c r="M223" i="19"/>
  <c r="N223" i="19"/>
  <c r="P223" i="19"/>
  <c r="Q223" i="19"/>
  <c r="S223" i="19"/>
  <c r="V223" i="19"/>
  <c r="W223" i="19"/>
  <c r="X223" i="19"/>
  <c r="Z223" i="19"/>
  <c r="D221" i="32" s="1"/>
  <c r="AA223" i="19"/>
  <c r="D221" i="33" s="1"/>
  <c r="C224" i="19"/>
  <c r="D224" i="19"/>
  <c r="E224" i="19"/>
  <c r="F224" i="19"/>
  <c r="H224" i="19"/>
  <c r="I224" i="19"/>
  <c r="J224" i="19"/>
  <c r="K224" i="19"/>
  <c r="L224" i="19"/>
  <c r="M224" i="19"/>
  <c r="N224" i="19"/>
  <c r="P224" i="19"/>
  <c r="Q224" i="19"/>
  <c r="S224" i="19"/>
  <c r="V224" i="19"/>
  <c r="W224" i="19"/>
  <c r="X224" i="19"/>
  <c r="Z224" i="19"/>
  <c r="D222" i="32" s="1"/>
  <c r="AA224" i="19"/>
  <c r="D222" i="33" s="1"/>
  <c r="C225" i="19"/>
  <c r="D225" i="19"/>
  <c r="E225" i="19"/>
  <c r="F225" i="19"/>
  <c r="H225" i="19"/>
  <c r="I225" i="19"/>
  <c r="J225" i="19"/>
  <c r="K225" i="19"/>
  <c r="L225" i="19"/>
  <c r="M225" i="19"/>
  <c r="N225" i="19"/>
  <c r="P225" i="19"/>
  <c r="Q225" i="19"/>
  <c r="S225" i="19"/>
  <c r="V225" i="19"/>
  <c r="W225" i="19"/>
  <c r="X225" i="19"/>
  <c r="Z225" i="19"/>
  <c r="D223" i="32" s="1"/>
  <c r="AA225" i="19"/>
  <c r="D223" i="33" s="1"/>
  <c r="C226" i="19"/>
  <c r="D226" i="19"/>
  <c r="E226" i="19"/>
  <c r="F226" i="19"/>
  <c r="H226" i="19"/>
  <c r="I226" i="19"/>
  <c r="J226" i="19"/>
  <c r="K226" i="19"/>
  <c r="L226" i="19"/>
  <c r="M226" i="19"/>
  <c r="N226" i="19"/>
  <c r="P226" i="19"/>
  <c r="Q226" i="19"/>
  <c r="S226" i="19"/>
  <c r="V226" i="19"/>
  <c r="W226" i="19"/>
  <c r="X226" i="19"/>
  <c r="Z226" i="19"/>
  <c r="D224" i="32" s="1"/>
  <c r="AA226" i="19"/>
  <c r="D224" i="33" s="1"/>
  <c r="C227" i="19"/>
  <c r="D227" i="19"/>
  <c r="E227" i="19"/>
  <c r="F227" i="19"/>
  <c r="H227" i="19"/>
  <c r="I227" i="19"/>
  <c r="J227" i="19"/>
  <c r="K227" i="19"/>
  <c r="L227" i="19"/>
  <c r="M227" i="19"/>
  <c r="N227" i="19"/>
  <c r="P227" i="19"/>
  <c r="Q227" i="19"/>
  <c r="S227" i="19"/>
  <c r="V227" i="19"/>
  <c r="W227" i="19"/>
  <c r="X227" i="19"/>
  <c r="Z227" i="19"/>
  <c r="D225" i="32" s="1"/>
  <c r="AA227" i="19"/>
  <c r="D225" i="33" s="1"/>
  <c r="C228" i="19"/>
  <c r="D228" i="19"/>
  <c r="E228" i="19"/>
  <c r="F228" i="19"/>
  <c r="H228" i="19"/>
  <c r="I228" i="19"/>
  <c r="J228" i="19"/>
  <c r="K228" i="19"/>
  <c r="L228" i="19"/>
  <c r="M228" i="19"/>
  <c r="N228" i="19"/>
  <c r="P228" i="19"/>
  <c r="Q228" i="19"/>
  <c r="S228" i="19"/>
  <c r="V228" i="19"/>
  <c r="W228" i="19"/>
  <c r="X228" i="19"/>
  <c r="Z228" i="19"/>
  <c r="D226" i="32" s="1"/>
  <c r="AA228" i="19"/>
  <c r="D226" i="33" s="1"/>
  <c r="C229" i="19"/>
  <c r="D229" i="19"/>
  <c r="E229" i="19"/>
  <c r="F229" i="19"/>
  <c r="H229" i="19"/>
  <c r="I229" i="19"/>
  <c r="J229" i="19"/>
  <c r="K229" i="19"/>
  <c r="L229" i="19"/>
  <c r="M229" i="19"/>
  <c r="N229" i="19"/>
  <c r="P229" i="19"/>
  <c r="Q229" i="19"/>
  <c r="S229" i="19"/>
  <c r="V229" i="19"/>
  <c r="W229" i="19"/>
  <c r="X229" i="19"/>
  <c r="Z229" i="19"/>
  <c r="D227" i="32" s="1"/>
  <c r="AA229" i="19"/>
  <c r="D227" i="33" s="1"/>
  <c r="C230" i="19"/>
  <c r="D230" i="19"/>
  <c r="E230" i="19"/>
  <c r="F230" i="19"/>
  <c r="H230" i="19"/>
  <c r="I230" i="19"/>
  <c r="J230" i="19"/>
  <c r="K230" i="19"/>
  <c r="L230" i="19"/>
  <c r="M230" i="19"/>
  <c r="N230" i="19"/>
  <c r="P230" i="19"/>
  <c r="Q230" i="19"/>
  <c r="S230" i="19"/>
  <c r="V230" i="19"/>
  <c r="W230" i="19"/>
  <c r="X230" i="19"/>
  <c r="Z230" i="19"/>
  <c r="D228" i="32" s="1"/>
  <c r="AA230" i="19"/>
  <c r="D228" i="33" s="1"/>
  <c r="C231" i="19"/>
  <c r="D231" i="19"/>
  <c r="E231" i="19"/>
  <c r="F231" i="19"/>
  <c r="H231" i="19"/>
  <c r="I231" i="19"/>
  <c r="J231" i="19"/>
  <c r="K231" i="19"/>
  <c r="L231" i="19"/>
  <c r="M231" i="19"/>
  <c r="N231" i="19"/>
  <c r="P231" i="19"/>
  <c r="Q231" i="19"/>
  <c r="S231" i="19"/>
  <c r="V231" i="19"/>
  <c r="W231" i="19"/>
  <c r="X231" i="19"/>
  <c r="Z231" i="19"/>
  <c r="D229" i="32" s="1"/>
  <c r="AA231" i="19"/>
  <c r="D229" i="33" s="1"/>
  <c r="C232" i="19"/>
  <c r="D232" i="19"/>
  <c r="E232" i="19"/>
  <c r="F232" i="19"/>
  <c r="H232" i="19"/>
  <c r="I232" i="19"/>
  <c r="J232" i="19"/>
  <c r="K232" i="19"/>
  <c r="L232" i="19"/>
  <c r="M232" i="19"/>
  <c r="N232" i="19"/>
  <c r="P232" i="19"/>
  <c r="Q232" i="19"/>
  <c r="S232" i="19"/>
  <c r="V232" i="19"/>
  <c r="W232" i="19"/>
  <c r="X232" i="19"/>
  <c r="Z232" i="19"/>
  <c r="D230" i="32" s="1"/>
  <c r="AA232" i="19"/>
  <c r="D230" i="33" s="1"/>
  <c r="C233" i="19"/>
  <c r="D233" i="19"/>
  <c r="E233" i="19"/>
  <c r="F233" i="19"/>
  <c r="H233" i="19"/>
  <c r="I233" i="19"/>
  <c r="J233" i="19"/>
  <c r="K233" i="19"/>
  <c r="L233" i="19"/>
  <c r="M233" i="19"/>
  <c r="N233" i="19"/>
  <c r="P233" i="19"/>
  <c r="Q233" i="19"/>
  <c r="S233" i="19"/>
  <c r="V233" i="19"/>
  <c r="W233" i="19"/>
  <c r="X233" i="19"/>
  <c r="Z233" i="19"/>
  <c r="D231" i="32" s="1"/>
  <c r="AA233" i="19"/>
  <c r="D231" i="33" s="1"/>
  <c r="C234" i="19"/>
  <c r="D234" i="19"/>
  <c r="E234" i="19"/>
  <c r="F234" i="19"/>
  <c r="H234" i="19"/>
  <c r="I234" i="19"/>
  <c r="J234" i="19"/>
  <c r="K234" i="19"/>
  <c r="L234" i="19"/>
  <c r="M234" i="19"/>
  <c r="N234" i="19"/>
  <c r="P234" i="19"/>
  <c r="Q234" i="19"/>
  <c r="S234" i="19"/>
  <c r="V234" i="19"/>
  <c r="W234" i="19"/>
  <c r="X234" i="19"/>
  <c r="Z234" i="19"/>
  <c r="D232" i="32" s="1"/>
  <c r="AA234" i="19"/>
  <c r="D232" i="33" s="1"/>
  <c r="C235" i="19"/>
  <c r="D235" i="19"/>
  <c r="E235" i="19"/>
  <c r="F235" i="19"/>
  <c r="H235" i="19"/>
  <c r="I235" i="19"/>
  <c r="J235" i="19"/>
  <c r="K235" i="19"/>
  <c r="L235" i="19"/>
  <c r="M235" i="19"/>
  <c r="N235" i="19"/>
  <c r="P235" i="19"/>
  <c r="Q235" i="19"/>
  <c r="S235" i="19"/>
  <c r="V235" i="19"/>
  <c r="W235" i="19"/>
  <c r="X235" i="19"/>
  <c r="Z235" i="19"/>
  <c r="D233" i="32" s="1"/>
  <c r="AA235" i="19"/>
  <c r="D233" i="33" s="1"/>
  <c r="C236" i="19"/>
  <c r="D236" i="19"/>
  <c r="E236" i="19"/>
  <c r="F236" i="19"/>
  <c r="H236" i="19"/>
  <c r="I236" i="19"/>
  <c r="J236" i="19"/>
  <c r="K236" i="19"/>
  <c r="L236" i="19"/>
  <c r="M236" i="19"/>
  <c r="N236" i="19"/>
  <c r="P236" i="19"/>
  <c r="Q236" i="19"/>
  <c r="S236" i="19"/>
  <c r="V236" i="19"/>
  <c r="W236" i="19"/>
  <c r="X236" i="19"/>
  <c r="Z236" i="19"/>
  <c r="D234" i="32" s="1"/>
  <c r="AA236" i="19"/>
  <c r="D234" i="33" s="1"/>
  <c r="C237" i="19"/>
  <c r="D237" i="19"/>
  <c r="E237" i="19"/>
  <c r="F237" i="19"/>
  <c r="H237" i="19"/>
  <c r="I237" i="19"/>
  <c r="J237" i="19"/>
  <c r="K237" i="19"/>
  <c r="L237" i="19"/>
  <c r="M237" i="19"/>
  <c r="N237" i="19"/>
  <c r="P237" i="19"/>
  <c r="Q237" i="19"/>
  <c r="S237" i="19"/>
  <c r="V237" i="19"/>
  <c r="W237" i="19"/>
  <c r="X237" i="19"/>
  <c r="Z237" i="19"/>
  <c r="D235" i="32" s="1"/>
  <c r="AA237" i="19"/>
  <c r="D235" i="33" s="1"/>
  <c r="C238" i="19"/>
  <c r="D238" i="19"/>
  <c r="E238" i="19"/>
  <c r="F238" i="19"/>
  <c r="H238" i="19"/>
  <c r="I238" i="19"/>
  <c r="J238" i="19"/>
  <c r="K238" i="19"/>
  <c r="L238" i="19"/>
  <c r="M238" i="19"/>
  <c r="N238" i="19"/>
  <c r="P238" i="19"/>
  <c r="Q238" i="19"/>
  <c r="S238" i="19"/>
  <c r="V238" i="19"/>
  <c r="W238" i="19"/>
  <c r="X238" i="19"/>
  <c r="Z238" i="19"/>
  <c r="D236" i="32" s="1"/>
  <c r="AA238" i="19"/>
  <c r="D236" i="33" s="1"/>
  <c r="C239" i="19"/>
  <c r="D239" i="19"/>
  <c r="E239" i="19"/>
  <c r="F239" i="19"/>
  <c r="H239" i="19"/>
  <c r="I239" i="19"/>
  <c r="J239" i="19"/>
  <c r="K239" i="19"/>
  <c r="L239" i="19"/>
  <c r="M239" i="19"/>
  <c r="N239" i="19"/>
  <c r="P239" i="19"/>
  <c r="Q239" i="19"/>
  <c r="S239" i="19"/>
  <c r="V239" i="19"/>
  <c r="W239" i="19"/>
  <c r="X239" i="19"/>
  <c r="Z239" i="19"/>
  <c r="D237" i="32" s="1"/>
  <c r="AA239" i="19"/>
  <c r="D237" i="33" s="1"/>
  <c r="C240" i="19"/>
  <c r="D240" i="19"/>
  <c r="E240" i="19"/>
  <c r="F240" i="19"/>
  <c r="H240" i="19"/>
  <c r="I240" i="19"/>
  <c r="J240" i="19"/>
  <c r="K240" i="19"/>
  <c r="L240" i="19"/>
  <c r="M240" i="19"/>
  <c r="N240" i="19"/>
  <c r="P240" i="19"/>
  <c r="Q240" i="19"/>
  <c r="S240" i="19"/>
  <c r="V240" i="19"/>
  <c r="W240" i="19"/>
  <c r="X240" i="19"/>
  <c r="Z240" i="19"/>
  <c r="D238" i="32" s="1"/>
  <c r="AA240" i="19"/>
  <c r="D238" i="33" s="1"/>
  <c r="C241" i="19"/>
  <c r="D241" i="19"/>
  <c r="E241" i="19"/>
  <c r="F241" i="19"/>
  <c r="H241" i="19"/>
  <c r="I241" i="19"/>
  <c r="J241" i="19"/>
  <c r="K241" i="19"/>
  <c r="L241" i="19"/>
  <c r="M241" i="19"/>
  <c r="N241" i="19"/>
  <c r="P241" i="19"/>
  <c r="Q241" i="19"/>
  <c r="S241" i="19"/>
  <c r="V241" i="19"/>
  <c r="W241" i="19"/>
  <c r="X241" i="19"/>
  <c r="Z241" i="19"/>
  <c r="D239" i="32" s="1"/>
  <c r="AA241" i="19"/>
  <c r="D239" i="33" s="1"/>
  <c r="C242" i="19"/>
  <c r="D242" i="19"/>
  <c r="E242" i="19"/>
  <c r="F242" i="19"/>
  <c r="H242" i="19"/>
  <c r="I242" i="19"/>
  <c r="J242" i="19"/>
  <c r="K242" i="19"/>
  <c r="L242" i="19"/>
  <c r="M242" i="19"/>
  <c r="N242" i="19"/>
  <c r="P242" i="19"/>
  <c r="Q242" i="19"/>
  <c r="S242" i="19"/>
  <c r="V242" i="19"/>
  <c r="W242" i="19"/>
  <c r="X242" i="19"/>
  <c r="Z242" i="19"/>
  <c r="D240" i="32" s="1"/>
  <c r="AA242" i="19"/>
  <c r="D240" i="33" s="1"/>
  <c r="C243" i="19"/>
  <c r="D243" i="19"/>
  <c r="E243" i="19"/>
  <c r="F243" i="19"/>
  <c r="H243" i="19"/>
  <c r="I243" i="19"/>
  <c r="J243" i="19"/>
  <c r="K243" i="19"/>
  <c r="L243" i="19"/>
  <c r="M243" i="19"/>
  <c r="N243" i="19"/>
  <c r="P243" i="19"/>
  <c r="Q243" i="19"/>
  <c r="S243" i="19"/>
  <c r="V243" i="19"/>
  <c r="W243" i="19"/>
  <c r="X243" i="19"/>
  <c r="Z243" i="19"/>
  <c r="D241" i="32" s="1"/>
  <c r="AA243" i="19"/>
  <c r="D241" i="33" s="1"/>
  <c r="C244" i="19"/>
  <c r="D244" i="19"/>
  <c r="E244" i="19"/>
  <c r="F244" i="19"/>
  <c r="H244" i="19"/>
  <c r="I244" i="19"/>
  <c r="J244" i="19"/>
  <c r="K244" i="19"/>
  <c r="L244" i="19"/>
  <c r="M244" i="19"/>
  <c r="N244" i="19"/>
  <c r="P244" i="19"/>
  <c r="Q244" i="19"/>
  <c r="S244" i="19"/>
  <c r="V244" i="19"/>
  <c r="W244" i="19"/>
  <c r="X244" i="19"/>
  <c r="Z244" i="19"/>
  <c r="D242" i="32" s="1"/>
  <c r="AA244" i="19"/>
  <c r="D242" i="33" s="1"/>
  <c r="C245" i="19"/>
  <c r="D245" i="19"/>
  <c r="E245" i="19"/>
  <c r="F245" i="19"/>
  <c r="H245" i="19"/>
  <c r="I245" i="19"/>
  <c r="J245" i="19"/>
  <c r="K245" i="19"/>
  <c r="L245" i="19"/>
  <c r="M245" i="19"/>
  <c r="N245" i="19"/>
  <c r="P245" i="19"/>
  <c r="Q245" i="19"/>
  <c r="S245" i="19"/>
  <c r="V245" i="19"/>
  <c r="W245" i="19"/>
  <c r="X245" i="19"/>
  <c r="Z245" i="19"/>
  <c r="D243" i="32" s="1"/>
  <c r="AA245" i="19"/>
  <c r="D243" i="33" s="1"/>
  <c r="C246" i="19"/>
  <c r="D246" i="19"/>
  <c r="E246" i="19"/>
  <c r="F246" i="19"/>
  <c r="H246" i="19"/>
  <c r="I246" i="19"/>
  <c r="J246" i="19"/>
  <c r="K246" i="19"/>
  <c r="L246" i="19"/>
  <c r="M246" i="19"/>
  <c r="N246" i="19"/>
  <c r="P246" i="19"/>
  <c r="Q246" i="19"/>
  <c r="S246" i="19"/>
  <c r="V246" i="19"/>
  <c r="W246" i="19"/>
  <c r="X246" i="19"/>
  <c r="Z246" i="19"/>
  <c r="D244" i="32" s="1"/>
  <c r="AA246" i="19"/>
  <c r="D244" i="33" s="1"/>
  <c r="C247" i="19"/>
  <c r="D247" i="19"/>
  <c r="E247" i="19"/>
  <c r="F247" i="19"/>
  <c r="H247" i="19"/>
  <c r="I247" i="19"/>
  <c r="J247" i="19"/>
  <c r="K247" i="19"/>
  <c r="L247" i="19"/>
  <c r="M247" i="19"/>
  <c r="N247" i="19"/>
  <c r="P247" i="19"/>
  <c r="O247" i="19" s="1"/>
  <c r="Q247" i="19"/>
  <c r="S247" i="19"/>
  <c r="V247" i="19"/>
  <c r="W247" i="19"/>
  <c r="X247" i="19"/>
  <c r="Z247" i="19"/>
  <c r="D245" i="32" s="1"/>
  <c r="AA247" i="19"/>
  <c r="D245" i="33" s="1"/>
  <c r="C248" i="19"/>
  <c r="D248" i="19"/>
  <c r="E248" i="19"/>
  <c r="F248" i="19"/>
  <c r="H248" i="19"/>
  <c r="I248" i="19"/>
  <c r="J248" i="19"/>
  <c r="K248" i="19"/>
  <c r="L248" i="19"/>
  <c r="M248" i="19"/>
  <c r="N248" i="19"/>
  <c r="P248" i="19"/>
  <c r="Q248" i="19"/>
  <c r="S248" i="19"/>
  <c r="V248" i="19"/>
  <c r="W248" i="19"/>
  <c r="X248" i="19"/>
  <c r="Z248" i="19"/>
  <c r="D246" i="32" s="1"/>
  <c r="AA248" i="19"/>
  <c r="D246" i="33" s="1"/>
  <c r="C249" i="19"/>
  <c r="D249" i="19"/>
  <c r="E249" i="19"/>
  <c r="F249" i="19"/>
  <c r="H249" i="19"/>
  <c r="I249" i="19"/>
  <c r="J249" i="19"/>
  <c r="K249" i="19"/>
  <c r="L249" i="19"/>
  <c r="M249" i="19"/>
  <c r="N249" i="19"/>
  <c r="P249" i="19"/>
  <c r="Q249" i="19"/>
  <c r="S249" i="19"/>
  <c r="V249" i="19"/>
  <c r="W249" i="19"/>
  <c r="X249" i="19"/>
  <c r="Z249" i="19"/>
  <c r="D247" i="32" s="1"/>
  <c r="AA249" i="19"/>
  <c r="D247" i="33" s="1"/>
  <c r="C250" i="19"/>
  <c r="D250" i="19"/>
  <c r="E250" i="19"/>
  <c r="F250" i="19"/>
  <c r="H250" i="19"/>
  <c r="I250" i="19"/>
  <c r="J250" i="19"/>
  <c r="K250" i="19"/>
  <c r="L250" i="19"/>
  <c r="M250" i="19"/>
  <c r="N250" i="19"/>
  <c r="P250" i="19"/>
  <c r="Q250" i="19"/>
  <c r="S250" i="19"/>
  <c r="V250" i="19"/>
  <c r="W250" i="19"/>
  <c r="X250" i="19"/>
  <c r="Z250" i="19"/>
  <c r="D248" i="32" s="1"/>
  <c r="AA250" i="19"/>
  <c r="D248" i="33" s="1"/>
  <c r="C251" i="19"/>
  <c r="D251" i="19"/>
  <c r="E251" i="19"/>
  <c r="F251" i="19"/>
  <c r="H251" i="19"/>
  <c r="I251" i="19"/>
  <c r="J251" i="19"/>
  <c r="K251" i="19"/>
  <c r="L251" i="19"/>
  <c r="M251" i="19"/>
  <c r="N251" i="19"/>
  <c r="P251" i="19"/>
  <c r="O251" i="19" s="1"/>
  <c r="Q251" i="19"/>
  <c r="S251" i="19"/>
  <c r="V251" i="19"/>
  <c r="W251" i="19"/>
  <c r="X251" i="19"/>
  <c r="Z251" i="19"/>
  <c r="D249" i="32" s="1"/>
  <c r="AA251" i="19"/>
  <c r="D249" i="33" s="1"/>
  <c r="C252" i="19"/>
  <c r="D252" i="19"/>
  <c r="E252" i="19"/>
  <c r="F252" i="19"/>
  <c r="H252" i="19"/>
  <c r="I252" i="19"/>
  <c r="J252" i="19"/>
  <c r="K252" i="19"/>
  <c r="L252" i="19"/>
  <c r="M252" i="19"/>
  <c r="N252" i="19"/>
  <c r="P252" i="19"/>
  <c r="Q252" i="19"/>
  <c r="S252" i="19"/>
  <c r="V252" i="19"/>
  <c r="W252" i="19"/>
  <c r="X252" i="19"/>
  <c r="Z252" i="19"/>
  <c r="D250" i="32" s="1"/>
  <c r="AA252" i="19"/>
  <c r="D250" i="33" s="1"/>
  <c r="C253" i="19"/>
  <c r="D253" i="19"/>
  <c r="E253" i="19"/>
  <c r="F253" i="19"/>
  <c r="H253" i="19"/>
  <c r="I253" i="19"/>
  <c r="J253" i="19"/>
  <c r="K253" i="19"/>
  <c r="L253" i="19"/>
  <c r="M253" i="19"/>
  <c r="N253" i="19"/>
  <c r="P253" i="19"/>
  <c r="Q253" i="19"/>
  <c r="S253" i="19"/>
  <c r="V253" i="19"/>
  <c r="W253" i="19"/>
  <c r="X253" i="19"/>
  <c r="Z253" i="19"/>
  <c r="D251" i="32" s="1"/>
  <c r="AA253" i="19"/>
  <c r="D251" i="33" s="1"/>
  <c r="C254" i="19"/>
  <c r="D254" i="19"/>
  <c r="E254" i="19"/>
  <c r="F254" i="19"/>
  <c r="H254" i="19"/>
  <c r="I254" i="19"/>
  <c r="J254" i="19"/>
  <c r="K254" i="19"/>
  <c r="L254" i="19"/>
  <c r="M254" i="19"/>
  <c r="N254" i="19"/>
  <c r="P254" i="19"/>
  <c r="Q254" i="19"/>
  <c r="S254" i="19"/>
  <c r="V254" i="19"/>
  <c r="W254" i="19"/>
  <c r="X254" i="19"/>
  <c r="Z254" i="19"/>
  <c r="D252" i="32" s="1"/>
  <c r="AA254" i="19"/>
  <c r="D252" i="33" s="1"/>
  <c r="C255" i="19"/>
  <c r="D255" i="19"/>
  <c r="E255" i="19"/>
  <c r="F255" i="19"/>
  <c r="H255" i="19"/>
  <c r="I255" i="19"/>
  <c r="J255" i="19"/>
  <c r="K255" i="19"/>
  <c r="L255" i="19"/>
  <c r="M255" i="19"/>
  <c r="N255" i="19"/>
  <c r="P255" i="19"/>
  <c r="O255" i="19" s="1"/>
  <c r="Q255" i="19"/>
  <c r="S255" i="19"/>
  <c r="V255" i="19"/>
  <c r="W255" i="19"/>
  <c r="X255" i="19"/>
  <c r="Z255" i="19"/>
  <c r="D253" i="32" s="1"/>
  <c r="AA255" i="19"/>
  <c r="D253" i="33" s="1"/>
  <c r="C256" i="19"/>
  <c r="D256" i="19"/>
  <c r="E256" i="19"/>
  <c r="F256" i="19"/>
  <c r="H256" i="19"/>
  <c r="I256" i="19"/>
  <c r="J256" i="19"/>
  <c r="K256" i="19"/>
  <c r="L256" i="19"/>
  <c r="M256" i="19"/>
  <c r="N256" i="19"/>
  <c r="P256" i="19"/>
  <c r="Q256" i="19"/>
  <c r="S256" i="19"/>
  <c r="V256" i="19"/>
  <c r="W256" i="19"/>
  <c r="X256" i="19"/>
  <c r="Z256" i="19"/>
  <c r="D254" i="32" s="1"/>
  <c r="AA256" i="19"/>
  <c r="D254" i="33" s="1"/>
  <c r="C257" i="19"/>
  <c r="D257" i="19"/>
  <c r="E257" i="19"/>
  <c r="F257" i="19"/>
  <c r="H257" i="19"/>
  <c r="I257" i="19"/>
  <c r="J257" i="19"/>
  <c r="K257" i="19"/>
  <c r="L257" i="19"/>
  <c r="M257" i="19"/>
  <c r="N257" i="19"/>
  <c r="P257" i="19"/>
  <c r="Q257" i="19"/>
  <c r="S257" i="19"/>
  <c r="V257" i="19"/>
  <c r="W257" i="19"/>
  <c r="X257" i="19"/>
  <c r="Z257" i="19"/>
  <c r="D255" i="32" s="1"/>
  <c r="AA257" i="19"/>
  <c r="D255" i="33" s="1"/>
  <c r="C258" i="19"/>
  <c r="D258" i="19"/>
  <c r="E258" i="19"/>
  <c r="F258" i="19"/>
  <c r="H258" i="19"/>
  <c r="I258" i="19"/>
  <c r="J258" i="19"/>
  <c r="K258" i="19"/>
  <c r="L258" i="19"/>
  <c r="M258" i="19"/>
  <c r="N258" i="19"/>
  <c r="P258" i="19"/>
  <c r="Q258" i="19"/>
  <c r="S258" i="19"/>
  <c r="V258" i="19"/>
  <c r="W258" i="19"/>
  <c r="X258" i="19"/>
  <c r="Z258" i="19"/>
  <c r="D256" i="32" s="1"/>
  <c r="AA258" i="19"/>
  <c r="D256" i="33" s="1"/>
  <c r="C259" i="19"/>
  <c r="D259" i="19"/>
  <c r="E259" i="19"/>
  <c r="F259" i="19"/>
  <c r="H259" i="19"/>
  <c r="I259" i="19"/>
  <c r="J259" i="19"/>
  <c r="K259" i="19"/>
  <c r="L259" i="19"/>
  <c r="M259" i="19"/>
  <c r="N259" i="19"/>
  <c r="P259" i="19"/>
  <c r="O259" i="19" s="1"/>
  <c r="Q259" i="19"/>
  <c r="S259" i="19"/>
  <c r="V259" i="19"/>
  <c r="W259" i="19"/>
  <c r="X259" i="19"/>
  <c r="Z259" i="19"/>
  <c r="D257" i="32" s="1"/>
  <c r="AA259" i="19"/>
  <c r="D257" i="33" s="1"/>
  <c r="C260" i="19"/>
  <c r="D260" i="19"/>
  <c r="E260" i="19"/>
  <c r="F260" i="19"/>
  <c r="H260" i="19"/>
  <c r="I260" i="19"/>
  <c r="J260" i="19"/>
  <c r="K260" i="19"/>
  <c r="L260" i="19"/>
  <c r="M260" i="19"/>
  <c r="N260" i="19"/>
  <c r="P260" i="19"/>
  <c r="Q260" i="19"/>
  <c r="S260" i="19"/>
  <c r="V260" i="19"/>
  <c r="W260" i="19"/>
  <c r="X260" i="19"/>
  <c r="Z260" i="19"/>
  <c r="D258" i="32" s="1"/>
  <c r="AA260" i="19"/>
  <c r="D258" i="33" s="1"/>
  <c r="C261" i="19"/>
  <c r="D261" i="19"/>
  <c r="E261" i="19"/>
  <c r="F261" i="19"/>
  <c r="H261" i="19"/>
  <c r="I261" i="19"/>
  <c r="J261" i="19"/>
  <c r="K261" i="19"/>
  <c r="L261" i="19"/>
  <c r="M261" i="19"/>
  <c r="N261" i="19"/>
  <c r="P261" i="19"/>
  <c r="Q261" i="19"/>
  <c r="S261" i="19"/>
  <c r="V261" i="19"/>
  <c r="W261" i="19"/>
  <c r="X261" i="19"/>
  <c r="Z261" i="19"/>
  <c r="D259" i="32" s="1"/>
  <c r="AA261" i="19"/>
  <c r="D259" i="33" s="1"/>
  <c r="C262" i="19"/>
  <c r="D262" i="19"/>
  <c r="E262" i="19"/>
  <c r="F262" i="19"/>
  <c r="H262" i="19"/>
  <c r="I262" i="19"/>
  <c r="J262" i="19"/>
  <c r="K262" i="19"/>
  <c r="L262" i="19"/>
  <c r="M262" i="19"/>
  <c r="N262" i="19"/>
  <c r="P262" i="19"/>
  <c r="Q262" i="19"/>
  <c r="S262" i="19"/>
  <c r="V262" i="19"/>
  <c r="W262" i="19"/>
  <c r="X262" i="19"/>
  <c r="Z262" i="19"/>
  <c r="D260" i="32" s="1"/>
  <c r="AA262" i="19"/>
  <c r="D260" i="33" s="1"/>
  <c r="C263" i="19"/>
  <c r="D263" i="19"/>
  <c r="E263" i="19"/>
  <c r="F263" i="19"/>
  <c r="H263" i="19"/>
  <c r="I263" i="19"/>
  <c r="J263" i="19"/>
  <c r="K263" i="19"/>
  <c r="L263" i="19"/>
  <c r="M263" i="19"/>
  <c r="N263" i="19"/>
  <c r="P263" i="19"/>
  <c r="Q263" i="19"/>
  <c r="S263" i="19"/>
  <c r="V263" i="19"/>
  <c r="W263" i="19"/>
  <c r="X263" i="19"/>
  <c r="Z263" i="19"/>
  <c r="D261" i="32" s="1"/>
  <c r="AA263" i="19"/>
  <c r="D261" i="33" s="1"/>
  <c r="C264" i="19"/>
  <c r="D264" i="19"/>
  <c r="E264" i="19"/>
  <c r="F264" i="19"/>
  <c r="H264" i="19"/>
  <c r="I264" i="19"/>
  <c r="J264" i="19"/>
  <c r="K264" i="19"/>
  <c r="L264" i="19"/>
  <c r="M264" i="19"/>
  <c r="N264" i="19"/>
  <c r="P264" i="19"/>
  <c r="Q264" i="19"/>
  <c r="S264" i="19"/>
  <c r="V264" i="19"/>
  <c r="W264" i="19"/>
  <c r="X264" i="19"/>
  <c r="Z264" i="19"/>
  <c r="D262" i="32" s="1"/>
  <c r="AA264" i="19"/>
  <c r="D262" i="33" s="1"/>
  <c r="C265" i="19"/>
  <c r="D265" i="19"/>
  <c r="E265" i="19"/>
  <c r="F265" i="19"/>
  <c r="H265" i="19"/>
  <c r="I265" i="19"/>
  <c r="J265" i="19"/>
  <c r="K265" i="19"/>
  <c r="L265" i="19"/>
  <c r="M265" i="19"/>
  <c r="N265" i="19"/>
  <c r="P265" i="19"/>
  <c r="Q265" i="19"/>
  <c r="S265" i="19"/>
  <c r="V265" i="19"/>
  <c r="W265" i="19"/>
  <c r="X265" i="19"/>
  <c r="Z265" i="19"/>
  <c r="D263" i="32" s="1"/>
  <c r="AA265" i="19"/>
  <c r="D263" i="33" s="1"/>
  <c r="C266" i="19"/>
  <c r="D266" i="19"/>
  <c r="E266" i="19"/>
  <c r="F266" i="19"/>
  <c r="H266" i="19"/>
  <c r="I266" i="19"/>
  <c r="J266" i="19"/>
  <c r="K266" i="19"/>
  <c r="L266" i="19"/>
  <c r="M266" i="19"/>
  <c r="N266" i="19"/>
  <c r="P266" i="19"/>
  <c r="Q266" i="19"/>
  <c r="S266" i="19"/>
  <c r="V266" i="19"/>
  <c r="W266" i="19"/>
  <c r="X266" i="19"/>
  <c r="Z266" i="19"/>
  <c r="D264" i="32" s="1"/>
  <c r="AA266" i="19"/>
  <c r="D264" i="33" s="1"/>
  <c r="C267" i="19"/>
  <c r="D267" i="19"/>
  <c r="E267" i="19"/>
  <c r="F267" i="19"/>
  <c r="H267" i="19"/>
  <c r="I267" i="19"/>
  <c r="J267" i="19"/>
  <c r="K267" i="19"/>
  <c r="L267" i="19"/>
  <c r="M267" i="19"/>
  <c r="N267" i="19"/>
  <c r="P267" i="19"/>
  <c r="Q267" i="19"/>
  <c r="S267" i="19"/>
  <c r="V267" i="19"/>
  <c r="W267" i="19"/>
  <c r="X267" i="19"/>
  <c r="Z267" i="19"/>
  <c r="D265" i="32" s="1"/>
  <c r="AA267" i="19"/>
  <c r="D265" i="33" s="1"/>
  <c r="C268" i="19"/>
  <c r="D268" i="19"/>
  <c r="E268" i="19"/>
  <c r="F268" i="19"/>
  <c r="H268" i="19"/>
  <c r="I268" i="19"/>
  <c r="J268" i="19"/>
  <c r="K268" i="19"/>
  <c r="L268" i="19"/>
  <c r="M268" i="19"/>
  <c r="N268" i="19"/>
  <c r="P268" i="19"/>
  <c r="Q268" i="19"/>
  <c r="S268" i="19"/>
  <c r="V268" i="19"/>
  <c r="W268" i="19"/>
  <c r="X268" i="19"/>
  <c r="Z268" i="19"/>
  <c r="D266" i="32" s="1"/>
  <c r="AA268" i="19"/>
  <c r="D266" i="33" s="1"/>
  <c r="C269" i="19"/>
  <c r="D269" i="19"/>
  <c r="E269" i="19"/>
  <c r="F269" i="19"/>
  <c r="H269" i="19"/>
  <c r="I269" i="19"/>
  <c r="J269" i="19"/>
  <c r="K269" i="19"/>
  <c r="L269" i="19"/>
  <c r="M269" i="19"/>
  <c r="N269" i="19"/>
  <c r="P269" i="19"/>
  <c r="Q269" i="19"/>
  <c r="S269" i="19"/>
  <c r="V269" i="19"/>
  <c r="W269" i="19"/>
  <c r="X269" i="19"/>
  <c r="Z269" i="19"/>
  <c r="D267" i="32" s="1"/>
  <c r="AA269" i="19"/>
  <c r="D267" i="33" s="1"/>
  <c r="C270" i="19"/>
  <c r="D270" i="19"/>
  <c r="E270" i="19"/>
  <c r="F270" i="19"/>
  <c r="H270" i="19"/>
  <c r="I270" i="19"/>
  <c r="J270" i="19"/>
  <c r="K270" i="19"/>
  <c r="L270" i="19"/>
  <c r="M270" i="19"/>
  <c r="N270" i="19"/>
  <c r="P270" i="19"/>
  <c r="Q270" i="19"/>
  <c r="S270" i="19"/>
  <c r="V270" i="19"/>
  <c r="W270" i="19"/>
  <c r="X270" i="19"/>
  <c r="Z270" i="19"/>
  <c r="D268" i="32" s="1"/>
  <c r="AA270" i="19"/>
  <c r="D268" i="33" s="1"/>
  <c r="C271" i="19"/>
  <c r="D271" i="19"/>
  <c r="E271" i="19"/>
  <c r="F271" i="19"/>
  <c r="H271" i="19"/>
  <c r="I271" i="19"/>
  <c r="J271" i="19"/>
  <c r="K271" i="19"/>
  <c r="L271" i="19"/>
  <c r="M271" i="19"/>
  <c r="N271" i="19"/>
  <c r="P271" i="19"/>
  <c r="Q271" i="19"/>
  <c r="S271" i="19"/>
  <c r="V271" i="19"/>
  <c r="W271" i="19"/>
  <c r="X271" i="19"/>
  <c r="Z271" i="19"/>
  <c r="D269" i="32" s="1"/>
  <c r="AA271" i="19"/>
  <c r="D269" i="33" s="1"/>
  <c r="C272" i="19"/>
  <c r="D272" i="19"/>
  <c r="E272" i="19"/>
  <c r="F272" i="19"/>
  <c r="H272" i="19"/>
  <c r="I272" i="19"/>
  <c r="J272" i="19"/>
  <c r="K272" i="19"/>
  <c r="L272" i="19"/>
  <c r="M272" i="19"/>
  <c r="N272" i="19"/>
  <c r="P272" i="19"/>
  <c r="Q272" i="19"/>
  <c r="S272" i="19"/>
  <c r="V272" i="19"/>
  <c r="W272" i="19"/>
  <c r="X272" i="19"/>
  <c r="Z272" i="19"/>
  <c r="D270" i="32" s="1"/>
  <c r="AA272" i="19"/>
  <c r="D270" i="33" s="1"/>
  <c r="C273" i="19"/>
  <c r="D273" i="19"/>
  <c r="E273" i="19"/>
  <c r="F273" i="19"/>
  <c r="H273" i="19"/>
  <c r="I273" i="19"/>
  <c r="J273" i="19"/>
  <c r="K273" i="19"/>
  <c r="L273" i="19"/>
  <c r="M273" i="19"/>
  <c r="N273" i="19"/>
  <c r="P273" i="19"/>
  <c r="Q273" i="19"/>
  <c r="S273" i="19"/>
  <c r="V273" i="19"/>
  <c r="W273" i="19"/>
  <c r="X273" i="19"/>
  <c r="Z273" i="19"/>
  <c r="D271" i="32" s="1"/>
  <c r="AA273" i="19"/>
  <c r="D271" i="33" s="1"/>
  <c r="C274" i="19"/>
  <c r="D274" i="19"/>
  <c r="E274" i="19"/>
  <c r="F274" i="19"/>
  <c r="H274" i="19"/>
  <c r="I274" i="19"/>
  <c r="J274" i="19"/>
  <c r="K274" i="19"/>
  <c r="L274" i="19"/>
  <c r="M274" i="19"/>
  <c r="N274" i="19"/>
  <c r="P274" i="19"/>
  <c r="Q274" i="19"/>
  <c r="S274" i="19"/>
  <c r="V274" i="19"/>
  <c r="W274" i="19"/>
  <c r="X274" i="19"/>
  <c r="Z274" i="19"/>
  <c r="D272" i="32" s="1"/>
  <c r="AA274" i="19"/>
  <c r="D272" i="33" s="1"/>
  <c r="C275" i="19"/>
  <c r="D275" i="19"/>
  <c r="E275" i="19"/>
  <c r="F275" i="19"/>
  <c r="H275" i="19"/>
  <c r="I275" i="19"/>
  <c r="J275" i="19"/>
  <c r="K275" i="19"/>
  <c r="L275" i="19"/>
  <c r="M275" i="19"/>
  <c r="N275" i="19"/>
  <c r="P275" i="19"/>
  <c r="Q275" i="19"/>
  <c r="S275" i="19"/>
  <c r="V275" i="19"/>
  <c r="W275" i="19"/>
  <c r="X275" i="19"/>
  <c r="Z275" i="19"/>
  <c r="D273" i="32" s="1"/>
  <c r="AA275" i="19"/>
  <c r="D273" i="33" s="1"/>
  <c r="C276" i="19"/>
  <c r="D276" i="19"/>
  <c r="E276" i="19"/>
  <c r="F276" i="19"/>
  <c r="H276" i="19"/>
  <c r="I276" i="19"/>
  <c r="J276" i="19"/>
  <c r="K276" i="19"/>
  <c r="L276" i="19"/>
  <c r="M276" i="19"/>
  <c r="N276" i="19"/>
  <c r="P276" i="19"/>
  <c r="Q276" i="19"/>
  <c r="S276" i="19"/>
  <c r="V276" i="19"/>
  <c r="W276" i="19"/>
  <c r="X276" i="19"/>
  <c r="Z276" i="19"/>
  <c r="D274" i="32" s="1"/>
  <c r="AA276" i="19"/>
  <c r="D274" i="33" s="1"/>
  <c r="C277" i="19"/>
  <c r="D277" i="19"/>
  <c r="E277" i="19"/>
  <c r="F277" i="19"/>
  <c r="H277" i="19"/>
  <c r="I277" i="19"/>
  <c r="J277" i="19"/>
  <c r="K277" i="19"/>
  <c r="L277" i="19"/>
  <c r="M277" i="19"/>
  <c r="N277" i="19"/>
  <c r="P277" i="19"/>
  <c r="Q277" i="19"/>
  <c r="S277" i="19"/>
  <c r="V277" i="19"/>
  <c r="W277" i="19"/>
  <c r="X277" i="19"/>
  <c r="Z277" i="19"/>
  <c r="D275" i="32" s="1"/>
  <c r="AA277" i="19"/>
  <c r="D275" i="33" s="1"/>
  <c r="C278" i="19"/>
  <c r="D278" i="19"/>
  <c r="E278" i="19"/>
  <c r="F278" i="19"/>
  <c r="H278" i="19"/>
  <c r="I278" i="19"/>
  <c r="J278" i="19"/>
  <c r="K278" i="19"/>
  <c r="L278" i="19"/>
  <c r="M278" i="19"/>
  <c r="N278" i="19"/>
  <c r="P278" i="19"/>
  <c r="Q278" i="19"/>
  <c r="S278" i="19"/>
  <c r="V278" i="19"/>
  <c r="W278" i="19"/>
  <c r="X278" i="19"/>
  <c r="Z278" i="19"/>
  <c r="D276" i="32" s="1"/>
  <c r="AA278" i="19"/>
  <c r="D276" i="33" s="1"/>
  <c r="C279" i="19"/>
  <c r="D279" i="19"/>
  <c r="E279" i="19"/>
  <c r="F279" i="19"/>
  <c r="H279" i="19"/>
  <c r="I279" i="19"/>
  <c r="J279" i="19"/>
  <c r="K279" i="19"/>
  <c r="L279" i="19"/>
  <c r="M279" i="19"/>
  <c r="N279" i="19"/>
  <c r="P279" i="19"/>
  <c r="Q279" i="19"/>
  <c r="S279" i="19"/>
  <c r="V279" i="19"/>
  <c r="W279" i="19"/>
  <c r="X279" i="19"/>
  <c r="Z279" i="19"/>
  <c r="D277" i="32" s="1"/>
  <c r="AA279" i="19"/>
  <c r="D277" i="33" s="1"/>
  <c r="C280" i="19"/>
  <c r="D280" i="19"/>
  <c r="E280" i="19"/>
  <c r="F280" i="19"/>
  <c r="H280" i="19"/>
  <c r="I280" i="19"/>
  <c r="J280" i="19"/>
  <c r="K280" i="19"/>
  <c r="L280" i="19"/>
  <c r="M280" i="19"/>
  <c r="N280" i="19"/>
  <c r="P280" i="19"/>
  <c r="Q280" i="19"/>
  <c r="S280" i="19"/>
  <c r="V280" i="19"/>
  <c r="W280" i="19"/>
  <c r="X280" i="19"/>
  <c r="Z280" i="19"/>
  <c r="D278" i="32" s="1"/>
  <c r="AA280" i="19"/>
  <c r="D278" i="33" s="1"/>
  <c r="C281" i="19"/>
  <c r="D281" i="19"/>
  <c r="E281" i="19"/>
  <c r="F281" i="19"/>
  <c r="H281" i="19"/>
  <c r="I281" i="19"/>
  <c r="J281" i="19"/>
  <c r="K281" i="19"/>
  <c r="L281" i="19"/>
  <c r="M281" i="19"/>
  <c r="N281" i="19"/>
  <c r="P281" i="19"/>
  <c r="Q281" i="19"/>
  <c r="S281" i="19"/>
  <c r="V281" i="19"/>
  <c r="W281" i="19"/>
  <c r="X281" i="19"/>
  <c r="Z281" i="19"/>
  <c r="D279" i="32" s="1"/>
  <c r="AA281" i="19"/>
  <c r="D279" i="33" s="1"/>
  <c r="C282" i="19"/>
  <c r="D282" i="19"/>
  <c r="E282" i="19"/>
  <c r="F282" i="19"/>
  <c r="H282" i="19"/>
  <c r="I282" i="19"/>
  <c r="J282" i="19"/>
  <c r="K282" i="19"/>
  <c r="L282" i="19"/>
  <c r="M282" i="19"/>
  <c r="N282" i="19"/>
  <c r="P282" i="19"/>
  <c r="Q282" i="19"/>
  <c r="S282" i="19"/>
  <c r="V282" i="19"/>
  <c r="W282" i="19"/>
  <c r="X282" i="19"/>
  <c r="Z282" i="19"/>
  <c r="D280" i="32" s="1"/>
  <c r="AA282" i="19"/>
  <c r="D280" i="33" s="1"/>
  <c r="C283" i="19"/>
  <c r="D283" i="19"/>
  <c r="E283" i="19"/>
  <c r="F283" i="19"/>
  <c r="H283" i="19"/>
  <c r="I283" i="19"/>
  <c r="J283" i="19"/>
  <c r="K283" i="19"/>
  <c r="L283" i="19"/>
  <c r="M283" i="19"/>
  <c r="N283" i="19"/>
  <c r="P283" i="19"/>
  <c r="Q283" i="19"/>
  <c r="S283" i="19"/>
  <c r="V283" i="19"/>
  <c r="W283" i="19"/>
  <c r="X283" i="19"/>
  <c r="Z283" i="19"/>
  <c r="D281" i="32" s="1"/>
  <c r="AA283" i="19"/>
  <c r="D281" i="33" s="1"/>
  <c r="C284" i="19"/>
  <c r="D284" i="19"/>
  <c r="E284" i="19"/>
  <c r="F284" i="19"/>
  <c r="H284" i="19"/>
  <c r="I284" i="19"/>
  <c r="J284" i="19"/>
  <c r="K284" i="19"/>
  <c r="L284" i="19"/>
  <c r="M284" i="19"/>
  <c r="N284" i="19"/>
  <c r="P284" i="19"/>
  <c r="Q284" i="19"/>
  <c r="S284" i="19"/>
  <c r="V284" i="19"/>
  <c r="W284" i="19"/>
  <c r="X284" i="19"/>
  <c r="Z284" i="19"/>
  <c r="D282" i="32" s="1"/>
  <c r="AA284" i="19"/>
  <c r="D282" i="33" s="1"/>
  <c r="C285" i="19"/>
  <c r="D285" i="19"/>
  <c r="E285" i="19"/>
  <c r="F285" i="19"/>
  <c r="H285" i="19"/>
  <c r="I285" i="19"/>
  <c r="J285" i="19"/>
  <c r="K285" i="19"/>
  <c r="L285" i="19"/>
  <c r="M285" i="19"/>
  <c r="N285" i="19"/>
  <c r="P285" i="19"/>
  <c r="Q285" i="19"/>
  <c r="S285" i="19"/>
  <c r="V285" i="19"/>
  <c r="W285" i="19"/>
  <c r="X285" i="19"/>
  <c r="Z285" i="19"/>
  <c r="D283" i="32" s="1"/>
  <c r="AA285" i="19"/>
  <c r="D283" i="33" s="1"/>
  <c r="C286" i="19"/>
  <c r="D286" i="19"/>
  <c r="E286" i="19"/>
  <c r="F286" i="19"/>
  <c r="H286" i="19"/>
  <c r="I286" i="19"/>
  <c r="J286" i="19"/>
  <c r="K286" i="19"/>
  <c r="L286" i="19"/>
  <c r="M286" i="19"/>
  <c r="N286" i="19"/>
  <c r="P286" i="19"/>
  <c r="Q286" i="19"/>
  <c r="S286" i="19"/>
  <c r="V286" i="19"/>
  <c r="W286" i="19"/>
  <c r="X286" i="19"/>
  <c r="Z286" i="19"/>
  <c r="D284" i="32" s="1"/>
  <c r="AA286" i="19"/>
  <c r="D284" i="33" s="1"/>
  <c r="C287" i="19"/>
  <c r="D287" i="19"/>
  <c r="E287" i="19"/>
  <c r="F287" i="19"/>
  <c r="H287" i="19"/>
  <c r="I287" i="19"/>
  <c r="J287" i="19"/>
  <c r="K287" i="19"/>
  <c r="L287" i="19"/>
  <c r="M287" i="19"/>
  <c r="N287" i="19"/>
  <c r="P287" i="19"/>
  <c r="O287" i="19" s="1"/>
  <c r="Q287" i="19"/>
  <c r="S287" i="19"/>
  <c r="V287" i="19"/>
  <c r="W287" i="19"/>
  <c r="X287" i="19"/>
  <c r="Z287" i="19"/>
  <c r="D285" i="32" s="1"/>
  <c r="AA287" i="19"/>
  <c r="D285" i="33" s="1"/>
  <c r="C288" i="19"/>
  <c r="D288" i="19"/>
  <c r="E288" i="19"/>
  <c r="F288" i="19"/>
  <c r="H288" i="19"/>
  <c r="I288" i="19"/>
  <c r="J288" i="19"/>
  <c r="K288" i="19"/>
  <c r="L288" i="19"/>
  <c r="M288" i="19"/>
  <c r="N288" i="19"/>
  <c r="P288" i="19"/>
  <c r="Q288" i="19"/>
  <c r="S288" i="19"/>
  <c r="V288" i="19"/>
  <c r="W288" i="19"/>
  <c r="X288" i="19"/>
  <c r="Z288" i="19"/>
  <c r="D286" i="32" s="1"/>
  <c r="AA288" i="19"/>
  <c r="D286" i="33" s="1"/>
  <c r="C289" i="19"/>
  <c r="D289" i="19"/>
  <c r="E289" i="19"/>
  <c r="F289" i="19"/>
  <c r="H289" i="19"/>
  <c r="I289" i="19"/>
  <c r="J289" i="19"/>
  <c r="K289" i="19"/>
  <c r="L289" i="19"/>
  <c r="M289" i="19"/>
  <c r="N289" i="19"/>
  <c r="P289" i="19"/>
  <c r="Q289" i="19"/>
  <c r="S289" i="19"/>
  <c r="V289" i="19"/>
  <c r="W289" i="19"/>
  <c r="X289" i="19"/>
  <c r="Z289" i="19"/>
  <c r="D287" i="32" s="1"/>
  <c r="AA289" i="19"/>
  <c r="D287" i="33" s="1"/>
  <c r="C290" i="19"/>
  <c r="D290" i="19"/>
  <c r="E290" i="19"/>
  <c r="F290" i="19"/>
  <c r="H290" i="19"/>
  <c r="I290" i="19"/>
  <c r="J290" i="19"/>
  <c r="K290" i="19"/>
  <c r="L290" i="19"/>
  <c r="M290" i="19"/>
  <c r="N290" i="19"/>
  <c r="P290" i="19"/>
  <c r="Q290" i="19"/>
  <c r="S290" i="19"/>
  <c r="V290" i="19"/>
  <c r="W290" i="19"/>
  <c r="X290" i="19"/>
  <c r="Z290" i="19"/>
  <c r="D288" i="32" s="1"/>
  <c r="AA290" i="19"/>
  <c r="D288" i="33" s="1"/>
  <c r="C291" i="19"/>
  <c r="D291" i="19"/>
  <c r="E291" i="19"/>
  <c r="F291" i="19"/>
  <c r="H291" i="19"/>
  <c r="I291" i="19"/>
  <c r="J291" i="19"/>
  <c r="K291" i="19"/>
  <c r="L291" i="19"/>
  <c r="M291" i="19"/>
  <c r="N291" i="19"/>
  <c r="P291" i="19"/>
  <c r="Q291" i="19"/>
  <c r="S291" i="19"/>
  <c r="V291" i="19"/>
  <c r="W291" i="19"/>
  <c r="X291" i="19"/>
  <c r="Z291" i="19"/>
  <c r="D289" i="32" s="1"/>
  <c r="AA291" i="19"/>
  <c r="D289" i="33" s="1"/>
  <c r="C292" i="19"/>
  <c r="D292" i="19"/>
  <c r="E292" i="19"/>
  <c r="F292" i="19"/>
  <c r="H292" i="19"/>
  <c r="I292" i="19"/>
  <c r="J292" i="19"/>
  <c r="K292" i="19"/>
  <c r="L292" i="19"/>
  <c r="M292" i="19"/>
  <c r="N292" i="19"/>
  <c r="P292" i="19"/>
  <c r="Q292" i="19"/>
  <c r="S292" i="19"/>
  <c r="V292" i="19"/>
  <c r="W292" i="19"/>
  <c r="X292" i="19"/>
  <c r="Z292" i="19"/>
  <c r="D290" i="32" s="1"/>
  <c r="AA292" i="19"/>
  <c r="D290" i="33" s="1"/>
  <c r="C293" i="19"/>
  <c r="D293" i="19"/>
  <c r="E293" i="19"/>
  <c r="F293" i="19"/>
  <c r="H293" i="19"/>
  <c r="I293" i="19"/>
  <c r="J293" i="19"/>
  <c r="K293" i="19"/>
  <c r="L293" i="19"/>
  <c r="M293" i="19"/>
  <c r="N293" i="19"/>
  <c r="P293" i="19"/>
  <c r="Q293" i="19"/>
  <c r="S293" i="19"/>
  <c r="V293" i="19"/>
  <c r="W293" i="19"/>
  <c r="X293" i="19"/>
  <c r="Z293" i="19"/>
  <c r="D291" i="32" s="1"/>
  <c r="AA293" i="19"/>
  <c r="D291" i="33" s="1"/>
  <c r="C294" i="19"/>
  <c r="D294" i="19"/>
  <c r="E294" i="19"/>
  <c r="F294" i="19"/>
  <c r="H294" i="19"/>
  <c r="I294" i="19"/>
  <c r="J294" i="19"/>
  <c r="K294" i="19"/>
  <c r="L294" i="19"/>
  <c r="M294" i="19"/>
  <c r="N294" i="19"/>
  <c r="P294" i="19"/>
  <c r="Q294" i="19"/>
  <c r="S294" i="19"/>
  <c r="V294" i="19"/>
  <c r="W294" i="19"/>
  <c r="X294" i="19"/>
  <c r="Z294" i="19"/>
  <c r="D292" i="32" s="1"/>
  <c r="AA294" i="19"/>
  <c r="D292" i="33" s="1"/>
  <c r="C295" i="19"/>
  <c r="D295" i="19"/>
  <c r="E295" i="19"/>
  <c r="F295" i="19"/>
  <c r="H295" i="19"/>
  <c r="I295" i="19"/>
  <c r="J295" i="19"/>
  <c r="K295" i="19"/>
  <c r="L295" i="19"/>
  <c r="M295" i="19"/>
  <c r="N295" i="19"/>
  <c r="P295" i="19"/>
  <c r="O295" i="19" s="1"/>
  <c r="Q295" i="19"/>
  <c r="S295" i="19"/>
  <c r="V295" i="19"/>
  <c r="W295" i="19"/>
  <c r="X295" i="19"/>
  <c r="Z295" i="19"/>
  <c r="D293" i="32" s="1"/>
  <c r="AA295" i="19"/>
  <c r="D293" i="33" s="1"/>
  <c r="C296" i="19"/>
  <c r="D296" i="19"/>
  <c r="E296" i="19"/>
  <c r="F296" i="19"/>
  <c r="H296" i="19"/>
  <c r="I296" i="19"/>
  <c r="J296" i="19"/>
  <c r="K296" i="19"/>
  <c r="L296" i="19"/>
  <c r="M296" i="19"/>
  <c r="N296" i="19"/>
  <c r="P296" i="19"/>
  <c r="Q296" i="19"/>
  <c r="S296" i="19"/>
  <c r="V296" i="19"/>
  <c r="W296" i="19"/>
  <c r="X296" i="19"/>
  <c r="Z296" i="19"/>
  <c r="D294" i="32" s="1"/>
  <c r="AA296" i="19"/>
  <c r="D294" i="33" s="1"/>
  <c r="C297" i="19"/>
  <c r="D297" i="19"/>
  <c r="E297" i="19"/>
  <c r="F297" i="19"/>
  <c r="H297" i="19"/>
  <c r="I297" i="19"/>
  <c r="J297" i="19"/>
  <c r="K297" i="19"/>
  <c r="L297" i="19"/>
  <c r="M297" i="19"/>
  <c r="N297" i="19"/>
  <c r="P297" i="19"/>
  <c r="Q297" i="19"/>
  <c r="S297" i="19"/>
  <c r="V297" i="19"/>
  <c r="W297" i="19"/>
  <c r="X297" i="19"/>
  <c r="Z297" i="19"/>
  <c r="D295" i="32" s="1"/>
  <c r="AA297" i="19"/>
  <c r="D295" i="33" s="1"/>
  <c r="C298" i="19"/>
  <c r="D298" i="19"/>
  <c r="E298" i="19"/>
  <c r="F298" i="19"/>
  <c r="H298" i="19"/>
  <c r="I298" i="19"/>
  <c r="J298" i="19"/>
  <c r="K298" i="19"/>
  <c r="L298" i="19"/>
  <c r="M298" i="19"/>
  <c r="N298" i="19"/>
  <c r="P298" i="19"/>
  <c r="Q298" i="19"/>
  <c r="S298" i="19"/>
  <c r="V298" i="19"/>
  <c r="W298" i="19"/>
  <c r="X298" i="19"/>
  <c r="Z298" i="19"/>
  <c r="D296" i="32" s="1"/>
  <c r="AA298" i="19"/>
  <c r="D296" i="33" s="1"/>
  <c r="C299" i="19"/>
  <c r="D299" i="19"/>
  <c r="E299" i="19"/>
  <c r="F299" i="19"/>
  <c r="H299" i="19"/>
  <c r="I299" i="19"/>
  <c r="J299" i="19"/>
  <c r="K299" i="19"/>
  <c r="L299" i="19"/>
  <c r="M299" i="19"/>
  <c r="N299" i="19"/>
  <c r="P299" i="19"/>
  <c r="Q299" i="19"/>
  <c r="S299" i="19"/>
  <c r="V299" i="19"/>
  <c r="W299" i="19"/>
  <c r="X299" i="19"/>
  <c r="Z299" i="19"/>
  <c r="D297" i="32" s="1"/>
  <c r="AA299" i="19"/>
  <c r="D297" i="33" s="1"/>
  <c r="C300" i="19"/>
  <c r="D300" i="19"/>
  <c r="E300" i="19"/>
  <c r="F300" i="19"/>
  <c r="H300" i="19"/>
  <c r="I300" i="19"/>
  <c r="J300" i="19"/>
  <c r="K300" i="19"/>
  <c r="L300" i="19"/>
  <c r="M300" i="19"/>
  <c r="N300" i="19"/>
  <c r="P300" i="19"/>
  <c r="Q300" i="19"/>
  <c r="S300" i="19"/>
  <c r="V300" i="19"/>
  <c r="W300" i="19"/>
  <c r="X300" i="19"/>
  <c r="Z300" i="19"/>
  <c r="D298" i="32" s="1"/>
  <c r="AA300" i="19"/>
  <c r="D298" i="33" s="1"/>
  <c r="C301" i="19"/>
  <c r="D301" i="19"/>
  <c r="E301" i="19"/>
  <c r="F301" i="19"/>
  <c r="H301" i="19"/>
  <c r="I301" i="19"/>
  <c r="J301" i="19"/>
  <c r="K301" i="19"/>
  <c r="L301" i="19"/>
  <c r="M301" i="19"/>
  <c r="N301" i="19"/>
  <c r="P301" i="19"/>
  <c r="Q301" i="19"/>
  <c r="S301" i="19"/>
  <c r="V301" i="19"/>
  <c r="W301" i="19"/>
  <c r="X301" i="19"/>
  <c r="Z301" i="19"/>
  <c r="D299" i="32" s="1"/>
  <c r="AA301" i="19"/>
  <c r="D299" i="33" s="1"/>
  <c r="C302" i="19"/>
  <c r="D302" i="19"/>
  <c r="E302" i="19"/>
  <c r="F302" i="19"/>
  <c r="H302" i="19"/>
  <c r="I302" i="19"/>
  <c r="J302" i="19"/>
  <c r="K302" i="19"/>
  <c r="L302" i="19"/>
  <c r="M302" i="19"/>
  <c r="N302" i="19"/>
  <c r="P302" i="19"/>
  <c r="Q302" i="19"/>
  <c r="S302" i="19"/>
  <c r="V302" i="19"/>
  <c r="W302" i="19"/>
  <c r="X302" i="19"/>
  <c r="Z302" i="19"/>
  <c r="D300" i="32" s="1"/>
  <c r="AA302" i="19"/>
  <c r="D300" i="33" s="1"/>
  <c r="C303" i="19"/>
  <c r="D303" i="19"/>
  <c r="E303" i="19"/>
  <c r="F303" i="19"/>
  <c r="H303" i="19"/>
  <c r="I303" i="19"/>
  <c r="J303" i="19"/>
  <c r="K303" i="19"/>
  <c r="L303" i="19"/>
  <c r="M303" i="19"/>
  <c r="N303" i="19"/>
  <c r="P303" i="19"/>
  <c r="O303" i="19" s="1"/>
  <c r="Q303" i="19"/>
  <c r="S303" i="19"/>
  <c r="V303" i="19"/>
  <c r="W303" i="19"/>
  <c r="X303" i="19"/>
  <c r="Z303" i="19"/>
  <c r="D301" i="32" s="1"/>
  <c r="AA303" i="19"/>
  <c r="D301" i="33" s="1"/>
  <c r="C304" i="19"/>
  <c r="D304" i="19"/>
  <c r="E304" i="19"/>
  <c r="F304" i="19"/>
  <c r="H304" i="19"/>
  <c r="I304" i="19"/>
  <c r="J304" i="19"/>
  <c r="K304" i="19"/>
  <c r="L304" i="19"/>
  <c r="M304" i="19"/>
  <c r="N304" i="19"/>
  <c r="P304" i="19"/>
  <c r="Q304" i="19"/>
  <c r="S304" i="19"/>
  <c r="V304" i="19"/>
  <c r="W304" i="19"/>
  <c r="X304" i="19"/>
  <c r="Z304" i="19"/>
  <c r="D302" i="32" s="1"/>
  <c r="AA304" i="19"/>
  <c r="D302" i="33" s="1"/>
  <c r="C305" i="19"/>
  <c r="D305" i="19"/>
  <c r="E305" i="19"/>
  <c r="F305" i="19"/>
  <c r="H305" i="19"/>
  <c r="I305" i="19"/>
  <c r="J305" i="19"/>
  <c r="K305" i="19"/>
  <c r="L305" i="19"/>
  <c r="M305" i="19"/>
  <c r="N305" i="19"/>
  <c r="P305" i="19"/>
  <c r="Q305" i="19"/>
  <c r="S305" i="19"/>
  <c r="V305" i="19"/>
  <c r="W305" i="19"/>
  <c r="X305" i="19"/>
  <c r="Z305" i="19"/>
  <c r="D303" i="32" s="1"/>
  <c r="AA305" i="19"/>
  <c r="D303" i="33" s="1"/>
  <c r="C306" i="19"/>
  <c r="D306" i="19"/>
  <c r="E306" i="19"/>
  <c r="F306" i="19"/>
  <c r="H306" i="19"/>
  <c r="I306" i="19"/>
  <c r="J306" i="19"/>
  <c r="K306" i="19"/>
  <c r="L306" i="19"/>
  <c r="M306" i="19"/>
  <c r="N306" i="19"/>
  <c r="P306" i="19"/>
  <c r="Q306" i="19"/>
  <c r="S306" i="19"/>
  <c r="V306" i="19"/>
  <c r="W306" i="19"/>
  <c r="X306" i="19"/>
  <c r="Z306" i="19"/>
  <c r="D304" i="32" s="1"/>
  <c r="AA306" i="19"/>
  <c r="D304" i="33" s="1"/>
  <c r="C307" i="19"/>
  <c r="D307" i="19"/>
  <c r="E307" i="19"/>
  <c r="F307" i="19"/>
  <c r="H307" i="19"/>
  <c r="I307" i="19"/>
  <c r="J307" i="19"/>
  <c r="K307" i="19"/>
  <c r="L307" i="19"/>
  <c r="M307" i="19"/>
  <c r="N307" i="19"/>
  <c r="P307" i="19"/>
  <c r="O307" i="19" s="1"/>
  <c r="Q307" i="19"/>
  <c r="S307" i="19"/>
  <c r="V307" i="19"/>
  <c r="W307" i="19"/>
  <c r="X307" i="19"/>
  <c r="Z307" i="19"/>
  <c r="D305" i="32" s="1"/>
  <c r="AA307" i="19"/>
  <c r="D305" i="33" s="1"/>
  <c r="C308" i="19"/>
  <c r="D308" i="19"/>
  <c r="E308" i="19"/>
  <c r="F308" i="19"/>
  <c r="H308" i="19"/>
  <c r="I308" i="19"/>
  <c r="J308" i="19"/>
  <c r="K308" i="19"/>
  <c r="L308" i="19"/>
  <c r="M308" i="19"/>
  <c r="N308" i="19"/>
  <c r="P308" i="19"/>
  <c r="Q308" i="19"/>
  <c r="S308" i="19"/>
  <c r="V308" i="19"/>
  <c r="W308" i="19"/>
  <c r="X308" i="19"/>
  <c r="Z308" i="19"/>
  <c r="D306" i="32" s="1"/>
  <c r="AA308" i="19"/>
  <c r="D306" i="33" s="1"/>
  <c r="C309" i="19"/>
  <c r="D309" i="19"/>
  <c r="E309" i="19"/>
  <c r="F309" i="19"/>
  <c r="H309" i="19"/>
  <c r="I309" i="19"/>
  <c r="J309" i="19"/>
  <c r="K309" i="19"/>
  <c r="L309" i="19"/>
  <c r="M309" i="19"/>
  <c r="N309" i="19"/>
  <c r="P309" i="19"/>
  <c r="Q309" i="19"/>
  <c r="S309" i="19"/>
  <c r="V309" i="19"/>
  <c r="W309" i="19"/>
  <c r="X309" i="19"/>
  <c r="Z309" i="19"/>
  <c r="D307" i="32" s="1"/>
  <c r="AA309" i="19"/>
  <c r="D307" i="33" s="1"/>
  <c r="C310" i="19"/>
  <c r="D310" i="19"/>
  <c r="E310" i="19"/>
  <c r="F310" i="19"/>
  <c r="H310" i="19"/>
  <c r="I310" i="19"/>
  <c r="J310" i="19"/>
  <c r="K310" i="19"/>
  <c r="L310" i="19"/>
  <c r="M310" i="19"/>
  <c r="N310" i="19"/>
  <c r="P310" i="19"/>
  <c r="Q310" i="19"/>
  <c r="S310" i="19"/>
  <c r="V310" i="19"/>
  <c r="W310" i="19"/>
  <c r="X310" i="19"/>
  <c r="Z310" i="19"/>
  <c r="D308" i="32" s="1"/>
  <c r="AA310" i="19"/>
  <c r="D308" i="33" s="1"/>
  <c r="C311" i="19"/>
  <c r="D311" i="19"/>
  <c r="E311" i="19"/>
  <c r="F311" i="19"/>
  <c r="H311" i="19"/>
  <c r="I311" i="19"/>
  <c r="J311" i="19"/>
  <c r="K311" i="19"/>
  <c r="L311" i="19"/>
  <c r="M311" i="19"/>
  <c r="N311" i="19"/>
  <c r="P311" i="19"/>
  <c r="Q311" i="19"/>
  <c r="S311" i="19"/>
  <c r="V311" i="19"/>
  <c r="W311" i="19"/>
  <c r="X311" i="19"/>
  <c r="Z311" i="19"/>
  <c r="D309" i="32" s="1"/>
  <c r="AA311" i="19"/>
  <c r="D309" i="33" s="1"/>
  <c r="C312" i="19"/>
  <c r="D312" i="19"/>
  <c r="E312" i="19"/>
  <c r="F312" i="19"/>
  <c r="H312" i="19"/>
  <c r="I312" i="19"/>
  <c r="J312" i="19"/>
  <c r="K312" i="19"/>
  <c r="L312" i="19"/>
  <c r="M312" i="19"/>
  <c r="N312" i="19"/>
  <c r="P312" i="19"/>
  <c r="Q312" i="19"/>
  <c r="S312" i="19"/>
  <c r="V312" i="19"/>
  <c r="W312" i="19"/>
  <c r="X312" i="19"/>
  <c r="Z312" i="19"/>
  <c r="D310" i="32" s="1"/>
  <c r="AA312" i="19"/>
  <c r="D310" i="33" s="1"/>
  <c r="C313" i="19"/>
  <c r="D313" i="19"/>
  <c r="E313" i="19"/>
  <c r="F313" i="19"/>
  <c r="H313" i="19"/>
  <c r="I313" i="19"/>
  <c r="J313" i="19"/>
  <c r="K313" i="19"/>
  <c r="L313" i="19"/>
  <c r="M313" i="19"/>
  <c r="N313" i="19"/>
  <c r="P313" i="19"/>
  <c r="Q313" i="19"/>
  <c r="S313" i="19"/>
  <c r="V313" i="19"/>
  <c r="W313" i="19"/>
  <c r="X313" i="19"/>
  <c r="Z313" i="19"/>
  <c r="D311" i="32" s="1"/>
  <c r="AA313" i="19"/>
  <c r="D311" i="33" s="1"/>
  <c r="C314" i="19"/>
  <c r="D314" i="19"/>
  <c r="E314" i="19"/>
  <c r="F314" i="19"/>
  <c r="H314" i="19"/>
  <c r="I314" i="19"/>
  <c r="J314" i="19"/>
  <c r="K314" i="19"/>
  <c r="L314" i="19"/>
  <c r="M314" i="19"/>
  <c r="N314" i="19"/>
  <c r="P314" i="19"/>
  <c r="Q314" i="19"/>
  <c r="S314" i="19"/>
  <c r="V314" i="19"/>
  <c r="W314" i="19"/>
  <c r="X314" i="19"/>
  <c r="Z314" i="19"/>
  <c r="D312" i="32" s="1"/>
  <c r="AA314" i="19"/>
  <c r="D312" i="33" s="1"/>
  <c r="C315" i="19"/>
  <c r="D315" i="19"/>
  <c r="E315" i="19"/>
  <c r="F315" i="19"/>
  <c r="H315" i="19"/>
  <c r="I315" i="19"/>
  <c r="J315" i="19"/>
  <c r="K315" i="19"/>
  <c r="L315" i="19"/>
  <c r="M315" i="19"/>
  <c r="N315" i="19"/>
  <c r="P315" i="19"/>
  <c r="Q315" i="19"/>
  <c r="S315" i="19"/>
  <c r="V315" i="19"/>
  <c r="W315" i="19"/>
  <c r="X315" i="19"/>
  <c r="Z315" i="19"/>
  <c r="D313" i="32" s="1"/>
  <c r="AA315" i="19"/>
  <c r="D313" i="33" s="1"/>
  <c r="Y103" i="19" l="1"/>
  <c r="C101" i="32" s="1"/>
  <c r="Y80" i="19"/>
  <c r="C78" i="32" s="1"/>
  <c r="E78" i="32" s="1"/>
  <c r="Y64" i="19"/>
  <c r="C62" i="32" s="1"/>
  <c r="E62" i="32" s="1"/>
  <c r="O64" i="19"/>
  <c r="R64" i="19" s="1"/>
  <c r="U64" i="19" s="1"/>
  <c r="O60" i="19"/>
  <c r="O312" i="19"/>
  <c r="O308" i="19"/>
  <c r="O12" i="19"/>
  <c r="R12" i="19" s="1"/>
  <c r="U12" i="19" s="1"/>
  <c r="Y134" i="19"/>
  <c r="C132" i="32" s="1"/>
  <c r="E132" i="32" s="1"/>
  <c r="O309" i="19"/>
  <c r="G308" i="19"/>
  <c r="T308" i="19" s="1"/>
  <c r="Y292" i="19"/>
  <c r="C290" i="32" s="1"/>
  <c r="E290" i="32" s="1"/>
  <c r="O292" i="19"/>
  <c r="Y291" i="19"/>
  <c r="C289" i="32" s="1"/>
  <c r="E289" i="32" s="1"/>
  <c r="O280" i="19"/>
  <c r="O276" i="19"/>
  <c r="O257" i="19"/>
  <c r="Y239" i="19"/>
  <c r="C237" i="32" s="1"/>
  <c r="E237" i="32" s="1"/>
  <c r="Y219" i="19"/>
  <c r="C217" i="32" s="1"/>
  <c r="E217" i="32" s="1"/>
  <c r="O197" i="19"/>
  <c r="O196" i="19"/>
  <c r="O152" i="19"/>
  <c r="O140" i="19"/>
  <c r="O136" i="19"/>
  <c r="O132" i="19"/>
  <c r="O128" i="19"/>
  <c r="O113" i="19"/>
  <c r="O101" i="19"/>
  <c r="O97" i="19"/>
  <c r="O85" i="19"/>
  <c r="O235" i="19"/>
  <c r="O231" i="19"/>
  <c r="O223" i="19"/>
  <c r="O114" i="19"/>
  <c r="O110" i="19"/>
  <c r="O106" i="19"/>
  <c r="O70" i="19"/>
  <c r="O66" i="19"/>
  <c r="O62" i="19"/>
  <c r="Y14" i="19"/>
  <c r="C12" i="32" s="1"/>
  <c r="E12" i="32" s="1"/>
  <c r="Y302" i="19"/>
  <c r="C300" i="32" s="1"/>
  <c r="E300" i="32" s="1"/>
  <c r="Y286" i="19"/>
  <c r="C284" i="32" s="1"/>
  <c r="E284" i="32" s="1"/>
  <c r="Y282" i="19"/>
  <c r="C280" i="32" s="1"/>
  <c r="E280" i="32" s="1"/>
  <c r="Y270" i="19"/>
  <c r="C268" i="32" s="1"/>
  <c r="E268" i="32" s="1"/>
  <c r="Y122" i="19"/>
  <c r="C120" i="32" s="1"/>
  <c r="E120" i="32" s="1"/>
  <c r="E101" i="32"/>
  <c r="O290" i="19"/>
  <c r="O274" i="19"/>
  <c r="R274" i="19" s="1"/>
  <c r="U274" i="19" s="1"/>
  <c r="G255" i="19"/>
  <c r="G251" i="19"/>
  <c r="R251" i="19" s="1"/>
  <c r="U251" i="19" s="1"/>
  <c r="Y240" i="19"/>
  <c r="C238" i="32" s="1"/>
  <c r="E238" i="32" s="1"/>
  <c r="O181" i="19"/>
  <c r="R181" i="19" s="1"/>
  <c r="U181" i="19" s="1"/>
  <c r="O177" i="19"/>
  <c r="O169" i="19"/>
  <c r="Y164" i="19"/>
  <c r="C162" i="32" s="1"/>
  <c r="E162" i="32" s="1"/>
  <c r="O161" i="19"/>
  <c r="Y152" i="19"/>
  <c r="C150" i="32" s="1"/>
  <c r="E150" i="32" s="1"/>
  <c r="O149" i="19"/>
  <c r="O145" i="19"/>
  <c r="O125" i="19"/>
  <c r="G124" i="19"/>
  <c r="Y120" i="19"/>
  <c r="C118" i="32" s="1"/>
  <c r="E118" i="32" s="1"/>
  <c r="O120" i="19"/>
  <c r="Y119" i="19"/>
  <c r="C117" i="32" s="1"/>
  <c r="E117" i="32" s="1"/>
  <c r="O116" i="19"/>
  <c r="O104" i="19"/>
  <c r="Y79" i="19"/>
  <c r="C77" i="32" s="1"/>
  <c r="E77" i="32" s="1"/>
  <c r="O52" i="19"/>
  <c r="O40" i="19"/>
  <c r="O36" i="19"/>
  <c r="O32" i="19"/>
  <c r="O28" i="19"/>
  <c r="R28" i="19" s="1"/>
  <c r="U28" i="19" s="1"/>
  <c r="O24" i="19"/>
  <c r="O20" i="19"/>
  <c r="Y261" i="19"/>
  <c r="C259" i="32" s="1"/>
  <c r="E259" i="32" s="1"/>
  <c r="O198" i="19"/>
  <c r="O174" i="19"/>
  <c r="Y171" i="19"/>
  <c r="C169" i="32" s="1"/>
  <c r="E169" i="32" s="1"/>
  <c r="O167" i="19"/>
  <c r="O163" i="19"/>
  <c r="R163" i="19" s="1"/>
  <c r="U163" i="19" s="1"/>
  <c r="Y153" i="19"/>
  <c r="C151" i="32" s="1"/>
  <c r="E151" i="32" s="1"/>
  <c r="G148" i="19"/>
  <c r="T148" i="19" s="1"/>
  <c r="O54" i="19"/>
  <c r="O45" i="19"/>
  <c r="R45" i="19" s="1"/>
  <c r="U45" i="19" s="1"/>
  <c r="G16" i="19"/>
  <c r="G15" i="19"/>
  <c r="T15" i="19" s="1"/>
  <c r="O8" i="19"/>
  <c r="Y210" i="19"/>
  <c r="C208" i="32" s="1"/>
  <c r="E208" i="32" s="1"/>
  <c r="Y187" i="19"/>
  <c r="C185" i="32" s="1"/>
  <c r="E185" i="32" s="1"/>
  <c r="O107" i="19"/>
  <c r="G52" i="19"/>
  <c r="Y42" i="19"/>
  <c r="C40" i="32" s="1"/>
  <c r="E40" i="32" s="1"/>
  <c r="G40" i="19"/>
  <c r="T40" i="19" s="1"/>
  <c r="Y34" i="19"/>
  <c r="C32" i="32" s="1"/>
  <c r="E32" i="32" s="1"/>
  <c r="Y30" i="19"/>
  <c r="C28" i="32" s="1"/>
  <c r="E28" i="32" s="1"/>
  <c r="O310" i="19"/>
  <c r="R310" i="19" s="1"/>
  <c r="U310" i="19" s="1"/>
  <c r="G310" i="19"/>
  <c r="O296" i="19"/>
  <c r="G264" i="19"/>
  <c r="Y262" i="19"/>
  <c r="C260" i="32" s="1"/>
  <c r="E260" i="32" s="1"/>
  <c r="G260" i="19"/>
  <c r="T260" i="19" s="1"/>
  <c r="O249" i="19"/>
  <c r="O229" i="19"/>
  <c r="G213" i="19"/>
  <c r="T213" i="19" s="1"/>
  <c r="G205" i="19"/>
  <c r="T205" i="19" s="1"/>
  <c r="Y199" i="19"/>
  <c r="C197" i="32" s="1"/>
  <c r="E197" i="32" s="1"/>
  <c r="G173" i="19"/>
  <c r="T173" i="19" s="1"/>
  <c r="G172" i="19"/>
  <c r="T172" i="19" s="1"/>
  <c r="Y169" i="19"/>
  <c r="C167" i="32" s="1"/>
  <c r="E167" i="32" s="1"/>
  <c r="O150" i="19"/>
  <c r="G144" i="19"/>
  <c r="O138" i="19"/>
  <c r="R138" i="19" s="1"/>
  <c r="U138" i="19" s="1"/>
  <c r="G135" i="19"/>
  <c r="Y132" i="19"/>
  <c r="C130" i="32" s="1"/>
  <c r="E130" i="32" s="1"/>
  <c r="Y111" i="19"/>
  <c r="C109" i="32" s="1"/>
  <c r="E109" i="32" s="1"/>
  <c r="O102" i="19"/>
  <c r="O98" i="19"/>
  <c r="O91" i="19"/>
  <c r="O86" i="19"/>
  <c r="G80" i="19"/>
  <c r="T80" i="19" s="1"/>
  <c r="Y77" i="19"/>
  <c r="C75" i="32" s="1"/>
  <c r="E75" i="32" s="1"/>
  <c r="O77" i="19"/>
  <c r="O73" i="19"/>
  <c r="O69" i="19"/>
  <c r="O61" i="19"/>
  <c r="O53" i="19"/>
  <c r="O51" i="19"/>
  <c r="Y46" i="19"/>
  <c r="C44" i="32" s="1"/>
  <c r="E44" i="32" s="1"/>
  <c r="G46" i="19"/>
  <c r="G45" i="19"/>
  <c r="T45" i="19" s="1"/>
  <c r="O44" i="19"/>
  <c r="O43" i="19"/>
  <c r="O15" i="19"/>
  <c r="G8" i="19"/>
  <c r="T8" i="19" s="1"/>
  <c r="T124" i="19"/>
  <c r="Y40" i="19"/>
  <c r="C38" i="32" s="1"/>
  <c r="E38" i="32" s="1"/>
  <c r="Y32" i="19"/>
  <c r="C30" i="32" s="1"/>
  <c r="E30" i="32" s="1"/>
  <c r="Y31" i="19"/>
  <c r="C29" i="32" s="1"/>
  <c r="E29" i="32" s="1"/>
  <c r="Y28" i="19"/>
  <c r="C26" i="32" s="1"/>
  <c r="E26" i="32" s="1"/>
  <c r="Y20" i="19"/>
  <c r="C18" i="32" s="1"/>
  <c r="E18" i="32" s="1"/>
  <c r="O297" i="19"/>
  <c r="G296" i="19"/>
  <c r="T296" i="19" s="1"/>
  <c r="O273" i="19"/>
  <c r="G272" i="19"/>
  <c r="T272" i="19" s="1"/>
  <c r="G271" i="19"/>
  <c r="Y268" i="19"/>
  <c r="C266" i="32" s="1"/>
  <c r="E266" i="32" s="1"/>
  <c r="O268" i="19"/>
  <c r="O264" i="19"/>
  <c r="Y255" i="19"/>
  <c r="C253" i="32" s="1"/>
  <c r="E253" i="32" s="1"/>
  <c r="Y253" i="19"/>
  <c r="C251" i="32" s="1"/>
  <c r="E251" i="32" s="1"/>
  <c r="G253" i="19"/>
  <c r="O234" i="19"/>
  <c r="O230" i="19"/>
  <c r="G225" i="19"/>
  <c r="T225" i="19" s="1"/>
  <c r="G220" i="19"/>
  <c r="Y217" i="19"/>
  <c r="C215" i="32" s="1"/>
  <c r="E215" i="32" s="1"/>
  <c r="O217" i="19"/>
  <c r="O213" i="19"/>
  <c r="Y192" i="19"/>
  <c r="C190" i="32" s="1"/>
  <c r="E190" i="32" s="1"/>
  <c r="O189" i="19"/>
  <c r="Y183" i="19"/>
  <c r="C181" i="32" s="1"/>
  <c r="E181" i="32" s="1"/>
  <c r="G161" i="19"/>
  <c r="Y159" i="19"/>
  <c r="C157" i="32" s="1"/>
  <c r="E157" i="32" s="1"/>
  <c r="Y158" i="19"/>
  <c r="C156" i="32" s="1"/>
  <c r="E156" i="32" s="1"/>
  <c r="O144" i="19"/>
  <c r="O143" i="19"/>
  <c r="O118" i="19"/>
  <c r="O88" i="19"/>
  <c r="Y87" i="19"/>
  <c r="C85" i="32" s="1"/>
  <c r="E85" i="32" s="1"/>
  <c r="G69" i="19"/>
  <c r="Y67" i="19"/>
  <c r="C65" i="32" s="1"/>
  <c r="E65" i="32" s="1"/>
  <c r="Y66" i="19"/>
  <c r="C64" i="32" s="1"/>
  <c r="E64" i="32" s="1"/>
  <c r="G65" i="19"/>
  <c r="O63" i="19"/>
  <c r="O46" i="19"/>
  <c r="G300" i="19"/>
  <c r="T300" i="19" s="1"/>
  <c r="G280" i="19"/>
  <c r="O266" i="19"/>
  <c r="G259" i="19"/>
  <c r="G229" i="19"/>
  <c r="T229" i="19" s="1"/>
  <c r="O219" i="19"/>
  <c r="O215" i="19"/>
  <c r="O203" i="19"/>
  <c r="G197" i="19"/>
  <c r="T197" i="19" s="1"/>
  <c r="G193" i="19"/>
  <c r="T193" i="19" s="1"/>
  <c r="O191" i="19"/>
  <c r="G188" i="19"/>
  <c r="Y185" i="19"/>
  <c r="C183" i="32" s="1"/>
  <c r="E183" i="32" s="1"/>
  <c r="O185" i="19"/>
  <c r="Y139" i="19"/>
  <c r="C137" i="32" s="1"/>
  <c r="E137" i="32" s="1"/>
  <c r="Y130" i="19"/>
  <c r="C128" i="32" s="1"/>
  <c r="E128" i="32" s="1"/>
  <c r="G109" i="19"/>
  <c r="T109" i="19" s="1"/>
  <c r="G105" i="19"/>
  <c r="G104" i="19"/>
  <c r="O81" i="19"/>
  <c r="O76" i="19"/>
  <c r="G24" i="19"/>
  <c r="Y22" i="19"/>
  <c r="C20" i="32" s="1"/>
  <c r="E20" i="32" s="1"/>
  <c r="Y21" i="19"/>
  <c r="C19" i="32" s="1"/>
  <c r="E19" i="32" s="1"/>
  <c r="G20" i="19"/>
  <c r="T20" i="19" s="1"/>
  <c r="G123" i="19"/>
  <c r="O117" i="19"/>
  <c r="G115" i="19"/>
  <c r="O112" i="19"/>
  <c r="R112" i="19" s="1"/>
  <c r="U112" i="19" s="1"/>
  <c r="Y95" i="19"/>
  <c r="C93" i="32" s="1"/>
  <c r="E93" i="32" s="1"/>
  <c r="Y83" i="19"/>
  <c r="C81" i="32" s="1"/>
  <c r="E81" i="32" s="1"/>
  <c r="O74" i="19"/>
  <c r="O304" i="19"/>
  <c r="Y298" i="19"/>
  <c r="C296" i="32" s="1"/>
  <c r="E296" i="32" s="1"/>
  <c r="O289" i="19"/>
  <c r="G288" i="19"/>
  <c r="T288" i="19" s="1"/>
  <c r="G287" i="19"/>
  <c r="T287" i="19" s="1"/>
  <c r="Y284" i="19"/>
  <c r="C282" i="32" s="1"/>
  <c r="E282" i="32" s="1"/>
  <c r="O284" i="19"/>
  <c r="Y278" i="19"/>
  <c r="C276" i="32" s="1"/>
  <c r="E276" i="32" s="1"/>
  <c r="Y277" i="19"/>
  <c r="C275" i="32" s="1"/>
  <c r="E275" i="32" s="1"/>
  <c r="G276" i="19"/>
  <c r="T276" i="19" s="1"/>
  <c r="O265" i="19"/>
  <c r="O263" i="19"/>
  <c r="G247" i="19"/>
  <c r="T247" i="19" s="1"/>
  <c r="Y154" i="19"/>
  <c r="C152" i="32" s="1"/>
  <c r="E152" i="32" s="1"/>
  <c r="G150" i="19"/>
  <c r="R150" i="19" s="1"/>
  <c r="U150" i="19" s="1"/>
  <c r="Y146" i="19"/>
  <c r="C144" i="32" s="1"/>
  <c r="E144" i="32" s="1"/>
  <c r="G128" i="19"/>
  <c r="T128" i="19" s="1"/>
  <c r="O315" i="19"/>
  <c r="Y310" i="19"/>
  <c r="C308" i="32" s="1"/>
  <c r="E308" i="32" s="1"/>
  <c r="G303" i="19"/>
  <c r="Y300" i="19"/>
  <c r="C298" i="32" s="1"/>
  <c r="E298" i="32" s="1"/>
  <c r="O300" i="19"/>
  <c r="Y294" i="19"/>
  <c r="C292" i="32" s="1"/>
  <c r="E292" i="32" s="1"/>
  <c r="Y293" i="19"/>
  <c r="C291" i="32" s="1"/>
  <c r="E291" i="32" s="1"/>
  <c r="G292" i="19"/>
  <c r="T292" i="19" s="1"/>
  <c r="O282" i="19"/>
  <c r="O281" i="19"/>
  <c r="O279" i="19"/>
  <c r="Y274" i="19"/>
  <c r="C272" i="32" s="1"/>
  <c r="E272" i="32" s="1"/>
  <c r="G274" i="19"/>
  <c r="G273" i="19"/>
  <c r="T273" i="19" s="1"/>
  <c r="O272" i="19"/>
  <c r="O271" i="19"/>
  <c r="R271" i="19" s="1"/>
  <c r="U271" i="19" s="1"/>
  <c r="G268" i="19"/>
  <c r="T268" i="19" s="1"/>
  <c r="Y260" i="19"/>
  <c r="C258" i="32" s="1"/>
  <c r="E258" i="32" s="1"/>
  <c r="O260" i="19"/>
  <c r="Y259" i="19"/>
  <c r="C257" i="32" s="1"/>
  <c r="E257" i="32" s="1"/>
  <c r="Y257" i="19"/>
  <c r="C255" i="32" s="1"/>
  <c r="E255" i="32" s="1"/>
  <c r="G257" i="19"/>
  <c r="T257" i="19" s="1"/>
  <c r="O253" i="19"/>
  <c r="Y251" i="19"/>
  <c r="C249" i="32" s="1"/>
  <c r="E249" i="32" s="1"/>
  <c r="Y249" i="19"/>
  <c r="C247" i="32" s="1"/>
  <c r="E247" i="32" s="1"/>
  <c r="G249" i="19"/>
  <c r="T249" i="19" s="1"/>
  <c r="O242" i="19"/>
  <c r="G241" i="19"/>
  <c r="T241" i="19" s="1"/>
  <c r="G240" i="19"/>
  <c r="Y237" i="19"/>
  <c r="C235" i="32" s="1"/>
  <c r="E235" i="32" s="1"/>
  <c r="O237" i="19"/>
  <c r="Y233" i="19"/>
  <c r="C231" i="32" s="1"/>
  <c r="E231" i="32" s="1"/>
  <c r="O233" i="19"/>
  <c r="Y226" i="19"/>
  <c r="C224" i="32" s="1"/>
  <c r="E224" i="32" s="1"/>
  <c r="G221" i="19"/>
  <c r="T221" i="19" s="1"/>
  <c r="O214" i="19"/>
  <c r="O212" i="19"/>
  <c r="Y211" i="19"/>
  <c r="C209" i="32" s="1"/>
  <c r="E209" i="32" s="1"/>
  <c r="Y207" i="19"/>
  <c r="C205" i="32" s="1"/>
  <c r="E205" i="32" s="1"/>
  <c r="G207" i="19"/>
  <c r="G206" i="19"/>
  <c r="Y203" i="19"/>
  <c r="C201" i="32" s="1"/>
  <c r="E201" i="32" s="1"/>
  <c r="G181" i="19"/>
  <c r="Y179" i="19"/>
  <c r="C177" i="32" s="1"/>
  <c r="E177" i="32" s="1"/>
  <c r="Y178" i="19"/>
  <c r="C176" i="32" s="1"/>
  <c r="E176" i="32" s="1"/>
  <c r="G177" i="19"/>
  <c r="T177" i="19" s="1"/>
  <c r="O166" i="19"/>
  <c r="O162" i="19"/>
  <c r="O160" i="19"/>
  <c r="O156" i="19"/>
  <c r="G73" i="19"/>
  <c r="Y62" i="19"/>
  <c r="C60" i="32" s="1"/>
  <c r="E60" i="32" s="1"/>
  <c r="Y58" i="19"/>
  <c r="C56" i="32" s="1"/>
  <c r="E56" i="32" s="1"/>
  <c r="Y314" i="19"/>
  <c r="C312" i="32" s="1"/>
  <c r="E312" i="32" s="1"/>
  <c r="Y313" i="19"/>
  <c r="C311" i="32" s="1"/>
  <c r="E311" i="32" s="1"/>
  <c r="Y304" i="19"/>
  <c r="C302" i="32" s="1"/>
  <c r="E302" i="32" s="1"/>
  <c r="O245" i="19"/>
  <c r="G201" i="19"/>
  <c r="T201" i="19" s="1"/>
  <c r="Y312" i="19"/>
  <c r="C310" i="32" s="1"/>
  <c r="E310" i="32" s="1"/>
  <c r="Y306" i="19"/>
  <c r="C304" i="32" s="1"/>
  <c r="E304" i="32" s="1"/>
  <c r="Y305" i="19"/>
  <c r="C303" i="32" s="1"/>
  <c r="E303" i="32" s="1"/>
  <c r="O298" i="19"/>
  <c r="Y290" i="19"/>
  <c r="C288" i="32" s="1"/>
  <c r="E288" i="32" s="1"/>
  <c r="G290" i="19"/>
  <c r="R290" i="19" s="1"/>
  <c r="U290" i="19" s="1"/>
  <c r="G289" i="19"/>
  <c r="O288" i="19"/>
  <c r="G284" i="19"/>
  <c r="T284" i="19" s="1"/>
  <c r="Y276" i="19"/>
  <c r="C274" i="32" s="1"/>
  <c r="E274" i="32" s="1"/>
  <c r="Y275" i="19"/>
  <c r="C273" i="32" s="1"/>
  <c r="E273" i="32" s="1"/>
  <c r="Y266" i="19"/>
  <c r="C264" i="32" s="1"/>
  <c r="E264" i="32" s="1"/>
  <c r="G245" i="19"/>
  <c r="Y242" i="19"/>
  <c r="C240" i="32" s="1"/>
  <c r="E240" i="32" s="1"/>
  <c r="Y235" i="19"/>
  <c r="C233" i="32" s="1"/>
  <c r="E233" i="32" s="1"/>
  <c r="O228" i="19"/>
  <c r="Y227" i="19"/>
  <c r="C225" i="32" s="1"/>
  <c r="E225" i="32" s="1"/>
  <c r="Y223" i="19"/>
  <c r="C221" i="32" s="1"/>
  <c r="E221" i="32" s="1"/>
  <c r="G223" i="19"/>
  <c r="T223" i="19" s="1"/>
  <c r="G222" i="19"/>
  <c r="G217" i="19"/>
  <c r="T217" i="19" s="1"/>
  <c r="O209" i="19"/>
  <c r="Y208" i="19"/>
  <c r="C206" i="32" s="1"/>
  <c r="E206" i="32" s="1"/>
  <c r="O205" i="19"/>
  <c r="G36" i="19"/>
  <c r="G102" i="19"/>
  <c r="Y99" i="19"/>
  <c r="C97" i="32" s="1"/>
  <c r="E97" i="32" s="1"/>
  <c r="G99" i="19"/>
  <c r="O96" i="19"/>
  <c r="O94" i="19"/>
  <c r="G93" i="19"/>
  <c r="O90" i="19"/>
  <c r="G89" i="19"/>
  <c r="G88" i="19"/>
  <c r="T88" i="19" s="1"/>
  <c r="G86" i="19"/>
  <c r="O84" i="19"/>
  <c r="G81" i="19"/>
  <c r="O78" i="19"/>
  <c r="Y71" i="19"/>
  <c r="C69" i="32" s="1"/>
  <c r="E69" i="32" s="1"/>
  <c r="O71" i="19"/>
  <c r="Y70" i="19"/>
  <c r="C68" i="32" s="1"/>
  <c r="E68" i="32" s="1"/>
  <c r="G70" i="19"/>
  <c r="T70" i="19" s="1"/>
  <c r="O68" i="19"/>
  <c r="G62" i="19"/>
  <c r="R62" i="19" s="1"/>
  <c r="U62" i="19" s="1"/>
  <c r="O59" i="19"/>
  <c r="G56" i="19"/>
  <c r="T56" i="19" s="1"/>
  <c r="Y48" i="19"/>
  <c r="C46" i="32" s="1"/>
  <c r="E46" i="32" s="1"/>
  <c r="O48" i="19"/>
  <c r="Y47" i="19"/>
  <c r="C45" i="32" s="1"/>
  <c r="E45" i="32" s="1"/>
  <c r="Y38" i="19"/>
  <c r="C36" i="32" s="1"/>
  <c r="E36" i="32" s="1"/>
  <c r="O26" i="19"/>
  <c r="O25" i="19"/>
  <c r="O23" i="19"/>
  <c r="Y18" i="19"/>
  <c r="C16" i="32" s="1"/>
  <c r="E16" i="32" s="1"/>
  <c r="G18" i="19"/>
  <c r="O16" i="19"/>
  <c r="O10" i="19"/>
  <c r="O9" i="19"/>
  <c r="Y247" i="19"/>
  <c r="C245" i="32" s="1"/>
  <c r="E245" i="32" s="1"/>
  <c r="O246" i="19"/>
  <c r="O244" i="19"/>
  <c r="Y243" i="19"/>
  <c r="C241" i="32" s="1"/>
  <c r="E241" i="32" s="1"/>
  <c r="G243" i="19"/>
  <c r="G242" i="19"/>
  <c r="T242" i="19" s="1"/>
  <c r="O241" i="19"/>
  <c r="O240" i="19"/>
  <c r="G237" i="19"/>
  <c r="T237" i="19" s="1"/>
  <c r="G233" i="19"/>
  <c r="T233" i="19" s="1"/>
  <c r="O225" i="19"/>
  <c r="Y224" i="19"/>
  <c r="C222" i="32" s="1"/>
  <c r="E222" i="32" s="1"/>
  <c r="O221" i="19"/>
  <c r="R221" i="19" s="1"/>
  <c r="U221" i="19" s="1"/>
  <c r="Y215" i="19"/>
  <c r="C213" i="32" s="1"/>
  <c r="E213" i="32" s="1"/>
  <c r="G209" i="19"/>
  <c r="T209" i="19" s="1"/>
  <c r="O207" i="19"/>
  <c r="G204" i="19"/>
  <c r="T204" i="19" s="1"/>
  <c r="Y201" i="19"/>
  <c r="C199" i="32" s="1"/>
  <c r="E199" i="32" s="1"/>
  <c r="O201" i="19"/>
  <c r="Y194" i="19"/>
  <c r="C192" i="32" s="1"/>
  <c r="E192" i="32" s="1"/>
  <c r="G189" i="19"/>
  <c r="T189" i="19" s="1"/>
  <c r="O187" i="19"/>
  <c r="O183" i="19"/>
  <c r="O182" i="19"/>
  <c r="O180" i="19"/>
  <c r="Y175" i="19"/>
  <c r="C173" i="32" s="1"/>
  <c r="E173" i="32" s="1"/>
  <c r="G175" i="19"/>
  <c r="G174" i="19"/>
  <c r="T174" i="19" s="1"/>
  <c r="O173" i="19"/>
  <c r="O172" i="19"/>
  <c r="G169" i="19"/>
  <c r="T169" i="19" s="1"/>
  <c r="G165" i="19"/>
  <c r="T165" i="19" s="1"/>
  <c r="Y157" i="19"/>
  <c r="C155" i="32" s="1"/>
  <c r="E155" i="32" s="1"/>
  <c r="G155" i="19"/>
  <c r="T155" i="19" s="1"/>
  <c r="G154" i="19"/>
  <c r="G153" i="19"/>
  <c r="T153" i="19" s="1"/>
  <c r="G152" i="19"/>
  <c r="T152" i="19" s="1"/>
  <c r="O148" i="19"/>
  <c r="Y141" i="19"/>
  <c r="C139" i="32" s="1"/>
  <c r="E139" i="32" s="1"/>
  <c r="G140" i="19"/>
  <c r="T140" i="19" s="1"/>
  <c r="G136" i="19"/>
  <c r="T136" i="19" s="1"/>
  <c r="O134" i="19"/>
  <c r="O130" i="19"/>
  <c r="O129" i="19"/>
  <c r="O127" i="19"/>
  <c r="Y126" i="19"/>
  <c r="C124" i="32" s="1"/>
  <c r="E124" i="32" s="1"/>
  <c r="G126" i="19"/>
  <c r="G125" i="19"/>
  <c r="O124" i="19"/>
  <c r="R124" i="19" s="1"/>
  <c r="U124" i="19" s="1"/>
  <c r="O123" i="19"/>
  <c r="R123" i="19" s="1"/>
  <c r="U123" i="19" s="1"/>
  <c r="O80" i="19"/>
  <c r="G77" i="19"/>
  <c r="R77" i="19" s="1"/>
  <c r="U77" i="19" s="1"/>
  <c r="Y75" i="19"/>
  <c r="C73" i="32" s="1"/>
  <c r="E73" i="32" s="1"/>
  <c r="Y74" i="19"/>
  <c r="C72" i="32" s="1"/>
  <c r="E72" i="32" s="1"/>
  <c r="G74" i="19"/>
  <c r="O72" i="19"/>
  <c r="O65" i="19"/>
  <c r="G64" i="19"/>
  <c r="T64" i="19" s="1"/>
  <c r="G63" i="19"/>
  <c r="Y54" i="19"/>
  <c r="C52" i="32" s="1"/>
  <c r="E52" i="32" s="1"/>
  <c r="G44" i="19"/>
  <c r="T44" i="19" s="1"/>
  <c r="G43" i="19"/>
  <c r="T43" i="19" s="1"/>
  <c r="Y33" i="19"/>
  <c r="C31" i="32" s="1"/>
  <c r="E31" i="32" s="1"/>
  <c r="G32" i="19"/>
  <c r="T32" i="19" s="1"/>
  <c r="G28" i="19"/>
  <c r="T28" i="19" s="1"/>
  <c r="Y19" i="19"/>
  <c r="C17" i="32" s="1"/>
  <c r="E17" i="32" s="1"/>
  <c r="G12" i="19"/>
  <c r="T12" i="19" s="1"/>
  <c r="O199" i="19"/>
  <c r="Y195" i="19"/>
  <c r="C193" i="32" s="1"/>
  <c r="E193" i="32" s="1"/>
  <c r="O193" i="19"/>
  <c r="R193" i="19" s="1"/>
  <c r="U193" i="19" s="1"/>
  <c r="Y191" i="19"/>
  <c r="C189" i="32" s="1"/>
  <c r="E189" i="32" s="1"/>
  <c r="G191" i="19"/>
  <c r="R191" i="19" s="1"/>
  <c r="U191" i="19" s="1"/>
  <c r="G190" i="19"/>
  <c r="G185" i="19"/>
  <c r="T185" i="19" s="1"/>
  <c r="Y177" i="19"/>
  <c r="C175" i="32" s="1"/>
  <c r="E175" i="32" s="1"/>
  <c r="Y176" i="19"/>
  <c r="C174" i="32" s="1"/>
  <c r="E174" i="32" s="1"/>
  <c r="Y167" i="19"/>
  <c r="C165" i="32" s="1"/>
  <c r="E165" i="32" s="1"/>
  <c r="Y163" i="19"/>
  <c r="C161" i="32" s="1"/>
  <c r="E161" i="32" s="1"/>
  <c r="G163" i="19"/>
  <c r="G156" i="19"/>
  <c r="R156" i="19" s="1"/>
  <c r="U156" i="19" s="1"/>
  <c r="Y150" i="19"/>
  <c r="C148" i="32" s="1"/>
  <c r="E148" i="32" s="1"/>
  <c r="Y148" i="19"/>
  <c r="C146" i="32" s="1"/>
  <c r="E146" i="32" s="1"/>
  <c r="O146" i="19"/>
  <c r="Y142" i="19"/>
  <c r="C140" i="32" s="1"/>
  <c r="E140" i="32" s="1"/>
  <c r="Y138" i="19"/>
  <c r="C136" i="32" s="1"/>
  <c r="E136" i="32" s="1"/>
  <c r="G138" i="19"/>
  <c r="T138" i="19" s="1"/>
  <c r="G137" i="19"/>
  <c r="G132" i="19"/>
  <c r="T132" i="19" s="1"/>
  <c r="O115" i="19"/>
  <c r="G113" i="19"/>
  <c r="R113" i="19" s="1"/>
  <c r="U113" i="19" s="1"/>
  <c r="G112" i="19"/>
  <c r="G110" i="19"/>
  <c r="O109" i="19"/>
  <c r="Y107" i="19"/>
  <c r="C105" i="32" s="1"/>
  <c r="E105" i="32" s="1"/>
  <c r="G107" i="19"/>
  <c r="O105" i="19"/>
  <c r="R105" i="19" s="1"/>
  <c r="U105" i="19" s="1"/>
  <c r="G101" i="19"/>
  <c r="O99" i="19"/>
  <c r="G97" i="19"/>
  <c r="G96" i="19"/>
  <c r="T96" i="19" s="1"/>
  <c r="G94" i="19"/>
  <c r="O93" i="19"/>
  <c r="Y91" i="19"/>
  <c r="C89" i="32" s="1"/>
  <c r="E89" i="32" s="1"/>
  <c r="G91" i="19"/>
  <c r="R91" i="19" s="1"/>
  <c r="U91" i="19" s="1"/>
  <c r="O89" i="19"/>
  <c r="G85" i="19"/>
  <c r="T85" i="19" s="1"/>
  <c r="Y81" i="19"/>
  <c r="C79" i="32" s="1"/>
  <c r="E79" i="32" s="1"/>
  <c r="G60" i="19"/>
  <c r="T60" i="19" s="1"/>
  <c r="G59" i="19"/>
  <c r="T59" i="19" s="1"/>
  <c r="Y56" i="19"/>
  <c r="C54" i="32" s="1"/>
  <c r="E54" i="32" s="1"/>
  <c r="O56" i="19"/>
  <c r="Y50" i="19"/>
  <c r="C48" i="32" s="1"/>
  <c r="E48" i="32" s="1"/>
  <c r="Y49" i="19"/>
  <c r="C47" i="32" s="1"/>
  <c r="E47" i="32" s="1"/>
  <c r="G48" i="19"/>
  <c r="T48" i="19" s="1"/>
  <c r="O38" i="19"/>
  <c r="O37" i="19"/>
  <c r="O35" i="19"/>
  <c r="Y26" i="19"/>
  <c r="C24" i="32" s="1"/>
  <c r="E24" i="32" s="1"/>
  <c r="O18" i="19"/>
  <c r="O17" i="19"/>
  <c r="Y10" i="19"/>
  <c r="C8" i="32" s="1"/>
  <c r="E8" i="32" s="1"/>
  <c r="Y315" i="19"/>
  <c r="C313" i="32" s="1"/>
  <c r="E313" i="32" s="1"/>
  <c r="G314" i="19"/>
  <c r="G313" i="19"/>
  <c r="G312" i="19"/>
  <c r="T312" i="19" s="1"/>
  <c r="O311" i="19"/>
  <c r="Y309" i="19"/>
  <c r="C307" i="32" s="1"/>
  <c r="E307" i="32" s="1"/>
  <c r="Y307" i="19"/>
  <c r="C305" i="32" s="1"/>
  <c r="E305" i="32" s="1"/>
  <c r="G306" i="19"/>
  <c r="G305" i="19"/>
  <c r="T305" i="19" s="1"/>
  <c r="O302" i="19"/>
  <c r="O301" i="19"/>
  <c r="O299" i="19"/>
  <c r="Y297" i="19"/>
  <c r="C295" i="32" s="1"/>
  <c r="E295" i="32" s="1"/>
  <c r="Y295" i="19"/>
  <c r="C293" i="32" s="1"/>
  <c r="E293" i="32" s="1"/>
  <c r="G294" i="19"/>
  <c r="T294" i="19" s="1"/>
  <c r="G293" i="19"/>
  <c r="G291" i="19"/>
  <c r="T291" i="19" s="1"/>
  <c r="Y288" i="19"/>
  <c r="C286" i="32" s="1"/>
  <c r="E286" i="32" s="1"/>
  <c r="O286" i="19"/>
  <c r="O285" i="19"/>
  <c r="O283" i="19"/>
  <c r="Y281" i="19"/>
  <c r="C279" i="32" s="1"/>
  <c r="E279" i="32" s="1"/>
  <c r="Y279" i="19"/>
  <c r="C277" i="32" s="1"/>
  <c r="E277" i="32" s="1"/>
  <c r="G278" i="19"/>
  <c r="G277" i="19"/>
  <c r="T277" i="19" s="1"/>
  <c r="G275" i="19"/>
  <c r="Y272" i="19"/>
  <c r="C270" i="32" s="1"/>
  <c r="E270" i="32" s="1"/>
  <c r="O270" i="19"/>
  <c r="O269" i="19"/>
  <c r="O267" i="19"/>
  <c r="Y265" i="19"/>
  <c r="C263" i="32" s="1"/>
  <c r="E263" i="32" s="1"/>
  <c r="Y263" i="19"/>
  <c r="C261" i="32" s="1"/>
  <c r="E261" i="32" s="1"/>
  <c r="G261" i="19"/>
  <c r="Y258" i="19"/>
  <c r="C256" i="32" s="1"/>
  <c r="E256" i="32" s="1"/>
  <c r="O258" i="19"/>
  <c r="G256" i="19"/>
  <c r="Y254" i="19"/>
  <c r="C252" i="32" s="1"/>
  <c r="E252" i="32" s="1"/>
  <c r="O254" i="19"/>
  <c r="G252" i="19"/>
  <c r="Y250" i="19"/>
  <c r="C248" i="32" s="1"/>
  <c r="E248" i="32" s="1"/>
  <c r="O250" i="19"/>
  <c r="G248" i="19"/>
  <c r="Y246" i="19"/>
  <c r="C244" i="32" s="1"/>
  <c r="E244" i="32" s="1"/>
  <c r="G239" i="19"/>
  <c r="G238" i="19"/>
  <c r="G309" i="19"/>
  <c r="T309" i="19" s="1"/>
  <c r="G304" i="19"/>
  <c r="T304" i="19" s="1"/>
  <c r="Y301" i="19"/>
  <c r="C299" i="32" s="1"/>
  <c r="E299" i="32" s="1"/>
  <c r="Y299" i="19"/>
  <c r="C297" i="32" s="1"/>
  <c r="E297" i="32" s="1"/>
  <c r="G298" i="19"/>
  <c r="G297" i="19"/>
  <c r="R297" i="19" s="1"/>
  <c r="U297" i="19" s="1"/>
  <c r="G295" i="19"/>
  <c r="R295" i="19" s="1"/>
  <c r="U295" i="19" s="1"/>
  <c r="Y285" i="19"/>
  <c r="C283" i="32" s="1"/>
  <c r="E283" i="32" s="1"/>
  <c r="Y283" i="19"/>
  <c r="C281" i="32" s="1"/>
  <c r="E281" i="32" s="1"/>
  <c r="G282" i="19"/>
  <c r="R282" i="19" s="1"/>
  <c r="U282" i="19" s="1"/>
  <c r="G281" i="19"/>
  <c r="T281" i="19" s="1"/>
  <c r="G279" i="19"/>
  <c r="Y269" i="19"/>
  <c r="C267" i="32" s="1"/>
  <c r="E267" i="32" s="1"/>
  <c r="Y267" i="19"/>
  <c r="C265" i="32" s="1"/>
  <c r="E265" i="32" s="1"/>
  <c r="G266" i="19"/>
  <c r="G265" i="19"/>
  <c r="G263" i="19"/>
  <c r="T263" i="19" s="1"/>
  <c r="Y231" i="19"/>
  <c r="C229" i="32" s="1"/>
  <c r="E229" i="32" s="1"/>
  <c r="G315" i="19"/>
  <c r="Y311" i="19"/>
  <c r="C309" i="32" s="1"/>
  <c r="E309" i="32" s="1"/>
  <c r="G307" i="19"/>
  <c r="R307" i="19" s="1"/>
  <c r="U307" i="19" s="1"/>
  <c r="O314" i="19"/>
  <c r="R314" i="19" s="1"/>
  <c r="U314" i="19" s="1"/>
  <c r="O313" i="19"/>
  <c r="G311" i="19"/>
  <c r="T311" i="19" s="1"/>
  <c r="Y308" i="19"/>
  <c r="C306" i="32" s="1"/>
  <c r="E306" i="32" s="1"/>
  <c r="O306" i="19"/>
  <c r="O305" i="19"/>
  <c r="Y303" i="19"/>
  <c r="C301" i="32" s="1"/>
  <c r="E301" i="32" s="1"/>
  <c r="G302" i="19"/>
  <c r="G301" i="19"/>
  <c r="T301" i="19" s="1"/>
  <c r="G299" i="19"/>
  <c r="Y296" i="19"/>
  <c r="C294" i="32" s="1"/>
  <c r="E294" i="32" s="1"/>
  <c r="O294" i="19"/>
  <c r="O293" i="19"/>
  <c r="O291" i="19"/>
  <c r="Y289" i="19"/>
  <c r="C287" i="32" s="1"/>
  <c r="E287" i="32" s="1"/>
  <c r="Y287" i="19"/>
  <c r="C285" i="32" s="1"/>
  <c r="E285" i="32" s="1"/>
  <c r="G286" i="19"/>
  <c r="G285" i="19"/>
  <c r="G283" i="19"/>
  <c r="Y280" i="19"/>
  <c r="C278" i="32" s="1"/>
  <c r="E278" i="32" s="1"/>
  <c r="O278" i="19"/>
  <c r="O277" i="19"/>
  <c r="O275" i="19"/>
  <c r="Y273" i="19"/>
  <c r="C271" i="32" s="1"/>
  <c r="E271" i="32" s="1"/>
  <c r="Y271" i="19"/>
  <c r="C269" i="32" s="1"/>
  <c r="E269" i="32" s="1"/>
  <c r="G270" i="19"/>
  <c r="G269" i="19"/>
  <c r="G267" i="19"/>
  <c r="T267" i="19" s="1"/>
  <c r="Y264" i="19"/>
  <c r="C262" i="32" s="1"/>
  <c r="E262" i="32" s="1"/>
  <c r="O261" i="19"/>
  <c r="G258" i="19"/>
  <c r="Y256" i="19"/>
  <c r="C254" i="32" s="1"/>
  <c r="E254" i="32" s="1"/>
  <c r="O256" i="19"/>
  <c r="G254" i="19"/>
  <c r="Y252" i="19"/>
  <c r="C250" i="32" s="1"/>
  <c r="E250" i="32" s="1"/>
  <c r="O252" i="19"/>
  <c r="G250" i="19"/>
  <c r="Y248" i="19"/>
  <c r="C246" i="32" s="1"/>
  <c r="E246" i="32" s="1"/>
  <c r="O248" i="19"/>
  <c r="G236" i="19"/>
  <c r="T236" i="19" s="1"/>
  <c r="T280" i="19"/>
  <c r="T264" i="19"/>
  <c r="R259" i="19"/>
  <c r="U259" i="19" s="1"/>
  <c r="T181" i="19"/>
  <c r="G162" i="19"/>
  <c r="G160" i="19"/>
  <c r="T160" i="19" s="1"/>
  <c r="Y156" i="19"/>
  <c r="C154" i="32" s="1"/>
  <c r="E154" i="32" s="1"/>
  <c r="O155" i="19"/>
  <c r="O154" i="19"/>
  <c r="O153" i="19"/>
  <c r="G149" i="19"/>
  <c r="T149" i="19" s="1"/>
  <c r="G146" i="19"/>
  <c r="R146" i="19" s="1"/>
  <c r="U146" i="19" s="1"/>
  <c r="G143" i="19"/>
  <c r="Y140" i="19"/>
  <c r="C138" i="32" s="1"/>
  <c r="E138" i="32" s="1"/>
  <c r="O137" i="19"/>
  <c r="R137" i="19" s="1"/>
  <c r="U137" i="19" s="1"/>
  <c r="O135" i="19"/>
  <c r="R135" i="19" s="1"/>
  <c r="U135" i="19" s="1"/>
  <c r="Y133" i="19"/>
  <c r="C131" i="32" s="1"/>
  <c r="E131" i="32" s="1"/>
  <c r="Y131" i="19"/>
  <c r="C129" i="32" s="1"/>
  <c r="E129" i="32" s="1"/>
  <c r="G130" i="19"/>
  <c r="R130" i="19" s="1"/>
  <c r="U130" i="19" s="1"/>
  <c r="G129" i="19"/>
  <c r="T129" i="19" s="1"/>
  <c r="Y121" i="19"/>
  <c r="C119" i="32" s="1"/>
  <c r="E119" i="32" s="1"/>
  <c r="G120" i="19"/>
  <c r="T120" i="19" s="1"/>
  <c r="O232" i="19"/>
  <c r="Y230" i="19"/>
  <c r="C228" i="32" s="1"/>
  <c r="E228" i="32" s="1"/>
  <c r="Y228" i="19"/>
  <c r="C226" i="32" s="1"/>
  <c r="E226" i="32" s="1"/>
  <c r="G227" i="19"/>
  <c r="T227" i="19" s="1"/>
  <c r="G226" i="19"/>
  <c r="G224" i="19"/>
  <c r="T224" i="19" s="1"/>
  <c r="Y221" i="19"/>
  <c r="C219" i="32" s="1"/>
  <c r="E219" i="32" s="1"/>
  <c r="O218" i="19"/>
  <c r="O216" i="19"/>
  <c r="Y214" i="19"/>
  <c r="C212" i="32" s="1"/>
  <c r="E212" i="32" s="1"/>
  <c r="Y212" i="19"/>
  <c r="C210" i="32" s="1"/>
  <c r="E210" i="32" s="1"/>
  <c r="G211" i="19"/>
  <c r="G210" i="19"/>
  <c r="T210" i="19" s="1"/>
  <c r="G208" i="19"/>
  <c r="T208" i="19" s="1"/>
  <c r="Y205" i="19"/>
  <c r="C203" i="32" s="1"/>
  <c r="E203" i="32" s="1"/>
  <c r="O202" i="19"/>
  <c r="O200" i="19"/>
  <c r="Y198" i="19"/>
  <c r="C196" i="32" s="1"/>
  <c r="E196" i="32" s="1"/>
  <c r="Y196" i="19"/>
  <c r="C194" i="32" s="1"/>
  <c r="E194" i="32" s="1"/>
  <c r="G195" i="19"/>
  <c r="T195" i="19" s="1"/>
  <c r="G194" i="19"/>
  <c r="G192" i="19"/>
  <c r="T192" i="19" s="1"/>
  <c r="Y189" i="19"/>
  <c r="C187" i="32" s="1"/>
  <c r="E187" i="32" s="1"/>
  <c r="O186" i="19"/>
  <c r="O184" i="19"/>
  <c r="Y182" i="19"/>
  <c r="C180" i="32" s="1"/>
  <c r="E180" i="32" s="1"/>
  <c r="Y180" i="19"/>
  <c r="C178" i="32" s="1"/>
  <c r="E178" i="32" s="1"/>
  <c r="G179" i="19"/>
  <c r="T179" i="19" s="1"/>
  <c r="G178" i="19"/>
  <c r="G176" i="19"/>
  <c r="T176" i="19" s="1"/>
  <c r="Y173" i="19"/>
  <c r="C171" i="32" s="1"/>
  <c r="E171" i="32" s="1"/>
  <c r="O171" i="19"/>
  <c r="O170" i="19"/>
  <c r="O168" i="19"/>
  <c r="Y166" i="19"/>
  <c r="C164" i="32" s="1"/>
  <c r="E164" i="32" s="1"/>
  <c r="G164" i="19"/>
  <c r="R164" i="19" s="1"/>
  <c r="U164" i="19" s="1"/>
  <c r="Y161" i="19"/>
  <c r="C159" i="32" s="1"/>
  <c r="E159" i="32" s="1"/>
  <c r="O159" i="19"/>
  <c r="O158" i="19"/>
  <c r="O151" i="19"/>
  <c r="R149" i="19"/>
  <c r="U149" i="19" s="1"/>
  <c r="G147" i="19"/>
  <c r="T147" i="19" s="1"/>
  <c r="Y144" i="19"/>
  <c r="C142" i="32" s="1"/>
  <c r="E142" i="32" s="1"/>
  <c r="T143" i="19"/>
  <c r="O142" i="19"/>
  <c r="O141" i="19"/>
  <c r="O139" i="19"/>
  <c r="Y137" i="19"/>
  <c r="C135" i="32" s="1"/>
  <c r="E135" i="32" s="1"/>
  <c r="Y135" i="19"/>
  <c r="C133" i="32" s="1"/>
  <c r="E133" i="32" s="1"/>
  <c r="G134" i="19"/>
  <c r="T134" i="19" s="1"/>
  <c r="G133" i="19"/>
  <c r="G131" i="19"/>
  <c r="T131" i="19" s="1"/>
  <c r="Y128" i="19"/>
  <c r="C126" i="32" s="1"/>
  <c r="E126" i="32" s="1"/>
  <c r="Y118" i="19"/>
  <c r="C116" i="32" s="1"/>
  <c r="E116" i="32" s="1"/>
  <c r="G244" i="19"/>
  <c r="Y241" i="19"/>
  <c r="C239" i="32" s="1"/>
  <c r="E239" i="32" s="1"/>
  <c r="O239" i="19"/>
  <c r="O238" i="19"/>
  <c r="O236" i="19"/>
  <c r="Y234" i="19"/>
  <c r="C232" i="32" s="1"/>
  <c r="E232" i="32" s="1"/>
  <c r="Y232" i="19"/>
  <c r="C230" i="32" s="1"/>
  <c r="E230" i="32" s="1"/>
  <c r="G231" i="19"/>
  <c r="G230" i="19"/>
  <c r="G228" i="19"/>
  <c r="Y225" i="19"/>
  <c r="C223" i="32" s="1"/>
  <c r="E223" i="32" s="1"/>
  <c r="O222" i="19"/>
  <c r="O220" i="19"/>
  <c r="Y218" i="19"/>
  <c r="C216" i="32" s="1"/>
  <c r="E216" i="32" s="1"/>
  <c r="Y216" i="19"/>
  <c r="C214" i="32" s="1"/>
  <c r="E214" i="32" s="1"/>
  <c r="G215" i="19"/>
  <c r="T215" i="19" s="1"/>
  <c r="G214" i="19"/>
  <c r="G212" i="19"/>
  <c r="T212" i="19" s="1"/>
  <c r="Y209" i="19"/>
  <c r="C207" i="32" s="1"/>
  <c r="E207" i="32" s="1"/>
  <c r="O206" i="19"/>
  <c r="O204" i="19"/>
  <c r="Y202" i="19"/>
  <c r="C200" i="32" s="1"/>
  <c r="E200" i="32" s="1"/>
  <c r="Y200" i="19"/>
  <c r="C198" i="32" s="1"/>
  <c r="E198" i="32" s="1"/>
  <c r="G199" i="19"/>
  <c r="G198" i="19"/>
  <c r="G196" i="19"/>
  <c r="T196" i="19" s="1"/>
  <c r="Y193" i="19"/>
  <c r="C191" i="32" s="1"/>
  <c r="E191" i="32" s="1"/>
  <c r="O190" i="19"/>
  <c r="O188" i="19"/>
  <c r="Y186" i="19"/>
  <c r="C184" i="32" s="1"/>
  <c r="E184" i="32" s="1"/>
  <c r="Y184" i="19"/>
  <c r="C182" i="32" s="1"/>
  <c r="E182" i="32" s="1"/>
  <c r="G183" i="19"/>
  <c r="T183" i="19" s="1"/>
  <c r="G182" i="19"/>
  <c r="G180" i="19"/>
  <c r="Y170" i="19"/>
  <c r="C168" i="32" s="1"/>
  <c r="E168" i="32" s="1"/>
  <c r="Y168" i="19"/>
  <c r="C166" i="32" s="1"/>
  <c r="E166" i="32" s="1"/>
  <c r="G167" i="19"/>
  <c r="G166" i="19"/>
  <c r="R166" i="19" s="1"/>
  <c r="U166" i="19" s="1"/>
  <c r="T161" i="19"/>
  <c r="Y245" i="19"/>
  <c r="C243" i="32" s="1"/>
  <c r="E243" i="32" s="1"/>
  <c r="O243" i="19"/>
  <c r="Y238" i="19"/>
  <c r="C236" i="32" s="1"/>
  <c r="E236" i="32" s="1"/>
  <c r="Y236" i="19"/>
  <c r="C234" i="32" s="1"/>
  <c r="E234" i="32" s="1"/>
  <c r="G235" i="19"/>
  <c r="T235" i="19" s="1"/>
  <c r="G234" i="19"/>
  <c r="G232" i="19"/>
  <c r="T232" i="19" s="1"/>
  <c r="Y229" i="19"/>
  <c r="C227" i="32" s="1"/>
  <c r="E227" i="32" s="1"/>
  <c r="O227" i="19"/>
  <c r="R227" i="19" s="1"/>
  <c r="U227" i="19" s="1"/>
  <c r="O226" i="19"/>
  <c r="O224" i="19"/>
  <c r="Y222" i="19"/>
  <c r="C220" i="32" s="1"/>
  <c r="E220" i="32" s="1"/>
  <c r="Y220" i="19"/>
  <c r="C218" i="32" s="1"/>
  <c r="E218" i="32" s="1"/>
  <c r="G219" i="19"/>
  <c r="T219" i="19" s="1"/>
  <c r="G218" i="19"/>
  <c r="T218" i="19" s="1"/>
  <c r="G216" i="19"/>
  <c r="T216" i="19" s="1"/>
  <c r="Y213" i="19"/>
  <c r="C211" i="32" s="1"/>
  <c r="E211" i="32" s="1"/>
  <c r="O211" i="19"/>
  <c r="O210" i="19"/>
  <c r="O208" i="19"/>
  <c r="Y206" i="19"/>
  <c r="C204" i="32" s="1"/>
  <c r="E204" i="32" s="1"/>
  <c r="Y204" i="19"/>
  <c r="C202" i="32" s="1"/>
  <c r="E202" i="32" s="1"/>
  <c r="G203" i="19"/>
  <c r="R203" i="19" s="1"/>
  <c r="U203" i="19" s="1"/>
  <c r="G202" i="19"/>
  <c r="G200" i="19"/>
  <c r="T200" i="19" s="1"/>
  <c r="Y197" i="19"/>
  <c r="C195" i="32" s="1"/>
  <c r="E195" i="32" s="1"/>
  <c r="O195" i="19"/>
  <c r="O194" i="19"/>
  <c r="O192" i="19"/>
  <c r="Y190" i="19"/>
  <c r="C188" i="32" s="1"/>
  <c r="E188" i="32" s="1"/>
  <c r="Y188" i="19"/>
  <c r="C186" i="32" s="1"/>
  <c r="E186" i="32" s="1"/>
  <c r="G187" i="19"/>
  <c r="G186" i="19"/>
  <c r="R186" i="19" s="1"/>
  <c r="U186" i="19" s="1"/>
  <c r="G184" i="19"/>
  <c r="T184" i="19" s="1"/>
  <c r="Y181" i="19"/>
  <c r="C179" i="32" s="1"/>
  <c r="E179" i="32" s="1"/>
  <c r="O179" i="19"/>
  <c r="O178" i="19"/>
  <c r="O176" i="19"/>
  <c r="Y174" i="19"/>
  <c r="C172" i="32" s="1"/>
  <c r="E172" i="32" s="1"/>
  <c r="Y172" i="19"/>
  <c r="C170" i="32" s="1"/>
  <c r="E170" i="32" s="1"/>
  <c r="G171" i="19"/>
  <c r="T171" i="19" s="1"/>
  <c r="G170" i="19"/>
  <c r="G168" i="19"/>
  <c r="Y165" i="19"/>
  <c r="C163" i="32" s="1"/>
  <c r="E163" i="32" s="1"/>
  <c r="O165" i="19"/>
  <c r="O164" i="19"/>
  <c r="Y162" i="19"/>
  <c r="C160" i="32" s="1"/>
  <c r="E160" i="32" s="1"/>
  <c r="Y160" i="19"/>
  <c r="C158" i="32" s="1"/>
  <c r="E158" i="32" s="1"/>
  <c r="G159" i="19"/>
  <c r="T159" i="19" s="1"/>
  <c r="G158" i="19"/>
  <c r="T158" i="19" s="1"/>
  <c r="G151" i="19"/>
  <c r="T151" i="19" s="1"/>
  <c r="O147" i="19"/>
  <c r="Y145" i="19"/>
  <c r="C143" i="32" s="1"/>
  <c r="E143" i="32" s="1"/>
  <c r="Y143" i="19"/>
  <c r="C141" i="32" s="1"/>
  <c r="E141" i="32" s="1"/>
  <c r="G142" i="19"/>
  <c r="R142" i="19" s="1"/>
  <c r="U142" i="19" s="1"/>
  <c r="G141" i="19"/>
  <c r="T141" i="19" s="1"/>
  <c r="G139" i="19"/>
  <c r="T139" i="19" s="1"/>
  <c r="Y136" i="19"/>
  <c r="C134" i="32" s="1"/>
  <c r="E134" i="32" s="1"/>
  <c r="O133" i="19"/>
  <c r="R133" i="19" s="1"/>
  <c r="U133" i="19" s="1"/>
  <c r="O131" i="19"/>
  <c r="Y129" i="19"/>
  <c r="C127" i="32" s="1"/>
  <c r="E127" i="32" s="1"/>
  <c r="Y127" i="19"/>
  <c r="C125" i="32" s="1"/>
  <c r="E125" i="32" s="1"/>
  <c r="G127" i="19"/>
  <c r="T127" i="19" s="1"/>
  <c r="Y124" i="19"/>
  <c r="C122" i="32" s="1"/>
  <c r="E122" i="32" s="1"/>
  <c r="O122" i="19"/>
  <c r="O121" i="19"/>
  <c r="O119" i="19"/>
  <c r="Y117" i="19"/>
  <c r="C115" i="32" s="1"/>
  <c r="E115" i="32" s="1"/>
  <c r="Y113" i="19"/>
  <c r="C111" i="32" s="1"/>
  <c r="E111" i="32" s="1"/>
  <c r="T112" i="19"/>
  <c r="O111" i="19"/>
  <c r="Y109" i="19"/>
  <c r="C107" i="32" s="1"/>
  <c r="E107" i="32" s="1"/>
  <c r="G108" i="19"/>
  <c r="Y105" i="19"/>
  <c r="C103" i="32" s="1"/>
  <c r="E103" i="32" s="1"/>
  <c r="T104" i="19"/>
  <c r="O103" i="19"/>
  <c r="Y101" i="19"/>
  <c r="C99" i="32" s="1"/>
  <c r="E99" i="32" s="1"/>
  <c r="G100" i="19"/>
  <c r="Y97" i="19"/>
  <c r="C95" i="32" s="1"/>
  <c r="E95" i="32" s="1"/>
  <c r="O95" i="19"/>
  <c r="Y93" i="19"/>
  <c r="C91" i="32" s="1"/>
  <c r="E91" i="32" s="1"/>
  <c r="G92" i="19"/>
  <c r="Y89" i="19"/>
  <c r="C87" i="32" s="1"/>
  <c r="E87" i="32" s="1"/>
  <c r="O87" i="19"/>
  <c r="Y85" i="19"/>
  <c r="C83" i="32" s="1"/>
  <c r="E83" i="32" s="1"/>
  <c r="O83" i="19"/>
  <c r="O82" i="19"/>
  <c r="G82" i="19"/>
  <c r="T82" i="19" s="1"/>
  <c r="O79" i="19"/>
  <c r="G75" i="19"/>
  <c r="G71" i="19"/>
  <c r="G66" i="19"/>
  <c r="Y65" i="19"/>
  <c r="C63" i="32" s="1"/>
  <c r="E63" i="32" s="1"/>
  <c r="Y60" i="19"/>
  <c r="C58" i="32" s="1"/>
  <c r="E58" i="32" s="1"/>
  <c r="O58" i="19"/>
  <c r="O57" i="19"/>
  <c r="O55" i="19"/>
  <c r="Y53" i="19"/>
  <c r="C51" i="32" s="1"/>
  <c r="E51" i="32" s="1"/>
  <c r="Y51" i="19"/>
  <c r="C49" i="32" s="1"/>
  <c r="E49" i="32" s="1"/>
  <c r="G50" i="19"/>
  <c r="G49" i="19"/>
  <c r="G47" i="19"/>
  <c r="T47" i="19" s="1"/>
  <c r="Y44" i="19"/>
  <c r="C42" i="32" s="1"/>
  <c r="E42" i="32" s="1"/>
  <c r="O42" i="19"/>
  <c r="O41" i="19"/>
  <c r="O39" i="19"/>
  <c r="Y37" i="19"/>
  <c r="C35" i="32" s="1"/>
  <c r="E35" i="32" s="1"/>
  <c r="Y35" i="19"/>
  <c r="C33" i="32" s="1"/>
  <c r="E33" i="32" s="1"/>
  <c r="G34" i="19"/>
  <c r="G33" i="19"/>
  <c r="T33" i="19" s="1"/>
  <c r="G31" i="19"/>
  <c r="T31" i="19" s="1"/>
  <c r="O30" i="19"/>
  <c r="O29" i="19"/>
  <c r="O27" i="19"/>
  <c r="Y25" i="19"/>
  <c r="C23" i="32" s="1"/>
  <c r="E23" i="32" s="1"/>
  <c r="Y23" i="19"/>
  <c r="C21" i="32" s="1"/>
  <c r="E21" i="32" s="1"/>
  <c r="G21" i="19"/>
  <c r="T21" i="19" s="1"/>
  <c r="G19" i="19"/>
  <c r="Y16" i="19"/>
  <c r="C14" i="32" s="1"/>
  <c r="E14" i="32" s="1"/>
  <c r="O14" i="19"/>
  <c r="O13" i="19"/>
  <c r="O11" i="19"/>
  <c r="Y9" i="19"/>
  <c r="C7" i="32" s="1"/>
  <c r="E7" i="32" s="1"/>
  <c r="G118" i="19"/>
  <c r="T118" i="19" s="1"/>
  <c r="G117" i="19"/>
  <c r="T117" i="19" s="1"/>
  <c r="Y110" i="19"/>
  <c r="C108" i="32" s="1"/>
  <c r="E108" i="32" s="1"/>
  <c r="Y102" i="19"/>
  <c r="C100" i="32" s="1"/>
  <c r="E100" i="32" s="1"/>
  <c r="Y94" i="19"/>
  <c r="C92" i="32" s="1"/>
  <c r="E92" i="32" s="1"/>
  <c r="Y86" i="19"/>
  <c r="C84" i="32" s="1"/>
  <c r="E84" i="32" s="1"/>
  <c r="Y82" i="19"/>
  <c r="C80" i="32" s="1"/>
  <c r="E80" i="32" s="1"/>
  <c r="Y78" i="19"/>
  <c r="C76" i="32" s="1"/>
  <c r="E76" i="32" s="1"/>
  <c r="Y76" i="19"/>
  <c r="C74" i="32" s="1"/>
  <c r="E74" i="32" s="1"/>
  <c r="G76" i="19"/>
  <c r="G72" i="19"/>
  <c r="G68" i="19"/>
  <c r="T68" i="19" s="1"/>
  <c r="Y57" i="19"/>
  <c r="C55" i="32" s="1"/>
  <c r="E55" i="32" s="1"/>
  <c r="Y55" i="19"/>
  <c r="C53" i="32" s="1"/>
  <c r="E53" i="32" s="1"/>
  <c r="G54" i="19"/>
  <c r="R54" i="19" s="1"/>
  <c r="U54" i="19" s="1"/>
  <c r="G53" i="19"/>
  <c r="G51" i="19"/>
  <c r="T51" i="19" s="1"/>
  <c r="Y41" i="19"/>
  <c r="C39" i="32" s="1"/>
  <c r="E39" i="32" s="1"/>
  <c r="Y39" i="19"/>
  <c r="C37" i="32" s="1"/>
  <c r="E37" i="32" s="1"/>
  <c r="G38" i="19"/>
  <c r="R38" i="19" s="1"/>
  <c r="U38" i="19" s="1"/>
  <c r="G37" i="19"/>
  <c r="G35" i="19"/>
  <c r="T35" i="19" s="1"/>
  <c r="Y29" i="19"/>
  <c r="C27" i="32" s="1"/>
  <c r="E27" i="32" s="1"/>
  <c r="Y27" i="19"/>
  <c r="C25" i="32" s="1"/>
  <c r="E25" i="32" s="1"/>
  <c r="G26" i="19"/>
  <c r="G25" i="19"/>
  <c r="T25" i="19" s="1"/>
  <c r="G23" i="19"/>
  <c r="T23" i="19" s="1"/>
  <c r="T16" i="19"/>
  <c r="Y13" i="19"/>
  <c r="C11" i="32" s="1"/>
  <c r="E11" i="32" s="1"/>
  <c r="Y11" i="19"/>
  <c r="C9" i="32" s="1"/>
  <c r="E9" i="32" s="1"/>
  <c r="G10" i="19"/>
  <c r="R10" i="19" s="1"/>
  <c r="U10" i="19" s="1"/>
  <c r="G9" i="19"/>
  <c r="Y125" i="19"/>
  <c r="C123" i="32" s="1"/>
  <c r="E123" i="32" s="1"/>
  <c r="Y123" i="19"/>
  <c r="C121" i="32" s="1"/>
  <c r="E121" i="32" s="1"/>
  <c r="G122" i="19"/>
  <c r="G121" i="19"/>
  <c r="T121" i="19" s="1"/>
  <c r="G119" i="19"/>
  <c r="T119" i="19" s="1"/>
  <c r="Y116" i="19"/>
  <c r="C114" i="32" s="1"/>
  <c r="E114" i="32" s="1"/>
  <c r="Y115" i="19"/>
  <c r="C113" i="32" s="1"/>
  <c r="E113" i="32" s="1"/>
  <c r="Y112" i="19"/>
  <c r="C110" i="32" s="1"/>
  <c r="E110" i="32" s="1"/>
  <c r="G111" i="19"/>
  <c r="O108" i="19"/>
  <c r="Y106" i="19"/>
  <c r="C104" i="32" s="1"/>
  <c r="E104" i="32" s="1"/>
  <c r="Y104" i="19"/>
  <c r="C102" i="32" s="1"/>
  <c r="E102" i="32" s="1"/>
  <c r="G103" i="19"/>
  <c r="R103" i="19" s="1"/>
  <c r="U103" i="19" s="1"/>
  <c r="O100" i="19"/>
  <c r="Y98" i="19"/>
  <c r="C96" i="32" s="1"/>
  <c r="E96" i="32" s="1"/>
  <c r="Y96" i="19"/>
  <c r="C94" i="32" s="1"/>
  <c r="E94" i="32" s="1"/>
  <c r="G95" i="19"/>
  <c r="R95" i="19" s="1"/>
  <c r="U95" i="19" s="1"/>
  <c r="O92" i="19"/>
  <c r="Y90" i="19"/>
  <c r="C88" i="32" s="1"/>
  <c r="E88" i="32" s="1"/>
  <c r="Y88" i="19"/>
  <c r="C86" i="32" s="1"/>
  <c r="E86" i="32" s="1"/>
  <c r="G87" i="19"/>
  <c r="R87" i="19" s="1"/>
  <c r="U87" i="19" s="1"/>
  <c r="G83" i="19"/>
  <c r="G79" i="19"/>
  <c r="G78" i="19"/>
  <c r="O75" i="19"/>
  <c r="Y73" i="19"/>
  <c r="C71" i="32" s="1"/>
  <c r="E71" i="32" s="1"/>
  <c r="Y72" i="19"/>
  <c r="C70" i="32" s="1"/>
  <c r="E70" i="32" s="1"/>
  <c r="Y68" i="19"/>
  <c r="C66" i="32" s="1"/>
  <c r="E66" i="32" s="1"/>
  <c r="Y63" i="19"/>
  <c r="C61" i="32" s="1"/>
  <c r="E61" i="32" s="1"/>
  <c r="Y61" i="19"/>
  <c r="C59" i="32" s="1"/>
  <c r="E59" i="32" s="1"/>
  <c r="Y59" i="19"/>
  <c r="C57" i="32" s="1"/>
  <c r="E57" i="32" s="1"/>
  <c r="G58" i="19"/>
  <c r="T58" i="19" s="1"/>
  <c r="G57" i="19"/>
  <c r="R57" i="19" s="1"/>
  <c r="U57" i="19" s="1"/>
  <c r="G55" i="19"/>
  <c r="T55" i="19" s="1"/>
  <c r="Y52" i="19"/>
  <c r="C50" i="32" s="1"/>
  <c r="E50" i="32" s="1"/>
  <c r="O50" i="19"/>
  <c r="O49" i="19"/>
  <c r="O47" i="19"/>
  <c r="Y45" i="19"/>
  <c r="C43" i="32" s="1"/>
  <c r="E43" i="32" s="1"/>
  <c r="Y43" i="19"/>
  <c r="C41" i="32" s="1"/>
  <c r="E41" i="32" s="1"/>
  <c r="G42" i="19"/>
  <c r="T42" i="19" s="1"/>
  <c r="G41" i="19"/>
  <c r="R41" i="19" s="1"/>
  <c r="U41" i="19" s="1"/>
  <c r="G39" i="19"/>
  <c r="T39" i="19" s="1"/>
  <c r="Y36" i="19"/>
  <c r="C34" i="32" s="1"/>
  <c r="E34" i="32" s="1"/>
  <c r="O34" i="19"/>
  <c r="O33" i="19"/>
  <c r="O31" i="19"/>
  <c r="G30" i="19"/>
  <c r="G29" i="19"/>
  <c r="T29" i="19" s="1"/>
  <c r="G27" i="19"/>
  <c r="T27" i="19" s="1"/>
  <c r="Y24" i="19"/>
  <c r="C22" i="32" s="1"/>
  <c r="E22" i="32" s="1"/>
  <c r="O21" i="19"/>
  <c r="O19" i="19"/>
  <c r="Y17" i="19"/>
  <c r="C15" i="32" s="1"/>
  <c r="E15" i="32" s="1"/>
  <c r="Y15" i="19"/>
  <c r="C13" i="32" s="1"/>
  <c r="E13" i="32" s="1"/>
  <c r="G14" i="19"/>
  <c r="G13" i="19"/>
  <c r="T13" i="19" s="1"/>
  <c r="G11" i="19"/>
  <c r="T11" i="19" s="1"/>
  <c r="Y8" i="19"/>
  <c r="C6" i="32" s="1"/>
  <c r="E6" i="32" s="1"/>
  <c r="T74" i="19"/>
  <c r="T52" i="19"/>
  <c r="T36" i="19"/>
  <c r="T24" i="19"/>
  <c r="G17" i="19"/>
  <c r="O175" i="19"/>
  <c r="R175" i="19" s="1"/>
  <c r="U175" i="19" s="1"/>
  <c r="O22" i="19"/>
  <c r="G22" i="19"/>
  <c r="T22" i="19" s="1"/>
  <c r="G84" i="19"/>
  <c r="O262" i="19"/>
  <c r="G262" i="19"/>
  <c r="T262" i="19" s="1"/>
  <c r="T307" i="19"/>
  <c r="T295" i="19"/>
  <c r="T279" i="19"/>
  <c r="R279" i="19"/>
  <c r="U279" i="19" s="1"/>
  <c r="R311" i="19"/>
  <c r="U311" i="19" s="1"/>
  <c r="T302" i="19"/>
  <c r="T299" i="19"/>
  <c r="T286" i="19"/>
  <c r="T285" i="19"/>
  <c r="T283" i="19"/>
  <c r="T270" i="19"/>
  <c r="T269" i="19"/>
  <c r="R267" i="19"/>
  <c r="U267" i="19" s="1"/>
  <c r="T310" i="19"/>
  <c r="R303" i="19"/>
  <c r="U303" i="19" s="1"/>
  <c r="T303" i="19"/>
  <c r="T274" i="19"/>
  <c r="R273" i="19"/>
  <c r="U273" i="19" s="1"/>
  <c r="T271" i="19"/>
  <c r="T314" i="19"/>
  <c r="T289" i="19"/>
  <c r="R315" i="19"/>
  <c r="U315" i="19" s="1"/>
  <c r="T315" i="19"/>
  <c r="R312" i="19"/>
  <c r="U312" i="19" s="1"/>
  <c r="R305" i="19"/>
  <c r="U305" i="19" s="1"/>
  <c r="T293" i="19"/>
  <c r="T278" i="19"/>
  <c r="R277" i="19"/>
  <c r="U277" i="19" s="1"/>
  <c r="T275" i="19"/>
  <c r="R261" i="19"/>
  <c r="U261" i="19" s="1"/>
  <c r="T261" i="19"/>
  <c r="T298" i="19"/>
  <c r="T266" i="19"/>
  <c r="T265" i="19"/>
  <c r="R263" i="19"/>
  <c r="U263" i="19" s="1"/>
  <c r="R308" i="19"/>
  <c r="U308" i="19" s="1"/>
  <c r="R300" i="19"/>
  <c r="U300" i="19" s="1"/>
  <c r="R288" i="19"/>
  <c r="U288" i="19" s="1"/>
  <c r="R280" i="19"/>
  <c r="U280" i="19" s="1"/>
  <c r="R268" i="19"/>
  <c r="U268" i="19" s="1"/>
  <c r="R264" i="19"/>
  <c r="U264" i="19" s="1"/>
  <c r="R260" i="19"/>
  <c r="U260" i="19" s="1"/>
  <c r="T245" i="19"/>
  <c r="R245" i="19"/>
  <c r="U245" i="19" s="1"/>
  <c r="R235" i="19"/>
  <c r="U235" i="19" s="1"/>
  <c r="T234" i="19"/>
  <c r="R219" i="19"/>
  <c r="U219" i="19" s="1"/>
  <c r="R216" i="19"/>
  <c r="U216" i="19" s="1"/>
  <c r="T202" i="19"/>
  <c r="T187" i="19"/>
  <c r="T168" i="19"/>
  <c r="R154" i="19"/>
  <c r="U154" i="19" s="1"/>
  <c r="T154" i="19"/>
  <c r="Y244" i="19"/>
  <c r="C242" i="32" s="1"/>
  <c r="E242" i="32" s="1"/>
  <c r="R223" i="19"/>
  <c r="U223" i="19" s="1"/>
  <c r="T222" i="19"/>
  <c r="T220" i="19"/>
  <c r="R220" i="19"/>
  <c r="U220" i="19" s="1"/>
  <c r="R206" i="19"/>
  <c r="U206" i="19" s="1"/>
  <c r="T206" i="19"/>
  <c r="T188" i="19"/>
  <c r="R188" i="19"/>
  <c r="U188" i="19" s="1"/>
  <c r="T175" i="19"/>
  <c r="R158" i="19"/>
  <c r="U158" i="19" s="1"/>
  <c r="G246" i="19"/>
  <c r="T244" i="19"/>
  <c r="R242" i="19"/>
  <c r="U242" i="19" s="1"/>
  <c r="T240" i="19"/>
  <c r="R240" i="19"/>
  <c r="U240" i="19" s="1"/>
  <c r="T226" i="19"/>
  <c r="R211" i="19"/>
  <c r="U211" i="19" s="1"/>
  <c r="T211" i="19"/>
  <c r="R210" i="19"/>
  <c r="U210" i="19" s="1"/>
  <c r="T194" i="19"/>
  <c r="T178" i="19"/>
  <c r="T163" i="19"/>
  <c r="T162" i="19"/>
  <c r="R160" i="19"/>
  <c r="U160" i="19" s="1"/>
  <c r="T259" i="19"/>
  <c r="R257" i="19"/>
  <c r="U257" i="19" s="1"/>
  <c r="R255" i="19"/>
  <c r="U255" i="19" s="1"/>
  <c r="T255" i="19"/>
  <c r="T253" i="19"/>
  <c r="R253" i="19"/>
  <c r="U253" i="19" s="1"/>
  <c r="R249" i="19"/>
  <c r="U249" i="19" s="1"/>
  <c r="R247" i="19"/>
  <c r="U247" i="19" s="1"/>
  <c r="R230" i="19"/>
  <c r="U230" i="19" s="1"/>
  <c r="T230" i="19"/>
  <c r="T228" i="19"/>
  <c r="R228" i="19"/>
  <c r="U228" i="19" s="1"/>
  <c r="T214" i="19"/>
  <c r="R212" i="19"/>
  <c r="U212" i="19" s="1"/>
  <c r="R198" i="19"/>
  <c r="U198" i="19" s="1"/>
  <c r="T198" i="19"/>
  <c r="R196" i="19"/>
  <c r="U196" i="19" s="1"/>
  <c r="R182" i="19"/>
  <c r="U182" i="19" s="1"/>
  <c r="T182" i="19"/>
  <c r="T180" i="19"/>
  <c r="R167" i="19"/>
  <c r="U167" i="19" s="1"/>
  <c r="T167" i="19"/>
  <c r="T166" i="19"/>
  <c r="T164" i="19"/>
  <c r="R233" i="19"/>
  <c r="U233" i="19" s="1"/>
  <c r="R229" i="19"/>
  <c r="U229" i="19" s="1"/>
  <c r="R225" i="19"/>
  <c r="U225" i="19" s="1"/>
  <c r="R217" i="19"/>
  <c r="U217" i="19" s="1"/>
  <c r="R205" i="19"/>
  <c r="U205" i="19" s="1"/>
  <c r="R201" i="19"/>
  <c r="U201" i="19" s="1"/>
  <c r="R185" i="19"/>
  <c r="U185" i="19" s="1"/>
  <c r="G157" i="19"/>
  <c r="T142" i="19"/>
  <c r="T137" i="19"/>
  <c r="T135" i="19"/>
  <c r="T144" i="19"/>
  <c r="R144" i="19"/>
  <c r="U144" i="19" s="1"/>
  <c r="R126" i="19"/>
  <c r="U126" i="19" s="1"/>
  <c r="T126" i="19"/>
  <c r="T123" i="19"/>
  <c r="R115" i="19"/>
  <c r="U115" i="19" s="1"/>
  <c r="T115" i="19"/>
  <c r="O157" i="19"/>
  <c r="Y155" i="19"/>
  <c r="C153" i="32" s="1"/>
  <c r="E153" i="32" s="1"/>
  <c r="T150" i="19"/>
  <c r="T146" i="19"/>
  <c r="Y151" i="19"/>
  <c r="C149" i="32" s="1"/>
  <c r="E149" i="32" s="1"/>
  <c r="Y149" i="19"/>
  <c r="C147" i="32" s="1"/>
  <c r="E147" i="32" s="1"/>
  <c r="Y147" i="19"/>
  <c r="C145" i="32" s="1"/>
  <c r="E145" i="32" s="1"/>
  <c r="G145" i="19"/>
  <c r="T133" i="19"/>
  <c r="R118" i="19"/>
  <c r="U118" i="19" s="1"/>
  <c r="R120" i="19"/>
  <c r="U120" i="19" s="1"/>
  <c r="T107" i="19"/>
  <c r="Y69" i="19"/>
  <c r="C67" i="32" s="1"/>
  <c r="E67" i="32" s="1"/>
  <c r="T69" i="19"/>
  <c r="G67" i="19"/>
  <c r="T53" i="19"/>
  <c r="T38" i="19"/>
  <c r="T37" i="19"/>
  <c r="T19" i="19"/>
  <c r="G116" i="19"/>
  <c r="G114" i="19"/>
  <c r="G106" i="19"/>
  <c r="T101" i="19"/>
  <c r="G98" i="19"/>
  <c r="T93" i="19"/>
  <c r="R93" i="19"/>
  <c r="U93" i="19" s="1"/>
  <c r="G90" i="19"/>
  <c r="R85" i="19"/>
  <c r="U85" i="19" s="1"/>
  <c r="R82" i="19"/>
  <c r="U82" i="19" s="1"/>
  <c r="T73" i="19"/>
  <c r="R73" i="19"/>
  <c r="U73" i="19" s="1"/>
  <c r="Y114" i="19"/>
  <c r="C112" i="32" s="1"/>
  <c r="E112" i="32" s="1"/>
  <c r="T111" i="19"/>
  <c r="Y108" i="19"/>
  <c r="C106" i="32" s="1"/>
  <c r="E106" i="32" s="1"/>
  <c r="R104" i="19"/>
  <c r="U104" i="19" s="1"/>
  <c r="T103" i="19"/>
  <c r="Y100" i="19"/>
  <c r="C98" i="32" s="1"/>
  <c r="E98" i="32" s="1"/>
  <c r="T95" i="19"/>
  <c r="Y92" i="19"/>
  <c r="C90" i="32" s="1"/>
  <c r="E90" i="32" s="1"/>
  <c r="T87" i="19"/>
  <c r="Y84" i="19"/>
  <c r="C82" i="32" s="1"/>
  <c r="T78" i="19"/>
  <c r="R74" i="19"/>
  <c r="U74" i="19" s="1"/>
  <c r="O67" i="19"/>
  <c r="T63" i="19"/>
  <c r="T62" i="19"/>
  <c r="T113" i="19"/>
  <c r="T105" i="19"/>
  <c r="T97" i="19"/>
  <c r="R97" i="19"/>
  <c r="U97" i="19" s="1"/>
  <c r="T89" i="19"/>
  <c r="T81" i="19"/>
  <c r="R81" i="19"/>
  <c r="U81" i="19" s="1"/>
  <c r="T65" i="19"/>
  <c r="R65" i="19"/>
  <c r="U65" i="19" s="1"/>
  <c r="R63" i="19"/>
  <c r="U63" i="19" s="1"/>
  <c r="G61" i="19"/>
  <c r="R58" i="19"/>
  <c r="U58" i="19" s="1"/>
  <c r="R42" i="19"/>
  <c r="U42" i="19" s="1"/>
  <c r="R26" i="19"/>
  <c r="U26" i="19" s="1"/>
  <c r="T26" i="19"/>
  <c r="R23" i="19"/>
  <c r="U23" i="19" s="1"/>
  <c r="T9" i="19"/>
  <c r="R59" i="19"/>
  <c r="U59" i="19" s="1"/>
  <c r="R46" i="19"/>
  <c r="U46" i="19" s="1"/>
  <c r="T46" i="19"/>
  <c r="R30" i="19"/>
  <c r="U30" i="19" s="1"/>
  <c r="T30" i="19"/>
  <c r="T14" i="19"/>
  <c r="R50" i="19"/>
  <c r="U50" i="19" s="1"/>
  <c r="T50" i="19"/>
  <c r="R18" i="19"/>
  <c r="U18" i="19" s="1"/>
  <c r="T18" i="19"/>
  <c r="R52" i="19"/>
  <c r="U52" i="19" s="1"/>
  <c r="R44" i="19"/>
  <c r="U44" i="19" s="1"/>
  <c r="R40" i="19"/>
  <c r="U40" i="19" s="1"/>
  <c r="R36" i="19"/>
  <c r="U36" i="19" s="1"/>
  <c r="R24" i="19"/>
  <c r="U24" i="19" s="1"/>
  <c r="R16" i="19"/>
  <c r="U16" i="19" s="1"/>
  <c r="R8" i="19"/>
  <c r="U8" i="19" s="1"/>
  <c r="R56" i="19" l="1"/>
  <c r="U56" i="19" s="1"/>
  <c r="R27" i="19"/>
  <c r="U27" i="19" s="1"/>
  <c r="T77" i="19"/>
  <c r="R165" i="19"/>
  <c r="U165" i="19" s="1"/>
  <c r="C163" i="12" s="1"/>
  <c r="R192" i="19"/>
  <c r="U192" i="19" s="1"/>
  <c r="R200" i="19"/>
  <c r="U200" i="19" s="1"/>
  <c r="T57" i="19"/>
  <c r="T186" i="19"/>
  <c r="R171" i="19"/>
  <c r="U171" i="19" s="1"/>
  <c r="R238" i="19"/>
  <c r="U238" i="19" s="1"/>
  <c r="R134" i="19"/>
  <c r="U134" i="19" s="1"/>
  <c r="R25" i="19"/>
  <c r="U25" i="19" s="1"/>
  <c r="C23" i="33" s="1"/>
  <c r="R99" i="19"/>
  <c r="U99" i="19" s="1"/>
  <c r="R55" i="19"/>
  <c r="U55" i="19" s="1"/>
  <c r="R183" i="19"/>
  <c r="U183" i="19" s="1"/>
  <c r="T41" i="19"/>
  <c r="R51" i="19"/>
  <c r="U51" i="19" s="1"/>
  <c r="R139" i="19"/>
  <c r="U139" i="19" s="1"/>
  <c r="R17" i="19"/>
  <c r="U17" i="19" s="1"/>
  <c r="R20" i="19"/>
  <c r="U20" i="19" s="1"/>
  <c r="C18" i="39" s="1"/>
  <c r="R13" i="19"/>
  <c r="U13" i="19" s="1"/>
  <c r="R80" i="19"/>
  <c r="U80" i="19" s="1"/>
  <c r="R88" i="19"/>
  <c r="U88" i="19" s="1"/>
  <c r="R96" i="19"/>
  <c r="U96" i="19" s="1"/>
  <c r="C94" i="33" s="1"/>
  <c r="R35" i="19"/>
  <c r="U35" i="19" s="1"/>
  <c r="R174" i="19"/>
  <c r="U174" i="19" s="1"/>
  <c r="R287" i="19"/>
  <c r="U287" i="19" s="1"/>
  <c r="R31" i="19"/>
  <c r="U31" i="19" s="1"/>
  <c r="C29" i="12" s="1"/>
  <c r="R79" i="19"/>
  <c r="U79" i="19" s="1"/>
  <c r="R122" i="19"/>
  <c r="U122" i="19" s="1"/>
  <c r="R72" i="19"/>
  <c r="U72" i="19" s="1"/>
  <c r="R234" i="19"/>
  <c r="U234" i="19" s="1"/>
  <c r="C232" i="12" s="1"/>
  <c r="T17" i="19"/>
  <c r="R43" i="19"/>
  <c r="U43" i="19" s="1"/>
  <c r="T54" i="19"/>
  <c r="T99" i="19"/>
  <c r="R128" i="19"/>
  <c r="U128" i="19" s="1"/>
  <c r="R131" i="19"/>
  <c r="U131" i="19" s="1"/>
  <c r="R241" i="19"/>
  <c r="U241" i="19" s="1"/>
  <c r="R172" i="19"/>
  <c r="U172" i="19" s="1"/>
  <c r="C170" i="39" s="1"/>
  <c r="T238" i="19"/>
  <c r="R272" i="19"/>
  <c r="U272" i="19" s="1"/>
  <c r="R291" i="19"/>
  <c r="U291" i="19" s="1"/>
  <c r="R101" i="19"/>
  <c r="U101" i="19" s="1"/>
  <c r="F99" i="32" s="1"/>
  <c r="G99" i="32" s="1"/>
  <c r="R109" i="19"/>
  <c r="U109" i="19" s="1"/>
  <c r="R48" i="19"/>
  <c r="U48" i="19" s="1"/>
  <c r="R197" i="19"/>
  <c r="U197" i="19" s="1"/>
  <c r="R179" i="19"/>
  <c r="U179" i="19" s="1"/>
  <c r="C177" i="33" s="1"/>
  <c r="R187" i="19"/>
  <c r="U187" i="19" s="1"/>
  <c r="R202" i="19"/>
  <c r="U202" i="19" s="1"/>
  <c r="R222" i="19"/>
  <c r="U222" i="19" s="1"/>
  <c r="R231" i="19"/>
  <c r="U231" i="19" s="1"/>
  <c r="C229" i="33" s="1"/>
  <c r="R155" i="19"/>
  <c r="U155" i="19" s="1"/>
  <c r="R269" i="19"/>
  <c r="U269" i="19" s="1"/>
  <c r="R275" i="19"/>
  <c r="U275" i="19" s="1"/>
  <c r="R283" i="19"/>
  <c r="U283" i="19" s="1"/>
  <c r="C281" i="39" s="1"/>
  <c r="R298" i="19"/>
  <c r="U298" i="19" s="1"/>
  <c r="R313" i="19"/>
  <c r="U313" i="19" s="1"/>
  <c r="R125" i="19"/>
  <c r="U125" i="19" s="1"/>
  <c r="R209" i="19"/>
  <c r="U209" i="19" s="1"/>
  <c r="C207" i="12" s="1"/>
  <c r="R69" i="19"/>
  <c r="U69" i="19" s="1"/>
  <c r="R161" i="19"/>
  <c r="U161" i="19" s="1"/>
  <c r="R213" i="19"/>
  <c r="U213" i="19" s="1"/>
  <c r="R121" i="19"/>
  <c r="U121" i="19" s="1"/>
  <c r="C119" i="12" s="1"/>
  <c r="R71" i="19"/>
  <c r="U71" i="19" s="1"/>
  <c r="R195" i="19"/>
  <c r="U195" i="19" s="1"/>
  <c r="R286" i="19"/>
  <c r="U286" i="19" s="1"/>
  <c r="R301" i="19"/>
  <c r="U301" i="19" s="1"/>
  <c r="C299" i="39" s="1"/>
  <c r="F18" i="32"/>
  <c r="G18" i="32" s="1"/>
  <c r="C16" i="39"/>
  <c r="C16" i="12"/>
  <c r="C16" i="33"/>
  <c r="F16" i="32"/>
  <c r="G16" i="32" s="1"/>
  <c r="C25" i="39"/>
  <c r="C25" i="12"/>
  <c r="C25" i="33"/>
  <c r="F25" i="32"/>
  <c r="G25" i="32" s="1"/>
  <c r="C86" i="12"/>
  <c r="C86" i="39"/>
  <c r="C86" i="33"/>
  <c r="F86" i="32"/>
  <c r="G86" i="32" s="1"/>
  <c r="C118" i="12"/>
  <c r="C118" i="39"/>
  <c r="C118" i="33"/>
  <c r="F118" i="32"/>
  <c r="G118" i="32" s="1"/>
  <c r="C116" i="39"/>
  <c r="C116" i="12"/>
  <c r="C116" i="33"/>
  <c r="F116" i="32"/>
  <c r="G116" i="32" s="1"/>
  <c r="C144" i="39"/>
  <c r="C144" i="12"/>
  <c r="C144" i="33"/>
  <c r="F144" i="32"/>
  <c r="G144" i="32" s="1"/>
  <c r="C142" i="12"/>
  <c r="C142" i="39"/>
  <c r="C142" i="33"/>
  <c r="F142" i="32"/>
  <c r="G142" i="32" s="1"/>
  <c r="C183" i="39"/>
  <c r="C183" i="12"/>
  <c r="F183" i="32"/>
  <c r="G183" i="32" s="1"/>
  <c r="C183" i="33"/>
  <c r="C203" i="39"/>
  <c r="C203" i="12"/>
  <c r="C203" i="33"/>
  <c r="F203" i="32"/>
  <c r="G203" i="32" s="1"/>
  <c r="C231" i="39"/>
  <c r="C231" i="12"/>
  <c r="C231" i="33"/>
  <c r="F231" i="32"/>
  <c r="G231" i="32" s="1"/>
  <c r="C194" i="39"/>
  <c r="C194" i="12"/>
  <c r="C194" i="33"/>
  <c r="F194" i="32"/>
  <c r="G194" i="32" s="1"/>
  <c r="C210" i="39"/>
  <c r="C210" i="12"/>
  <c r="F210" i="32"/>
  <c r="C210" i="33"/>
  <c r="C245" i="39"/>
  <c r="C245" i="12"/>
  <c r="C245" i="33"/>
  <c r="F245" i="32"/>
  <c r="G245" i="32" s="1"/>
  <c r="C158" i="12"/>
  <c r="C158" i="39"/>
  <c r="C158" i="33"/>
  <c r="F158" i="32"/>
  <c r="G158" i="32" s="1"/>
  <c r="C161" i="39"/>
  <c r="C161" i="12"/>
  <c r="C161" i="33"/>
  <c r="F161" i="32"/>
  <c r="G161" i="32" s="1"/>
  <c r="C209" i="39"/>
  <c r="C209" i="12"/>
  <c r="F209" i="32"/>
  <c r="C209" i="33"/>
  <c r="C238" i="39"/>
  <c r="C238" i="12"/>
  <c r="C238" i="33"/>
  <c r="F238" i="32"/>
  <c r="G238" i="32" s="1"/>
  <c r="C204" i="39"/>
  <c r="C204" i="12"/>
  <c r="C204" i="33"/>
  <c r="F204" i="32"/>
  <c r="G204" i="32" s="1"/>
  <c r="C221" i="39"/>
  <c r="C221" i="12"/>
  <c r="C221" i="33"/>
  <c r="F221" i="32"/>
  <c r="G221" i="32" s="1"/>
  <c r="C184" i="39"/>
  <c r="C184" i="12"/>
  <c r="F184" i="32"/>
  <c r="C184" i="33"/>
  <c r="C243" i="39"/>
  <c r="C243" i="12"/>
  <c r="C243" i="33"/>
  <c r="F243" i="32"/>
  <c r="G243" i="32" s="1"/>
  <c r="C266" i="39"/>
  <c r="C266" i="12"/>
  <c r="C266" i="33"/>
  <c r="F266" i="32"/>
  <c r="G266" i="32" s="1"/>
  <c r="C298" i="39"/>
  <c r="C298" i="12"/>
  <c r="F298" i="32"/>
  <c r="C298" i="33"/>
  <c r="C259" i="39"/>
  <c r="C259" i="12"/>
  <c r="C259" i="33"/>
  <c r="F259" i="32"/>
  <c r="G259" i="32" s="1"/>
  <c r="C303" i="39"/>
  <c r="C303" i="12"/>
  <c r="C303" i="33"/>
  <c r="F303" i="32"/>
  <c r="G303" i="32" s="1"/>
  <c r="C313" i="39"/>
  <c r="C313" i="12"/>
  <c r="C313" i="33"/>
  <c r="F313" i="32"/>
  <c r="G313" i="32" s="1"/>
  <c r="C285" i="39"/>
  <c r="C285" i="12"/>
  <c r="C285" i="33"/>
  <c r="F285" i="32"/>
  <c r="C277" i="39"/>
  <c r="C277" i="12"/>
  <c r="C277" i="33"/>
  <c r="F277" i="32"/>
  <c r="G277" i="32" s="1"/>
  <c r="F29" i="32"/>
  <c r="C77" i="39"/>
  <c r="C77" i="12"/>
  <c r="C77" i="33"/>
  <c r="F77" i="32"/>
  <c r="G77" i="32" s="1"/>
  <c r="C120" i="39"/>
  <c r="C120" i="12"/>
  <c r="C120" i="33"/>
  <c r="F120" i="32"/>
  <c r="G120" i="32" s="1"/>
  <c r="C8" i="39"/>
  <c r="C8" i="12"/>
  <c r="C8" i="33"/>
  <c r="F8" i="32"/>
  <c r="G8" i="32" s="1"/>
  <c r="C52" i="39"/>
  <c r="C52" i="12"/>
  <c r="C52" i="33"/>
  <c r="F52" i="32"/>
  <c r="G52" i="32" s="1"/>
  <c r="C70" i="12"/>
  <c r="C70" i="39"/>
  <c r="C70" i="33"/>
  <c r="F70" i="32"/>
  <c r="G70" i="32" s="1"/>
  <c r="R19" i="19"/>
  <c r="U19" i="19" s="1"/>
  <c r="R33" i="19"/>
  <c r="U33" i="19" s="1"/>
  <c r="R75" i="19"/>
  <c r="U75" i="19" s="1"/>
  <c r="G184" i="32"/>
  <c r="C269" i="39"/>
  <c r="C269" i="12"/>
  <c r="C269" i="33"/>
  <c r="F269" i="32"/>
  <c r="G269" i="32" s="1"/>
  <c r="G298" i="32"/>
  <c r="C38" i="12"/>
  <c r="C38" i="39"/>
  <c r="C38" i="33"/>
  <c r="F38" i="32"/>
  <c r="G38" i="32" s="1"/>
  <c r="C54" i="12"/>
  <c r="C54" i="39"/>
  <c r="C54" i="33"/>
  <c r="F54" i="32"/>
  <c r="G54" i="32" s="1"/>
  <c r="C62" i="12"/>
  <c r="C62" i="39"/>
  <c r="C62" i="33"/>
  <c r="F62" i="32"/>
  <c r="G62" i="32" s="1"/>
  <c r="C28" i="39"/>
  <c r="C28" i="12"/>
  <c r="C28" i="33"/>
  <c r="F28" i="32"/>
  <c r="G28" i="32" s="1"/>
  <c r="C21" i="12"/>
  <c r="C21" i="39"/>
  <c r="C21" i="33"/>
  <c r="F21" i="32"/>
  <c r="G21" i="32" s="1"/>
  <c r="C79" i="39"/>
  <c r="C79" i="12"/>
  <c r="C79" i="33"/>
  <c r="F79" i="32"/>
  <c r="G79" i="32" s="1"/>
  <c r="C78" i="12"/>
  <c r="C78" i="39"/>
  <c r="C78" i="33"/>
  <c r="F78" i="32"/>
  <c r="G78" i="32" s="1"/>
  <c r="C94" i="39"/>
  <c r="C102" i="12"/>
  <c r="C102" i="39"/>
  <c r="C102" i="33"/>
  <c r="F102" i="32"/>
  <c r="G102" i="32" s="1"/>
  <c r="C83" i="39"/>
  <c r="C83" i="12"/>
  <c r="C83" i="33"/>
  <c r="F83" i="32"/>
  <c r="G83" i="32" s="1"/>
  <c r="C6" i="12"/>
  <c r="C6" i="39"/>
  <c r="C6" i="33"/>
  <c r="F6" i="32"/>
  <c r="G6" i="32" s="1"/>
  <c r="C22" i="12"/>
  <c r="C22" i="39"/>
  <c r="C22" i="33"/>
  <c r="F22" i="32"/>
  <c r="G22" i="32" s="1"/>
  <c r="C42" i="39"/>
  <c r="C42" i="12"/>
  <c r="C42" i="33"/>
  <c r="F42" i="32"/>
  <c r="G42" i="32" s="1"/>
  <c r="C41" i="39"/>
  <c r="C41" i="12"/>
  <c r="C41" i="33"/>
  <c r="F41" i="32"/>
  <c r="G41" i="32" s="1"/>
  <c r="C44" i="39"/>
  <c r="C44" i="12"/>
  <c r="C44" i="33"/>
  <c r="F44" i="32"/>
  <c r="G44" i="32" s="1"/>
  <c r="C23" i="12"/>
  <c r="C55" i="39"/>
  <c r="C55" i="12"/>
  <c r="C55" i="33"/>
  <c r="F55" i="32"/>
  <c r="G55" i="32" s="1"/>
  <c r="C61" i="39"/>
  <c r="C61" i="12"/>
  <c r="C61" i="33"/>
  <c r="F61" i="32"/>
  <c r="G61" i="32" s="1"/>
  <c r="C60" i="39"/>
  <c r="C60" i="12"/>
  <c r="C60" i="33"/>
  <c r="F60" i="32"/>
  <c r="G60" i="32" s="1"/>
  <c r="C72" i="39"/>
  <c r="C72" i="12"/>
  <c r="C72" i="33"/>
  <c r="F72" i="32"/>
  <c r="G72" i="32" s="1"/>
  <c r="C71" i="39"/>
  <c r="C71" i="12"/>
  <c r="C71" i="33"/>
  <c r="F71" i="32"/>
  <c r="G71" i="32" s="1"/>
  <c r="C36" i="39"/>
  <c r="C36" i="12"/>
  <c r="C36" i="33"/>
  <c r="F36" i="32"/>
  <c r="G36" i="32" s="1"/>
  <c r="C126" i="12"/>
  <c r="C126" i="39"/>
  <c r="C126" i="33"/>
  <c r="F126" i="32"/>
  <c r="C129" i="39"/>
  <c r="C129" i="12"/>
  <c r="C129" i="33"/>
  <c r="F129" i="32"/>
  <c r="G129" i="32" s="1"/>
  <c r="C132" i="39"/>
  <c r="C132" i="12"/>
  <c r="C132" i="33"/>
  <c r="F132" i="32"/>
  <c r="G132" i="32" s="1"/>
  <c r="C113" i="39"/>
  <c r="C113" i="12"/>
  <c r="C113" i="33"/>
  <c r="F113" i="32"/>
  <c r="G113" i="32" s="1"/>
  <c r="C124" i="39"/>
  <c r="C124" i="12"/>
  <c r="C124" i="33"/>
  <c r="F124" i="32"/>
  <c r="G124" i="32" s="1"/>
  <c r="C191" i="39"/>
  <c r="C191" i="12"/>
  <c r="C191" i="33"/>
  <c r="F191" i="32"/>
  <c r="G191" i="32" s="1"/>
  <c r="C215" i="39"/>
  <c r="C215" i="12"/>
  <c r="F215" i="32"/>
  <c r="G215" i="32" s="1"/>
  <c r="C215" i="33"/>
  <c r="C239" i="39"/>
  <c r="C239" i="12"/>
  <c r="C239" i="33"/>
  <c r="F239" i="32"/>
  <c r="G239" i="32" s="1"/>
  <c r="C164" i="39"/>
  <c r="C164" i="12"/>
  <c r="F164" i="32"/>
  <c r="C164" i="33"/>
  <c r="C247" i="39"/>
  <c r="C247" i="12"/>
  <c r="C247" i="33"/>
  <c r="F247" i="32"/>
  <c r="G247" i="32" s="1"/>
  <c r="C253" i="39"/>
  <c r="C253" i="12"/>
  <c r="C253" i="33"/>
  <c r="F253" i="32"/>
  <c r="G253" i="32" s="1"/>
  <c r="C186" i="39"/>
  <c r="C186" i="12"/>
  <c r="F186" i="32"/>
  <c r="C186" i="33"/>
  <c r="C218" i="39"/>
  <c r="C218" i="12"/>
  <c r="F218" i="32"/>
  <c r="C218" i="33"/>
  <c r="C152" i="39"/>
  <c r="C152" i="12"/>
  <c r="C152" i="33"/>
  <c r="F152" i="32"/>
  <c r="G152" i="32" s="1"/>
  <c r="C169" i="39"/>
  <c r="C169" i="12"/>
  <c r="C169" i="33"/>
  <c r="F169" i="32"/>
  <c r="G169" i="32" s="1"/>
  <c r="C214" i="39"/>
  <c r="C214" i="12"/>
  <c r="C214" i="33"/>
  <c r="F214" i="32"/>
  <c r="G214" i="32" s="1"/>
  <c r="C232" i="39"/>
  <c r="C270" i="39"/>
  <c r="C270" i="12"/>
  <c r="C270" i="33"/>
  <c r="F270" i="32"/>
  <c r="G270" i="32" s="1"/>
  <c r="C306" i="39"/>
  <c r="C306" i="12"/>
  <c r="C306" i="33"/>
  <c r="F306" i="32"/>
  <c r="G306" i="32" s="1"/>
  <c r="C289" i="39"/>
  <c r="C289" i="12"/>
  <c r="C289" i="33"/>
  <c r="F289" i="32"/>
  <c r="G289" i="32" s="1"/>
  <c r="C271" i="39"/>
  <c r="C271" i="12"/>
  <c r="C271" i="33"/>
  <c r="F271" i="32"/>
  <c r="G271" i="32" s="1"/>
  <c r="C308" i="39"/>
  <c r="C308" i="12"/>
  <c r="C308" i="33"/>
  <c r="F308" i="32"/>
  <c r="C39" i="39"/>
  <c r="C39" i="12"/>
  <c r="C39" i="33"/>
  <c r="F39" i="32"/>
  <c r="G39" i="32" s="1"/>
  <c r="G218" i="32"/>
  <c r="G164" i="32"/>
  <c r="G210" i="32"/>
  <c r="G285" i="32"/>
  <c r="C305" i="39"/>
  <c r="C305" i="12"/>
  <c r="C305" i="33"/>
  <c r="F305" i="32"/>
  <c r="G305" i="32" s="1"/>
  <c r="C280" i="39"/>
  <c r="C280" i="12"/>
  <c r="C280" i="33"/>
  <c r="F280" i="32"/>
  <c r="G280" i="32" s="1"/>
  <c r="C295" i="39"/>
  <c r="C295" i="12"/>
  <c r="C295" i="33"/>
  <c r="F295" i="32"/>
  <c r="G295" i="32" s="1"/>
  <c r="C107" i="39"/>
  <c r="C107" i="12"/>
  <c r="C107" i="33"/>
  <c r="F107" i="32"/>
  <c r="G107" i="32" s="1"/>
  <c r="C122" i="39"/>
  <c r="C122" i="12"/>
  <c r="C122" i="33"/>
  <c r="F122" i="32"/>
  <c r="C219" i="39"/>
  <c r="C219" i="12"/>
  <c r="F219" i="32"/>
  <c r="G219" i="32" s="1"/>
  <c r="C219" i="33"/>
  <c r="C26" i="39"/>
  <c r="C26" i="12"/>
  <c r="C26" i="33"/>
  <c r="F26" i="32"/>
  <c r="G26" i="32" s="1"/>
  <c r="C15" i="39"/>
  <c r="C15" i="12"/>
  <c r="C15" i="33"/>
  <c r="F15" i="32"/>
  <c r="G15" i="32" s="1"/>
  <c r="C11" i="39"/>
  <c r="C11" i="12"/>
  <c r="C11" i="33"/>
  <c r="F11" i="32"/>
  <c r="G11" i="32" s="1"/>
  <c r="C40" i="39"/>
  <c r="C40" i="12"/>
  <c r="C40" i="33"/>
  <c r="F40" i="32"/>
  <c r="G40" i="32" s="1"/>
  <c r="C63" i="39"/>
  <c r="C63" i="12"/>
  <c r="C63" i="33"/>
  <c r="F63" i="32"/>
  <c r="G63" i="32" s="1"/>
  <c r="C111" i="39"/>
  <c r="C111" i="12"/>
  <c r="C111" i="33"/>
  <c r="F111" i="32"/>
  <c r="G111" i="32" s="1"/>
  <c r="C49" i="39"/>
  <c r="C49" i="12"/>
  <c r="C49" i="33"/>
  <c r="F49" i="32"/>
  <c r="G49" i="32" s="1"/>
  <c r="C97" i="39"/>
  <c r="C97" i="12"/>
  <c r="C97" i="33"/>
  <c r="F97" i="32"/>
  <c r="G97" i="32" s="1"/>
  <c r="C121" i="39"/>
  <c r="C121" i="12"/>
  <c r="C121" i="33"/>
  <c r="F121" i="32"/>
  <c r="G121" i="32" s="1"/>
  <c r="C137" i="39"/>
  <c r="C137" i="12"/>
  <c r="C137" i="33"/>
  <c r="F137" i="32"/>
  <c r="G137" i="32" s="1"/>
  <c r="C163" i="39"/>
  <c r="C195" i="39"/>
  <c r="C195" i="12"/>
  <c r="C195" i="33"/>
  <c r="F195" i="32"/>
  <c r="G195" i="32" s="1"/>
  <c r="C223" i="39"/>
  <c r="C223" i="12"/>
  <c r="F223" i="32"/>
  <c r="G223" i="32" s="1"/>
  <c r="C223" i="33"/>
  <c r="C162" i="39"/>
  <c r="C162" i="12"/>
  <c r="C162" i="33"/>
  <c r="F162" i="32"/>
  <c r="G162" i="32" s="1"/>
  <c r="C180" i="39"/>
  <c r="C180" i="12"/>
  <c r="F180" i="32"/>
  <c r="G180" i="32" s="1"/>
  <c r="C180" i="33"/>
  <c r="C228" i="39"/>
  <c r="C228" i="12"/>
  <c r="C228" i="33"/>
  <c r="F228" i="32"/>
  <c r="C251" i="39"/>
  <c r="C251" i="12"/>
  <c r="C251" i="33"/>
  <c r="F251" i="32"/>
  <c r="G251" i="32" s="1"/>
  <c r="C255" i="39"/>
  <c r="C255" i="12"/>
  <c r="C255" i="33"/>
  <c r="F255" i="32"/>
  <c r="G255" i="32" s="1"/>
  <c r="C208" i="39"/>
  <c r="C208" i="12"/>
  <c r="C208" i="33"/>
  <c r="F208" i="32"/>
  <c r="G208" i="32" s="1"/>
  <c r="C236" i="39"/>
  <c r="C236" i="12"/>
  <c r="F236" i="32"/>
  <c r="C236" i="33"/>
  <c r="C198" i="12"/>
  <c r="C198" i="39"/>
  <c r="C198" i="33"/>
  <c r="F198" i="32"/>
  <c r="G198" i="32" s="1"/>
  <c r="C258" i="39"/>
  <c r="C258" i="12"/>
  <c r="C258" i="33"/>
  <c r="F258" i="32"/>
  <c r="G258" i="32" s="1"/>
  <c r="C278" i="39"/>
  <c r="C278" i="12"/>
  <c r="C278" i="33"/>
  <c r="F278" i="32"/>
  <c r="G278" i="32" s="1"/>
  <c r="C261" i="12"/>
  <c r="C261" i="39"/>
  <c r="C261" i="33"/>
  <c r="F261" i="32"/>
  <c r="G261" i="32" s="1"/>
  <c r="C310" i="39"/>
  <c r="C310" i="12"/>
  <c r="C310" i="33"/>
  <c r="F310" i="32"/>
  <c r="G310" i="32" s="1"/>
  <c r="C265" i="39"/>
  <c r="C265" i="12"/>
  <c r="C265" i="33"/>
  <c r="F265" i="32"/>
  <c r="G265" i="32" s="1"/>
  <c r="C293" i="39"/>
  <c r="C293" i="12"/>
  <c r="C293" i="33"/>
  <c r="F293" i="32"/>
  <c r="G293" i="32" s="1"/>
  <c r="C173" i="39"/>
  <c r="C173" i="12"/>
  <c r="C173" i="33"/>
  <c r="F173" i="32"/>
  <c r="G173" i="32" s="1"/>
  <c r="G122" i="32"/>
  <c r="C185" i="39"/>
  <c r="C185" i="12"/>
  <c r="C185" i="33"/>
  <c r="F185" i="32"/>
  <c r="C200" i="39"/>
  <c r="C200" i="12"/>
  <c r="F200" i="32"/>
  <c r="G200" i="32" s="1"/>
  <c r="C200" i="33"/>
  <c r="C220" i="39"/>
  <c r="C220" i="12"/>
  <c r="C220" i="33"/>
  <c r="F220" i="32"/>
  <c r="G220" i="32" s="1"/>
  <c r="G228" i="32"/>
  <c r="C133" i="12"/>
  <c r="C133" i="39"/>
  <c r="C133" i="33"/>
  <c r="F133" i="32"/>
  <c r="G133" i="32" s="1"/>
  <c r="C153" i="39"/>
  <c r="C153" i="12"/>
  <c r="C153" i="33"/>
  <c r="F153" i="32"/>
  <c r="G153" i="32" s="1"/>
  <c r="C257" i="39"/>
  <c r="C257" i="12"/>
  <c r="C257" i="33"/>
  <c r="F257" i="32"/>
  <c r="G257" i="32" s="1"/>
  <c r="C267" i="39"/>
  <c r="C267" i="12"/>
  <c r="C267" i="33"/>
  <c r="F267" i="32"/>
  <c r="G267" i="32" s="1"/>
  <c r="C273" i="39"/>
  <c r="C273" i="12"/>
  <c r="C273" i="33"/>
  <c r="F273" i="32"/>
  <c r="G273" i="32" s="1"/>
  <c r="F281" i="32"/>
  <c r="G281" i="32" s="1"/>
  <c r="C296" i="39"/>
  <c r="C296" i="12"/>
  <c r="C296" i="33"/>
  <c r="F296" i="32"/>
  <c r="G296" i="32" s="1"/>
  <c r="C284" i="39"/>
  <c r="C284" i="12"/>
  <c r="C284" i="33"/>
  <c r="F284" i="32"/>
  <c r="G284" i="32" s="1"/>
  <c r="C311" i="39"/>
  <c r="C311" i="12"/>
  <c r="C311" i="33"/>
  <c r="F311" i="32"/>
  <c r="R37" i="19"/>
  <c r="U37" i="19" s="1"/>
  <c r="C89" i="39"/>
  <c r="C89" i="12"/>
  <c r="C89" i="33"/>
  <c r="F89" i="32"/>
  <c r="G89" i="32" s="1"/>
  <c r="C103" i="39"/>
  <c r="C103" i="12"/>
  <c r="C103" i="33"/>
  <c r="F103" i="32"/>
  <c r="G103" i="32" s="1"/>
  <c r="C154" i="39"/>
  <c r="C154" i="12"/>
  <c r="C154" i="33"/>
  <c r="F154" i="32"/>
  <c r="C189" i="39"/>
  <c r="C189" i="12"/>
  <c r="C189" i="33"/>
  <c r="F189" i="32"/>
  <c r="C75" i="39"/>
  <c r="C75" i="12"/>
  <c r="C75" i="33"/>
  <c r="F75" i="32"/>
  <c r="C123" i="39"/>
  <c r="C123" i="12"/>
  <c r="C123" i="33"/>
  <c r="F123" i="32"/>
  <c r="G123" i="32" s="1"/>
  <c r="R129" i="19"/>
  <c r="U129" i="19" s="1"/>
  <c r="R9" i="19"/>
  <c r="U9" i="19" s="1"/>
  <c r="C288" i="39"/>
  <c r="C288" i="12"/>
  <c r="C288" i="33"/>
  <c r="F288" i="32"/>
  <c r="G288" i="32" s="1"/>
  <c r="G209" i="32"/>
  <c r="R281" i="19"/>
  <c r="U281" i="19" s="1"/>
  <c r="G308" i="32"/>
  <c r="C148" i="39"/>
  <c r="C148" i="12"/>
  <c r="C148" i="33"/>
  <c r="F148" i="32"/>
  <c r="G148" i="32" s="1"/>
  <c r="R265" i="19"/>
  <c r="U265" i="19" s="1"/>
  <c r="R284" i="19"/>
  <c r="U284" i="19" s="1"/>
  <c r="R215" i="19"/>
  <c r="U215" i="19" s="1"/>
  <c r="R266" i="19"/>
  <c r="U266" i="19" s="1"/>
  <c r="C67" i="39"/>
  <c r="C67" i="12"/>
  <c r="C67" i="33"/>
  <c r="F67" i="32"/>
  <c r="G67" i="32" s="1"/>
  <c r="R143" i="19"/>
  <c r="U143" i="19" s="1"/>
  <c r="C159" i="39"/>
  <c r="C159" i="12"/>
  <c r="C159" i="33"/>
  <c r="F159" i="32"/>
  <c r="C211" i="39"/>
  <c r="C211" i="12"/>
  <c r="C211" i="33"/>
  <c r="F211" i="32"/>
  <c r="G211" i="32" s="1"/>
  <c r="G29" i="32"/>
  <c r="R53" i="19"/>
  <c r="U53" i="19" s="1"/>
  <c r="R107" i="19"/>
  <c r="U107" i="19" s="1"/>
  <c r="R169" i="19"/>
  <c r="U169" i="19" s="1"/>
  <c r="C249" i="39"/>
  <c r="C249" i="12"/>
  <c r="C249" i="33"/>
  <c r="F249" i="32"/>
  <c r="G249" i="32" s="1"/>
  <c r="C10" i="39"/>
  <c r="C10" i="12"/>
  <c r="C10" i="33"/>
  <c r="F10" i="32"/>
  <c r="G10" i="32" s="1"/>
  <c r="C46" i="12"/>
  <c r="C46" i="39"/>
  <c r="C46" i="33"/>
  <c r="F46" i="32"/>
  <c r="G46" i="32" s="1"/>
  <c r="C57" i="39"/>
  <c r="C57" i="12"/>
  <c r="C57" i="33"/>
  <c r="F57" i="32"/>
  <c r="G57" i="32" s="1"/>
  <c r="C33" i="39"/>
  <c r="C33" i="12"/>
  <c r="C33" i="33"/>
  <c r="F33" i="32"/>
  <c r="G33" i="32" s="1"/>
  <c r="C14" i="12"/>
  <c r="C14" i="39"/>
  <c r="C14" i="33"/>
  <c r="F14" i="32"/>
  <c r="G14" i="32" s="1"/>
  <c r="C34" i="39"/>
  <c r="C34" i="12"/>
  <c r="C34" i="33"/>
  <c r="F34" i="32"/>
  <c r="G34" i="32" s="1"/>
  <c r="C50" i="39"/>
  <c r="C50" i="12"/>
  <c r="C50" i="33"/>
  <c r="F50" i="32"/>
  <c r="G50" i="32" s="1"/>
  <c r="C48" i="39"/>
  <c r="C48" i="12"/>
  <c r="C48" i="33"/>
  <c r="F48" i="32"/>
  <c r="G48" i="32" s="1"/>
  <c r="C43" i="39"/>
  <c r="C43" i="12"/>
  <c r="C43" i="33"/>
  <c r="F43" i="32"/>
  <c r="G43" i="32" s="1"/>
  <c r="C24" i="39"/>
  <c r="C24" i="12"/>
  <c r="C24" i="33"/>
  <c r="F24" i="32"/>
  <c r="G24" i="32" s="1"/>
  <c r="C53" i="12"/>
  <c r="C53" i="39"/>
  <c r="C53" i="33"/>
  <c r="F53" i="32"/>
  <c r="G53" i="32" s="1"/>
  <c r="C56" i="39"/>
  <c r="C56" i="12"/>
  <c r="C56" i="33"/>
  <c r="F56" i="32"/>
  <c r="G56" i="32" s="1"/>
  <c r="C95" i="39"/>
  <c r="C95" i="12"/>
  <c r="C95" i="33"/>
  <c r="F95" i="32"/>
  <c r="G95" i="32" s="1"/>
  <c r="C85" i="12"/>
  <c r="C85" i="39"/>
  <c r="C85" i="33"/>
  <c r="F85" i="32"/>
  <c r="G85" i="32" s="1"/>
  <c r="C93" i="39"/>
  <c r="C93" i="12"/>
  <c r="C93" i="33"/>
  <c r="F93" i="32"/>
  <c r="G93" i="32" s="1"/>
  <c r="C101" i="12"/>
  <c r="C101" i="39"/>
  <c r="C101" i="33"/>
  <c r="F101" i="32"/>
  <c r="G101" i="32" s="1"/>
  <c r="C110" i="12"/>
  <c r="C110" i="39"/>
  <c r="C110" i="33"/>
  <c r="F110" i="32"/>
  <c r="G110" i="32" s="1"/>
  <c r="C80" i="39"/>
  <c r="C80" i="12"/>
  <c r="C80" i="33"/>
  <c r="F80" i="32"/>
  <c r="G80" i="32" s="1"/>
  <c r="C91" i="39"/>
  <c r="C91" i="12"/>
  <c r="C91" i="33"/>
  <c r="F91" i="32"/>
  <c r="G91" i="32" s="1"/>
  <c r="C136" i="39"/>
  <c r="C136" i="12"/>
  <c r="C136" i="33"/>
  <c r="F136" i="32"/>
  <c r="G136" i="32" s="1"/>
  <c r="C179" i="39"/>
  <c r="C179" i="12"/>
  <c r="C179" i="33"/>
  <c r="F179" i="32"/>
  <c r="G179" i="32" s="1"/>
  <c r="C199" i="39"/>
  <c r="C199" i="12"/>
  <c r="F199" i="32"/>
  <c r="G199" i="32" s="1"/>
  <c r="C199" i="33"/>
  <c r="C227" i="39"/>
  <c r="C227" i="12"/>
  <c r="C227" i="33"/>
  <c r="F227" i="32"/>
  <c r="G227" i="32" s="1"/>
  <c r="C165" i="12"/>
  <c r="C165" i="39"/>
  <c r="C165" i="33"/>
  <c r="F165" i="32"/>
  <c r="G165" i="32" s="1"/>
  <c r="C181" i="12"/>
  <c r="C181" i="39"/>
  <c r="C181" i="33"/>
  <c r="F181" i="32"/>
  <c r="G181" i="32" s="1"/>
  <c r="C196" i="39"/>
  <c r="C196" i="12"/>
  <c r="F196" i="32"/>
  <c r="G196" i="32" s="1"/>
  <c r="C196" i="33"/>
  <c r="C226" i="39"/>
  <c r="C226" i="12"/>
  <c r="C226" i="33"/>
  <c r="F226" i="32"/>
  <c r="G226" i="32" s="1"/>
  <c r="C190" i="12"/>
  <c r="C190" i="39"/>
  <c r="F190" i="32"/>
  <c r="G190" i="32" s="1"/>
  <c r="C190" i="33"/>
  <c r="C225" i="39"/>
  <c r="C225" i="12"/>
  <c r="F225" i="32"/>
  <c r="G225" i="32" s="1"/>
  <c r="C225" i="33"/>
  <c r="C240" i="39"/>
  <c r="C240" i="12"/>
  <c r="C240" i="33"/>
  <c r="F240" i="32"/>
  <c r="G240" i="32" s="1"/>
  <c r="C156" i="39"/>
  <c r="C156" i="12"/>
  <c r="C156" i="33"/>
  <c r="F156" i="32"/>
  <c r="G156" i="32" s="1"/>
  <c r="C172" i="39"/>
  <c r="C172" i="12"/>
  <c r="F172" i="32"/>
  <c r="G172" i="32" s="1"/>
  <c r="C172" i="33"/>
  <c r="C217" i="39"/>
  <c r="C217" i="12"/>
  <c r="C217" i="33"/>
  <c r="F217" i="32"/>
  <c r="G217" i="32" s="1"/>
  <c r="C233" i="39"/>
  <c r="C233" i="12"/>
  <c r="C233" i="33"/>
  <c r="F233" i="32"/>
  <c r="G233" i="32" s="1"/>
  <c r="C262" i="39"/>
  <c r="C262" i="12"/>
  <c r="C262" i="33"/>
  <c r="F262" i="32"/>
  <c r="G262" i="32" s="1"/>
  <c r="C286" i="39"/>
  <c r="C286" i="12"/>
  <c r="C286" i="33"/>
  <c r="F286" i="32"/>
  <c r="G286" i="32" s="1"/>
  <c r="C275" i="39"/>
  <c r="C275" i="12"/>
  <c r="C275" i="33"/>
  <c r="F275" i="32"/>
  <c r="G275" i="32" s="1"/>
  <c r="C312" i="39"/>
  <c r="C312" i="12"/>
  <c r="C312" i="33"/>
  <c r="F312" i="32"/>
  <c r="G312" i="32" s="1"/>
  <c r="C272" i="39"/>
  <c r="C272" i="12"/>
  <c r="C272" i="33"/>
  <c r="F272" i="32"/>
  <c r="G272" i="32" s="1"/>
  <c r="C301" i="39"/>
  <c r="C301" i="12"/>
  <c r="C301" i="33"/>
  <c r="F301" i="32"/>
  <c r="G301" i="32" s="1"/>
  <c r="C309" i="39"/>
  <c r="C309" i="12"/>
  <c r="C309" i="33"/>
  <c r="F309" i="32"/>
  <c r="G309" i="32" s="1"/>
  <c r="R14" i="19"/>
  <c r="U14" i="19" s="1"/>
  <c r="C119" i="39"/>
  <c r="C69" i="12"/>
  <c r="C69" i="39"/>
  <c r="C69" i="33"/>
  <c r="F69" i="32"/>
  <c r="G69" i="32" s="1"/>
  <c r="R111" i="19"/>
  <c r="U111" i="19" s="1"/>
  <c r="R119" i="19"/>
  <c r="U119" i="19" s="1"/>
  <c r="C131" i="39"/>
  <c r="C131" i="12"/>
  <c r="C131" i="33"/>
  <c r="F131" i="32"/>
  <c r="G131" i="32" s="1"/>
  <c r="C140" i="39"/>
  <c r="C140" i="12"/>
  <c r="C140" i="33"/>
  <c r="F140" i="32"/>
  <c r="G140" i="32" s="1"/>
  <c r="R168" i="19"/>
  <c r="U168" i="19" s="1"/>
  <c r="G186" i="32"/>
  <c r="C193" i="39"/>
  <c r="C193" i="12"/>
  <c r="C193" i="33"/>
  <c r="F193" i="32"/>
  <c r="G193" i="32" s="1"/>
  <c r="C201" i="39"/>
  <c r="C201" i="12"/>
  <c r="F201" i="32"/>
  <c r="G201" i="32" s="1"/>
  <c r="C201" i="33"/>
  <c r="R224" i="19"/>
  <c r="U224" i="19" s="1"/>
  <c r="G236" i="32"/>
  <c r="G126" i="32"/>
  <c r="C147" i="39"/>
  <c r="C147" i="12"/>
  <c r="C147" i="33"/>
  <c r="F147" i="32"/>
  <c r="G147" i="32" s="1"/>
  <c r="G159" i="32"/>
  <c r="R178" i="19"/>
  <c r="U178" i="19" s="1"/>
  <c r="R184" i="19"/>
  <c r="U184" i="19" s="1"/>
  <c r="R226" i="19"/>
  <c r="U226" i="19" s="1"/>
  <c r="C128" i="39"/>
  <c r="C128" i="12"/>
  <c r="C128" i="33"/>
  <c r="F128" i="32"/>
  <c r="G128" i="32" s="1"/>
  <c r="C135" i="39"/>
  <c r="C135" i="12"/>
  <c r="C135" i="33"/>
  <c r="F135" i="32"/>
  <c r="G135" i="32" s="1"/>
  <c r="G154" i="32"/>
  <c r="G189" i="32"/>
  <c r="G311" i="32"/>
  <c r="G75" i="32"/>
  <c r="G185" i="32"/>
  <c r="E82" i="32"/>
  <c r="R15" i="19"/>
  <c r="U15" i="19" s="1"/>
  <c r="R39" i="19"/>
  <c r="U39" i="19" s="1"/>
  <c r="T75" i="19"/>
  <c r="T125" i="19"/>
  <c r="T156" i="19"/>
  <c r="T122" i="19"/>
  <c r="T191" i="19"/>
  <c r="R296" i="19"/>
  <c r="U296" i="19" s="1"/>
  <c r="T313" i="19"/>
  <c r="R117" i="19"/>
  <c r="U117" i="19" s="1"/>
  <c r="R170" i="19"/>
  <c r="U170" i="19" s="1"/>
  <c r="R153" i="19"/>
  <c r="U153" i="19" s="1"/>
  <c r="R32" i="19"/>
  <c r="U32" i="19" s="1"/>
  <c r="R47" i="19"/>
  <c r="U47" i="19" s="1"/>
  <c r="R60" i="19"/>
  <c r="U60" i="19" s="1"/>
  <c r="T10" i="19"/>
  <c r="T79" i="19"/>
  <c r="R70" i="19"/>
  <c r="U70" i="19" s="1"/>
  <c r="T91" i="19"/>
  <c r="R132" i="19"/>
  <c r="U132" i="19" s="1"/>
  <c r="T130" i="19"/>
  <c r="R148" i="19"/>
  <c r="U148" i="19" s="1"/>
  <c r="R177" i="19"/>
  <c r="U177" i="19" s="1"/>
  <c r="T251" i="19"/>
  <c r="R309" i="19"/>
  <c r="U309" i="19" s="1"/>
  <c r="T290" i="19"/>
  <c r="T72" i="19"/>
  <c r="R140" i="19"/>
  <c r="U140" i="19" s="1"/>
  <c r="T203" i="19"/>
  <c r="R262" i="19"/>
  <c r="U262" i="19" s="1"/>
  <c r="R78" i="19"/>
  <c r="U78" i="19" s="1"/>
  <c r="R194" i="19"/>
  <c r="U194" i="19" s="1"/>
  <c r="R199" i="19"/>
  <c r="U199" i="19" s="1"/>
  <c r="R294" i="19"/>
  <c r="U294" i="19" s="1"/>
  <c r="R304" i="19"/>
  <c r="U304" i="19" s="1"/>
  <c r="R232" i="19"/>
  <c r="U232" i="19" s="1"/>
  <c r="R22" i="19"/>
  <c r="U22" i="19" s="1"/>
  <c r="R159" i="19"/>
  <c r="U159" i="19" s="1"/>
  <c r="R302" i="19"/>
  <c r="U302" i="19" s="1"/>
  <c r="R239" i="19"/>
  <c r="U239" i="19" s="1"/>
  <c r="R270" i="19"/>
  <c r="U270" i="19" s="1"/>
  <c r="R278" i="19"/>
  <c r="U278" i="19" s="1"/>
  <c r="R285" i="19"/>
  <c r="U285" i="19" s="1"/>
  <c r="R293" i="19"/>
  <c r="U293" i="19" s="1"/>
  <c r="R299" i="19"/>
  <c r="U299" i="19" s="1"/>
  <c r="R306" i="19"/>
  <c r="U306" i="19" s="1"/>
  <c r="R89" i="19"/>
  <c r="U89" i="19" s="1"/>
  <c r="R190" i="19"/>
  <c r="U190" i="19" s="1"/>
  <c r="R173" i="19"/>
  <c r="U173" i="19" s="1"/>
  <c r="R180" i="19"/>
  <c r="U180" i="19" s="1"/>
  <c r="R243" i="19"/>
  <c r="U243" i="19" s="1"/>
  <c r="R289" i="19"/>
  <c r="U289" i="19" s="1"/>
  <c r="R162" i="19"/>
  <c r="U162" i="19" s="1"/>
  <c r="R207" i="19"/>
  <c r="U207" i="19" s="1"/>
  <c r="R214" i="19"/>
  <c r="U214" i="19" s="1"/>
  <c r="R83" i="19"/>
  <c r="U83" i="19" s="1"/>
  <c r="R21" i="19"/>
  <c r="U21" i="19" s="1"/>
  <c r="R29" i="19"/>
  <c r="U29" i="19" s="1"/>
  <c r="R34" i="19"/>
  <c r="U34" i="19" s="1"/>
  <c r="R49" i="19"/>
  <c r="U49" i="19" s="1"/>
  <c r="R218" i="19"/>
  <c r="U218" i="19" s="1"/>
  <c r="T71" i="19"/>
  <c r="T94" i="19"/>
  <c r="R94" i="19"/>
  <c r="U94" i="19" s="1"/>
  <c r="T86" i="19"/>
  <c r="R86" i="19"/>
  <c r="U86" i="19" s="1"/>
  <c r="T190" i="19"/>
  <c r="R204" i="19"/>
  <c r="U204" i="19" s="1"/>
  <c r="T207" i="19"/>
  <c r="R236" i="19"/>
  <c r="U236" i="19" s="1"/>
  <c r="T239" i="19"/>
  <c r="T110" i="19"/>
  <c r="R110" i="19"/>
  <c r="U110" i="19" s="1"/>
  <c r="T102" i="19"/>
  <c r="R102" i="19"/>
  <c r="U102" i="19" s="1"/>
  <c r="T199" i="19"/>
  <c r="T231" i="19"/>
  <c r="T34" i="19"/>
  <c r="T49" i="19"/>
  <c r="R11" i="19"/>
  <c r="U11" i="19" s="1"/>
  <c r="T83" i="19"/>
  <c r="R136" i="19"/>
  <c r="U136" i="19" s="1"/>
  <c r="R127" i="19"/>
  <c r="U127" i="19" s="1"/>
  <c r="R152" i="19"/>
  <c r="U152" i="19" s="1"/>
  <c r="R176" i="19"/>
  <c r="U176" i="19" s="1"/>
  <c r="R208" i="19"/>
  <c r="U208" i="19" s="1"/>
  <c r="T243" i="19"/>
  <c r="R276" i="19"/>
  <c r="U276" i="19" s="1"/>
  <c r="R292" i="19"/>
  <c r="U292" i="19" s="1"/>
  <c r="T306" i="19"/>
  <c r="T282" i="19"/>
  <c r="T297" i="19"/>
  <c r="R68" i="19"/>
  <c r="U68" i="19" s="1"/>
  <c r="R189" i="19"/>
  <c r="U189" i="19" s="1"/>
  <c r="R237" i="19"/>
  <c r="U237" i="19" s="1"/>
  <c r="R147" i="19"/>
  <c r="U147" i="19" s="1"/>
  <c r="R244" i="19"/>
  <c r="U244" i="19" s="1"/>
  <c r="T170" i="19"/>
  <c r="R108" i="19"/>
  <c r="U108" i="19" s="1"/>
  <c r="T108" i="19"/>
  <c r="T256" i="19"/>
  <c r="R256" i="19"/>
  <c r="U256" i="19" s="1"/>
  <c r="R151" i="19"/>
  <c r="U151" i="19" s="1"/>
  <c r="T258" i="19"/>
  <c r="R258" i="19"/>
  <c r="U258" i="19" s="1"/>
  <c r="T252" i="19"/>
  <c r="R252" i="19"/>
  <c r="U252" i="19" s="1"/>
  <c r="R76" i="19"/>
  <c r="U76" i="19" s="1"/>
  <c r="T76" i="19"/>
  <c r="R92" i="19"/>
  <c r="U92" i="19" s="1"/>
  <c r="T92" i="19"/>
  <c r="T254" i="19"/>
  <c r="R254" i="19"/>
  <c r="U254" i="19" s="1"/>
  <c r="T248" i="19"/>
  <c r="R248" i="19"/>
  <c r="U248" i="19" s="1"/>
  <c r="T66" i="19"/>
  <c r="R66" i="19"/>
  <c r="U66" i="19" s="1"/>
  <c r="R100" i="19"/>
  <c r="U100" i="19" s="1"/>
  <c r="T100" i="19"/>
  <c r="R141" i="19"/>
  <c r="U141" i="19" s="1"/>
  <c r="T250" i="19"/>
  <c r="R250" i="19"/>
  <c r="U250" i="19" s="1"/>
  <c r="R84" i="19"/>
  <c r="U84" i="19" s="1"/>
  <c r="T84" i="19"/>
  <c r="T106" i="19"/>
  <c r="R106" i="19"/>
  <c r="U106" i="19" s="1"/>
  <c r="T116" i="19"/>
  <c r="R116" i="19"/>
  <c r="U116" i="19" s="1"/>
  <c r="T246" i="19"/>
  <c r="R246" i="19"/>
  <c r="U246" i="19" s="1"/>
  <c r="T145" i="19"/>
  <c r="R145" i="19"/>
  <c r="U145" i="19" s="1"/>
  <c r="T98" i="19"/>
  <c r="R98" i="19"/>
  <c r="U98" i="19" s="1"/>
  <c r="T61" i="19"/>
  <c r="R61" i="19"/>
  <c r="U61" i="19" s="1"/>
  <c r="T90" i="19"/>
  <c r="R90" i="19"/>
  <c r="U90" i="19" s="1"/>
  <c r="T157" i="19"/>
  <c r="R157" i="19"/>
  <c r="U157" i="19" s="1"/>
  <c r="T114" i="19"/>
  <c r="R114" i="19"/>
  <c r="U114" i="19" s="1"/>
  <c r="R67" i="19"/>
  <c r="U67" i="19" s="1"/>
  <c r="T67" i="19"/>
  <c r="F163" i="32" l="1"/>
  <c r="G163" i="32" s="1"/>
  <c r="F232" i="32"/>
  <c r="G232" i="32" s="1"/>
  <c r="C170" i="33"/>
  <c r="C181" i="34" s="1"/>
  <c r="C23" i="39"/>
  <c r="C94" i="12"/>
  <c r="C29" i="33"/>
  <c r="C18" i="33"/>
  <c r="C29" i="34" s="1"/>
  <c r="C207" i="39"/>
  <c r="F299" i="32"/>
  <c r="G299" i="32" s="1"/>
  <c r="C229" i="12"/>
  <c r="C163" i="33"/>
  <c r="E163" i="33" s="1"/>
  <c r="D163" i="37" s="1"/>
  <c r="C232" i="33"/>
  <c r="C243" i="34" s="1"/>
  <c r="F23" i="32"/>
  <c r="G23" i="32" s="1"/>
  <c r="F94" i="32"/>
  <c r="G94" i="32" s="1"/>
  <c r="C29" i="39"/>
  <c r="C18" i="12"/>
  <c r="C177" i="12"/>
  <c r="C99" i="33"/>
  <c r="F119" i="32"/>
  <c r="G119" i="32" s="1"/>
  <c r="F207" i="32"/>
  <c r="G207" i="32" s="1"/>
  <c r="C299" i="33"/>
  <c r="C281" i="33"/>
  <c r="E281" i="33" s="1"/>
  <c r="D281" i="37" s="1"/>
  <c r="C229" i="39"/>
  <c r="C177" i="39"/>
  <c r="C99" i="12"/>
  <c r="F170" i="32"/>
  <c r="G170" i="32" s="1"/>
  <c r="C119" i="33"/>
  <c r="C207" i="33"/>
  <c r="E207" i="33" s="1"/>
  <c r="D207" i="37" s="1"/>
  <c r="C299" i="12"/>
  <c r="C281" i="12"/>
  <c r="F229" i="32"/>
  <c r="G229" i="32" s="1"/>
  <c r="F177" i="32"/>
  <c r="G177" i="32" s="1"/>
  <c r="C99" i="39"/>
  <c r="C170" i="12"/>
  <c r="C112" i="39"/>
  <c r="C112" i="12"/>
  <c r="C112" i="33"/>
  <c r="F112" i="32"/>
  <c r="G112" i="32" s="1"/>
  <c r="C96" i="39"/>
  <c r="C96" i="12"/>
  <c r="C96" i="33"/>
  <c r="F96" i="32"/>
  <c r="G96" i="32" s="1"/>
  <c r="C104" i="39"/>
  <c r="C104" i="12"/>
  <c r="C104" i="33"/>
  <c r="F104" i="32"/>
  <c r="G104" i="32" s="1"/>
  <c r="C98" i="39"/>
  <c r="C98" i="12"/>
  <c r="C98" i="33"/>
  <c r="F98" i="32"/>
  <c r="G98" i="32" s="1"/>
  <c r="C90" i="39"/>
  <c r="C90" i="12"/>
  <c r="C90" i="33"/>
  <c r="F90" i="32"/>
  <c r="G90" i="32" s="1"/>
  <c r="C254" i="39"/>
  <c r="C254" i="12"/>
  <c r="C254" i="33"/>
  <c r="F254" i="32"/>
  <c r="G254" i="32" s="1"/>
  <c r="C187" i="39"/>
  <c r="C187" i="12"/>
  <c r="F187" i="32"/>
  <c r="G187" i="32" s="1"/>
  <c r="C187" i="33"/>
  <c r="C206" i="39"/>
  <c r="C206" i="12"/>
  <c r="C206" i="33"/>
  <c r="F206" i="32"/>
  <c r="G206" i="32" s="1"/>
  <c r="C64" i="39"/>
  <c r="C64" i="12"/>
  <c r="C64" i="33"/>
  <c r="F64" i="32"/>
  <c r="G64" i="32" s="1"/>
  <c r="C252" i="39"/>
  <c r="C252" i="12"/>
  <c r="F252" i="32"/>
  <c r="G252" i="32" s="1"/>
  <c r="C252" i="33"/>
  <c r="C256" i="39"/>
  <c r="C256" i="12"/>
  <c r="C256" i="33"/>
  <c r="F256" i="32"/>
  <c r="G256" i="32" s="1"/>
  <c r="C242" i="39"/>
  <c r="C242" i="12"/>
  <c r="C242" i="33"/>
  <c r="F242" i="32"/>
  <c r="G242" i="32" s="1"/>
  <c r="C66" i="39"/>
  <c r="C66" i="12"/>
  <c r="C66" i="33"/>
  <c r="F66" i="32"/>
  <c r="G66" i="32" s="1"/>
  <c r="C290" i="39"/>
  <c r="C290" i="12"/>
  <c r="C290" i="33"/>
  <c r="F290" i="32"/>
  <c r="G290" i="32" s="1"/>
  <c r="C174" i="12"/>
  <c r="C174" i="39"/>
  <c r="F174" i="32"/>
  <c r="G174" i="32" s="1"/>
  <c r="C174" i="33"/>
  <c r="C108" i="39"/>
  <c r="C108" i="12"/>
  <c r="C108" i="33"/>
  <c r="F108" i="32"/>
  <c r="G108" i="32" s="1"/>
  <c r="C216" i="39"/>
  <c r="C216" i="12"/>
  <c r="C216" i="33"/>
  <c r="F216" i="32"/>
  <c r="G216" i="32" s="1"/>
  <c r="C19" i="39"/>
  <c r="C19" i="12"/>
  <c r="C19" i="33"/>
  <c r="F19" i="32"/>
  <c r="G19" i="32" s="1"/>
  <c r="C160" i="39"/>
  <c r="C160" i="12"/>
  <c r="C160" i="33"/>
  <c r="F160" i="32"/>
  <c r="G160" i="32" s="1"/>
  <c r="C171" i="39"/>
  <c r="C171" i="12"/>
  <c r="F171" i="32"/>
  <c r="G171" i="32" s="1"/>
  <c r="C171" i="33"/>
  <c r="C297" i="39"/>
  <c r="C297" i="12"/>
  <c r="F297" i="32"/>
  <c r="G297" i="32" s="1"/>
  <c r="C297" i="33"/>
  <c r="C268" i="39"/>
  <c r="C268" i="12"/>
  <c r="F268" i="32"/>
  <c r="G268" i="32" s="1"/>
  <c r="C268" i="33"/>
  <c r="C20" i="39"/>
  <c r="C20" i="12"/>
  <c r="C20" i="33"/>
  <c r="F20" i="32"/>
  <c r="G20" i="32" s="1"/>
  <c r="C197" i="12"/>
  <c r="C197" i="39"/>
  <c r="C197" i="33"/>
  <c r="F197" i="32"/>
  <c r="G197" i="32" s="1"/>
  <c r="C307" i="39"/>
  <c r="C307" i="12"/>
  <c r="C307" i="33"/>
  <c r="F307" i="32"/>
  <c r="G307" i="32" s="1"/>
  <c r="C30" i="12"/>
  <c r="C30" i="39"/>
  <c r="C30" i="33"/>
  <c r="F30" i="32"/>
  <c r="G30" i="32" s="1"/>
  <c r="C13" i="12"/>
  <c r="C13" i="39"/>
  <c r="C13" i="33"/>
  <c r="F13" i="32"/>
  <c r="G13" i="32" s="1"/>
  <c r="C222" i="39"/>
  <c r="C222" i="12"/>
  <c r="F222" i="32"/>
  <c r="G222" i="32" s="1"/>
  <c r="C222" i="33"/>
  <c r="E119" i="33"/>
  <c r="D119" i="37" s="1"/>
  <c r="C130" i="34"/>
  <c r="C12" i="39"/>
  <c r="C12" i="12"/>
  <c r="C12" i="33"/>
  <c r="F12" i="32"/>
  <c r="G12" i="32" s="1"/>
  <c r="C167" i="39"/>
  <c r="C167" i="12"/>
  <c r="F167" i="32"/>
  <c r="G167" i="32" s="1"/>
  <c r="C167" i="33"/>
  <c r="C222" i="34"/>
  <c r="E211" i="33"/>
  <c r="D211" i="37" s="1"/>
  <c r="C170" i="34"/>
  <c r="E159" i="33"/>
  <c r="D159" i="37" s="1"/>
  <c r="C264" i="39"/>
  <c r="C264" i="12"/>
  <c r="C264" i="33"/>
  <c r="F264" i="32"/>
  <c r="G264" i="32" s="1"/>
  <c r="C263" i="39"/>
  <c r="C263" i="12"/>
  <c r="C263" i="33"/>
  <c r="F263" i="32"/>
  <c r="G263" i="32" s="1"/>
  <c r="E103" i="33"/>
  <c r="D103" i="37" s="1"/>
  <c r="C114" i="34"/>
  <c r="C100" i="34"/>
  <c r="E89" i="33"/>
  <c r="D89" i="37" s="1"/>
  <c r="C35" i="39"/>
  <c r="C35" i="12"/>
  <c r="C35" i="33"/>
  <c r="F35" i="32"/>
  <c r="G35" i="32" s="1"/>
  <c r="E236" i="33"/>
  <c r="D236" i="37" s="1"/>
  <c r="C247" i="34"/>
  <c r="E180" i="33"/>
  <c r="D180" i="37" s="1"/>
  <c r="C191" i="34"/>
  <c r="E223" i="33"/>
  <c r="D223" i="37" s="1"/>
  <c r="C234" i="34"/>
  <c r="C73" i="39"/>
  <c r="C73" i="12"/>
  <c r="C73" i="33"/>
  <c r="F73" i="32"/>
  <c r="G73" i="32" s="1"/>
  <c r="C88" i="34"/>
  <c r="E77" i="33"/>
  <c r="D77" i="37" s="1"/>
  <c r="C309" i="34"/>
  <c r="E298" i="33"/>
  <c r="D298" i="37" s="1"/>
  <c r="E184" i="33"/>
  <c r="D184" i="37" s="1"/>
  <c r="C195" i="34"/>
  <c r="C220" i="34"/>
  <c r="E209" i="33"/>
  <c r="D209" i="37" s="1"/>
  <c r="C221" i="34"/>
  <c r="E210" i="33"/>
  <c r="D210" i="37" s="1"/>
  <c r="C194" i="34"/>
  <c r="E183" i="33"/>
  <c r="D183" i="37" s="1"/>
  <c r="E86" i="33"/>
  <c r="D86" i="37" s="1"/>
  <c r="C97" i="34"/>
  <c r="C36" i="34"/>
  <c r="E25" i="33"/>
  <c r="D25" i="37" s="1"/>
  <c r="E16" i="33"/>
  <c r="D16" i="37" s="1"/>
  <c r="C27" i="34"/>
  <c r="C155" i="39"/>
  <c r="C155" i="12"/>
  <c r="C155" i="33"/>
  <c r="F155" i="32"/>
  <c r="G155" i="32" s="1"/>
  <c r="C143" i="39"/>
  <c r="C143" i="12"/>
  <c r="C143" i="33"/>
  <c r="F143" i="32"/>
  <c r="G143" i="32" s="1"/>
  <c r="C74" i="39"/>
  <c r="C74" i="12"/>
  <c r="C74" i="33"/>
  <c r="F74" i="32"/>
  <c r="G74" i="32" s="1"/>
  <c r="C150" i="12"/>
  <c r="C150" i="39"/>
  <c r="C150" i="33"/>
  <c r="F150" i="32"/>
  <c r="G150" i="32" s="1"/>
  <c r="C202" i="39"/>
  <c r="C202" i="12"/>
  <c r="F202" i="32"/>
  <c r="G202" i="32" s="1"/>
  <c r="C202" i="33"/>
  <c r="C92" i="39"/>
  <c r="C92" i="12"/>
  <c r="C92" i="33"/>
  <c r="F92" i="32"/>
  <c r="G92" i="32" s="1"/>
  <c r="C47" i="39"/>
  <c r="C47" i="12"/>
  <c r="C47" i="33"/>
  <c r="F47" i="32"/>
  <c r="G47" i="32" s="1"/>
  <c r="C81" i="39"/>
  <c r="C81" i="12"/>
  <c r="C81" i="33"/>
  <c r="F81" i="32"/>
  <c r="G81" i="32" s="1"/>
  <c r="C287" i="39"/>
  <c r="C287" i="12"/>
  <c r="C287" i="33"/>
  <c r="F287" i="32"/>
  <c r="G287" i="32" s="1"/>
  <c r="C188" i="39"/>
  <c r="C188" i="12"/>
  <c r="F188" i="32"/>
  <c r="G188" i="32" s="1"/>
  <c r="C188" i="33"/>
  <c r="C291" i="39"/>
  <c r="C291" i="12"/>
  <c r="C291" i="33"/>
  <c r="F291" i="32"/>
  <c r="G291" i="32" s="1"/>
  <c r="C237" i="39"/>
  <c r="C237" i="12"/>
  <c r="C237" i="33"/>
  <c r="F237" i="32"/>
  <c r="G237" i="32" s="1"/>
  <c r="C230" i="39"/>
  <c r="C230" i="12"/>
  <c r="C230" i="33"/>
  <c r="F230" i="32"/>
  <c r="G230" i="32" s="1"/>
  <c r="C192" i="39"/>
  <c r="C192" i="12"/>
  <c r="C192" i="33"/>
  <c r="F192" i="32"/>
  <c r="G192" i="32" s="1"/>
  <c r="C138" i="39"/>
  <c r="C138" i="12"/>
  <c r="C138" i="33"/>
  <c r="F138" i="32"/>
  <c r="G138" i="32" s="1"/>
  <c r="C130" i="39"/>
  <c r="C130" i="12"/>
  <c r="C130" i="33"/>
  <c r="F130" i="32"/>
  <c r="G130" i="32" s="1"/>
  <c r="C151" i="39"/>
  <c r="C151" i="12"/>
  <c r="C151" i="33"/>
  <c r="F151" i="32"/>
  <c r="G151" i="32" s="1"/>
  <c r="C294" i="39"/>
  <c r="C294" i="12"/>
  <c r="C294" i="33"/>
  <c r="F294" i="32"/>
  <c r="G294" i="32" s="1"/>
  <c r="C224" i="39"/>
  <c r="C224" i="12"/>
  <c r="C224" i="33"/>
  <c r="F224" i="32"/>
  <c r="G224" i="32" s="1"/>
  <c r="C212" i="34"/>
  <c r="E201" i="33"/>
  <c r="D201" i="37" s="1"/>
  <c r="C117" i="12"/>
  <c r="C117" i="39"/>
  <c r="C117" i="33"/>
  <c r="F117" i="32"/>
  <c r="G117" i="32" s="1"/>
  <c r="C260" i="34"/>
  <c r="E249" i="33"/>
  <c r="D249" i="37" s="1"/>
  <c r="E67" i="33"/>
  <c r="D67" i="37" s="1"/>
  <c r="C78" i="34"/>
  <c r="C213" i="39"/>
  <c r="C213" i="12"/>
  <c r="C213" i="33"/>
  <c r="F213" i="32"/>
  <c r="G213" i="32" s="1"/>
  <c r="E123" i="33"/>
  <c r="D123" i="37" s="1"/>
  <c r="C134" i="34"/>
  <c r="E75" i="33"/>
  <c r="D75" i="37" s="1"/>
  <c r="C86" i="34"/>
  <c r="C292" i="34"/>
  <c r="E273" i="33"/>
  <c r="D273" i="37" s="1"/>
  <c r="C284" i="34"/>
  <c r="E267" i="33"/>
  <c r="D267" i="37" s="1"/>
  <c r="C278" i="34"/>
  <c r="E200" i="33"/>
  <c r="D200" i="37" s="1"/>
  <c r="C211" i="34"/>
  <c r="E173" i="33"/>
  <c r="D173" i="37" s="1"/>
  <c r="C184" i="34"/>
  <c r="E293" i="33"/>
  <c r="D293" i="37" s="1"/>
  <c r="C304" i="34"/>
  <c r="C276" i="34"/>
  <c r="E265" i="33"/>
  <c r="D265" i="37" s="1"/>
  <c r="C321" i="34"/>
  <c r="E310" i="33"/>
  <c r="D310" i="37" s="1"/>
  <c r="C272" i="34"/>
  <c r="E261" i="33"/>
  <c r="D261" i="37" s="1"/>
  <c r="C289" i="34"/>
  <c r="E278" i="33"/>
  <c r="D278" i="37" s="1"/>
  <c r="C269" i="34"/>
  <c r="E258" i="33"/>
  <c r="D258" i="37" s="1"/>
  <c r="C209" i="34"/>
  <c r="E198" i="33"/>
  <c r="D198" i="37" s="1"/>
  <c r="C219" i="34"/>
  <c r="E208" i="33"/>
  <c r="D208" i="37" s="1"/>
  <c r="E255" i="33"/>
  <c r="D255" i="37" s="1"/>
  <c r="C266" i="34"/>
  <c r="E251" i="33"/>
  <c r="D251" i="37" s="1"/>
  <c r="C262" i="34"/>
  <c r="E228" i="33"/>
  <c r="D228" i="37" s="1"/>
  <c r="C239" i="34"/>
  <c r="C173" i="34"/>
  <c r="E162" i="33"/>
  <c r="D162" i="37" s="1"/>
  <c r="C206" i="34"/>
  <c r="E195" i="33"/>
  <c r="D195" i="37" s="1"/>
  <c r="C174" i="34"/>
  <c r="C148" i="34"/>
  <c r="E137" i="33"/>
  <c r="D137" i="37" s="1"/>
  <c r="C132" i="34"/>
  <c r="E121" i="33"/>
  <c r="D121" i="37" s="1"/>
  <c r="E97" i="33"/>
  <c r="D97" i="37" s="1"/>
  <c r="C108" i="34"/>
  <c r="C60" i="34"/>
  <c r="E49" i="33"/>
  <c r="D49" i="37" s="1"/>
  <c r="E111" i="33"/>
  <c r="D111" i="37" s="1"/>
  <c r="C122" i="34"/>
  <c r="C74" i="34"/>
  <c r="E63" i="33"/>
  <c r="D63" i="37" s="1"/>
  <c r="E40" i="33"/>
  <c r="D40" i="37" s="1"/>
  <c r="C51" i="34"/>
  <c r="E11" i="33"/>
  <c r="D11" i="37" s="1"/>
  <c r="C22" i="34"/>
  <c r="E15" i="33"/>
  <c r="D15" i="37" s="1"/>
  <c r="C26" i="34"/>
  <c r="C37" i="34"/>
  <c r="E26" i="33"/>
  <c r="D26" i="37" s="1"/>
  <c r="E219" i="33"/>
  <c r="D219" i="37" s="1"/>
  <c r="C230" i="34"/>
  <c r="C306" i="34"/>
  <c r="E295" i="33"/>
  <c r="D295" i="37" s="1"/>
  <c r="E280" i="33"/>
  <c r="D280" i="37" s="1"/>
  <c r="C291" i="34"/>
  <c r="E39" i="33"/>
  <c r="D39" i="37" s="1"/>
  <c r="C50" i="34"/>
  <c r="C229" i="34"/>
  <c r="E218" i="33"/>
  <c r="D218" i="37" s="1"/>
  <c r="C197" i="34"/>
  <c r="E186" i="33"/>
  <c r="D186" i="37" s="1"/>
  <c r="E170" i="33"/>
  <c r="D170" i="37" s="1"/>
  <c r="E164" i="33"/>
  <c r="D164" i="37" s="1"/>
  <c r="C175" i="34"/>
  <c r="E215" i="33"/>
  <c r="D215" i="37" s="1"/>
  <c r="C226" i="34"/>
  <c r="C83" i="34"/>
  <c r="E72" i="33"/>
  <c r="D72" i="37" s="1"/>
  <c r="C71" i="34"/>
  <c r="E60" i="33"/>
  <c r="D60" i="37" s="1"/>
  <c r="C72" i="34"/>
  <c r="E61" i="33"/>
  <c r="D61" i="37" s="1"/>
  <c r="E55" i="33"/>
  <c r="D55" i="37" s="1"/>
  <c r="C66" i="34"/>
  <c r="E23" i="33"/>
  <c r="D23" i="37" s="1"/>
  <c r="C34" i="34"/>
  <c r="C55" i="34"/>
  <c r="E44" i="33"/>
  <c r="D44" i="37" s="1"/>
  <c r="C52" i="34"/>
  <c r="E41" i="33"/>
  <c r="D41" i="37" s="1"/>
  <c r="C53" i="34"/>
  <c r="E42" i="33"/>
  <c r="D42" i="37" s="1"/>
  <c r="C33" i="34"/>
  <c r="E22" i="33"/>
  <c r="D22" i="37" s="1"/>
  <c r="E6" i="33"/>
  <c r="D6" i="37" s="1"/>
  <c r="C17" i="34"/>
  <c r="E83" i="33"/>
  <c r="D83" i="37" s="1"/>
  <c r="C94" i="34"/>
  <c r="C113" i="34"/>
  <c r="E102" i="33"/>
  <c r="D102" i="37" s="1"/>
  <c r="E94" i="33"/>
  <c r="D94" i="37" s="1"/>
  <c r="C105" i="34"/>
  <c r="E78" i="33"/>
  <c r="D78" i="37" s="1"/>
  <c r="C89" i="34"/>
  <c r="E79" i="33"/>
  <c r="D79" i="37" s="1"/>
  <c r="C90" i="34"/>
  <c r="C32" i="34"/>
  <c r="E21" i="33"/>
  <c r="D21" i="37" s="1"/>
  <c r="E28" i="33"/>
  <c r="D28" i="37" s="1"/>
  <c r="C39" i="34"/>
  <c r="E62" i="33"/>
  <c r="D62" i="37" s="1"/>
  <c r="C73" i="34"/>
  <c r="E54" i="33"/>
  <c r="D54" i="37" s="1"/>
  <c r="C65" i="34"/>
  <c r="C49" i="34"/>
  <c r="E38" i="33"/>
  <c r="D38" i="37" s="1"/>
  <c r="C19" i="34"/>
  <c r="E8" i="33"/>
  <c r="D8" i="37" s="1"/>
  <c r="E120" i="33"/>
  <c r="D120" i="37" s="1"/>
  <c r="C131" i="34"/>
  <c r="E277" i="33"/>
  <c r="D277" i="37" s="1"/>
  <c r="C288" i="34"/>
  <c r="E285" i="33"/>
  <c r="D285" i="37" s="1"/>
  <c r="C296" i="34"/>
  <c r="E313" i="33"/>
  <c r="D313" i="37" s="1"/>
  <c r="C324" i="34"/>
  <c r="C314" i="34"/>
  <c r="E303" i="33"/>
  <c r="D303" i="37" s="1"/>
  <c r="E259" i="33"/>
  <c r="D259" i="37" s="1"/>
  <c r="C270" i="34"/>
  <c r="C277" i="34"/>
  <c r="E266" i="33"/>
  <c r="D266" i="37" s="1"/>
  <c r="E243" i="33"/>
  <c r="D243" i="37" s="1"/>
  <c r="C254" i="34"/>
  <c r="C232" i="34"/>
  <c r="E221" i="33"/>
  <c r="D221" i="37" s="1"/>
  <c r="E204" i="33"/>
  <c r="D204" i="37" s="1"/>
  <c r="C215" i="34"/>
  <c r="C249" i="34"/>
  <c r="E238" i="33"/>
  <c r="D238" i="37" s="1"/>
  <c r="E161" i="33"/>
  <c r="D161" i="37" s="1"/>
  <c r="C172" i="34"/>
  <c r="C169" i="34"/>
  <c r="E158" i="33"/>
  <c r="D158" i="37" s="1"/>
  <c r="C256" i="34"/>
  <c r="E245" i="33"/>
  <c r="D245" i="37" s="1"/>
  <c r="C205" i="34"/>
  <c r="E194" i="33"/>
  <c r="D194" i="37" s="1"/>
  <c r="E231" i="33"/>
  <c r="D231" i="37" s="1"/>
  <c r="C242" i="34"/>
  <c r="E203" i="33"/>
  <c r="D203" i="37" s="1"/>
  <c r="C214" i="34"/>
  <c r="C153" i="34"/>
  <c r="E142" i="33"/>
  <c r="D142" i="37" s="1"/>
  <c r="E144" i="33"/>
  <c r="D144" i="37" s="1"/>
  <c r="C155" i="34"/>
  <c r="C59" i="39"/>
  <c r="C59" i="12"/>
  <c r="C59" i="33"/>
  <c r="F59" i="32"/>
  <c r="G59" i="32" s="1"/>
  <c r="C114" i="39"/>
  <c r="C114" i="12"/>
  <c r="C114" i="33"/>
  <c r="F114" i="32"/>
  <c r="G114" i="32" s="1"/>
  <c r="C139" i="39"/>
  <c r="C139" i="12"/>
  <c r="C139" i="33"/>
  <c r="F139" i="32"/>
  <c r="G139" i="32" s="1"/>
  <c r="C145" i="39"/>
  <c r="C145" i="12"/>
  <c r="C145" i="33"/>
  <c r="F145" i="32"/>
  <c r="G145" i="32" s="1"/>
  <c r="C274" i="39"/>
  <c r="C274" i="12"/>
  <c r="C274" i="33"/>
  <c r="F274" i="32"/>
  <c r="G274" i="32" s="1"/>
  <c r="C9" i="39"/>
  <c r="C9" i="12"/>
  <c r="C9" i="33"/>
  <c r="F9" i="32"/>
  <c r="G9" i="32" s="1"/>
  <c r="C65" i="39"/>
  <c r="C65" i="12"/>
  <c r="C65" i="33"/>
  <c r="F65" i="32"/>
  <c r="G65" i="32" s="1"/>
  <c r="C82" i="39"/>
  <c r="C82" i="12"/>
  <c r="C82" i="33"/>
  <c r="F82" i="32"/>
  <c r="C246" i="39"/>
  <c r="C246" i="12"/>
  <c r="C246" i="33"/>
  <c r="F246" i="32"/>
  <c r="G246" i="32" s="1"/>
  <c r="C250" i="39"/>
  <c r="C250" i="12"/>
  <c r="C250" i="33"/>
  <c r="F250" i="32"/>
  <c r="G250" i="32" s="1"/>
  <c r="C149" i="12"/>
  <c r="C149" i="39"/>
  <c r="C149" i="33"/>
  <c r="F149" i="32"/>
  <c r="G149" i="32" s="1"/>
  <c r="C106" i="39"/>
  <c r="C106" i="12"/>
  <c r="C106" i="33"/>
  <c r="F106" i="32"/>
  <c r="G106" i="32" s="1"/>
  <c r="C235" i="39"/>
  <c r="C235" i="12"/>
  <c r="C235" i="33"/>
  <c r="F235" i="32"/>
  <c r="G235" i="32" s="1"/>
  <c r="C125" i="39"/>
  <c r="C125" i="12"/>
  <c r="C125" i="33"/>
  <c r="F125" i="32"/>
  <c r="G125" i="32" s="1"/>
  <c r="C100" i="39"/>
  <c r="C100" i="12"/>
  <c r="C100" i="33"/>
  <c r="F100" i="32"/>
  <c r="G100" i="32" s="1"/>
  <c r="C32" i="39"/>
  <c r="C32" i="12"/>
  <c r="C32" i="33"/>
  <c r="F32" i="32"/>
  <c r="G32" i="32" s="1"/>
  <c r="C212" i="39"/>
  <c r="C212" i="12"/>
  <c r="C212" i="33"/>
  <c r="F212" i="32"/>
  <c r="G212" i="32" s="1"/>
  <c r="C241" i="39"/>
  <c r="C241" i="12"/>
  <c r="C241" i="33"/>
  <c r="F241" i="32"/>
  <c r="G241" i="32" s="1"/>
  <c r="C87" i="39"/>
  <c r="C87" i="12"/>
  <c r="C87" i="33"/>
  <c r="F87" i="32"/>
  <c r="G87" i="32" s="1"/>
  <c r="C283" i="39"/>
  <c r="C283" i="12"/>
  <c r="C283" i="33"/>
  <c r="F283" i="32"/>
  <c r="G283" i="32" s="1"/>
  <c r="C300" i="39"/>
  <c r="C300" i="12"/>
  <c r="C300" i="33"/>
  <c r="F300" i="32"/>
  <c r="G300" i="32" s="1"/>
  <c r="C302" i="39"/>
  <c r="C302" i="12"/>
  <c r="C302" i="33"/>
  <c r="F302" i="32"/>
  <c r="G302" i="32" s="1"/>
  <c r="C76" i="39"/>
  <c r="C76" i="12"/>
  <c r="C76" i="33"/>
  <c r="F76" i="32"/>
  <c r="G76" i="32" s="1"/>
  <c r="C175" i="39"/>
  <c r="C175" i="12"/>
  <c r="C175" i="33"/>
  <c r="F175" i="32"/>
  <c r="G175" i="32" s="1"/>
  <c r="C58" i="39"/>
  <c r="C58" i="12"/>
  <c r="C58" i="33"/>
  <c r="F58" i="32"/>
  <c r="G58" i="32" s="1"/>
  <c r="C168" i="39"/>
  <c r="C168" i="12"/>
  <c r="F168" i="32"/>
  <c r="G168" i="32" s="1"/>
  <c r="C168" i="33"/>
  <c r="C146" i="34"/>
  <c r="E135" i="33"/>
  <c r="D135" i="37" s="1"/>
  <c r="C139" i="34"/>
  <c r="E128" i="33"/>
  <c r="D128" i="37" s="1"/>
  <c r="C182" i="12"/>
  <c r="C182" i="39"/>
  <c r="C182" i="33"/>
  <c r="F182" i="32"/>
  <c r="G182" i="32" s="1"/>
  <c r="C158" i="34"/>
  <c r="E147" i="33"/>
  <c r="D147" i="37" s="1"/>
  <c r="E193" i="33"/>
  <c r="D193" i="37" s="1"/>
  <c r="C204" i="34"/>
  <c r="E140" i="33"/>
  <c r="D140" i="37" s="1"/>
  <c r="C151" i="34"/>
  <c r="E131" i="33"/>
  <c r="D131" i="37" s="1"/>
  <c r="C142" i="34"/>
  <c r="C109" i="39"/>
  <c r="C109" i="12"/>
  <c r="C109" i="33"/>
  <c r="F109" i="32"/>
  <c r="G109" i="32" s="1"/>
  <c r="C80" i="34"/>
  <c r="E69" i="33"/>
  <c r="D69" i="37" s="1"/>
  <c r="E309" i="33"/>
  <c r="D309" i="37" s="1"/>
  <c r="C320" i="34"/>
  <c r="E301" i="33"/>
  <c r="D301" i="37" s="1"/>
  <c r="C312" i="34"/>
  <c r="E272" i="33"/>
  <c r="D272" i="37" s="1"/>
  <c r="C283" i="34"/>
  <c r="E312" i="33"/>
  <c r="D312" i="37" s="1"/>
  <c r="C323" i="34"/>
  <c r="E275" i="33"/>
  <c r="D275" i="37" s="1"/>
  <c r="C286" i="34"/>
  <c r="C297" i="34"/>
  <c r="E286" i="33"/>
  <c r="D286" i="37" s="1"/>
  <c r="C273" i="34"/>
  <c r="E262" i="33"/>
  <c r="D262" i="37" s="1"/>
  <c r="C244" i="34"/>
  <c r="E233" i="33"/>
  <c r="D233" i="37" s="1"/>
  <c r="C228" i="34"/>
  <c r="E217" i="33"/>
  <c r="D217" i="37" s="1"/>
  <c r="E172" i="33"/>
  <c r="D172" i="37" s="1"/>
  <c r="C183" i="34"/>
  <c r="C236" i="34"/>
  <c r="E225" i="33"/>
  <c r="D225" i="37" s="1"/>
  <c r="C201" i="34"/>
  <c r="E190" i="33"/>
  <c r="D190" i="37" s="1"/>
  <c r="E196" i="33"/>
  <c r="D196" i="37" s="1"/>
  <c r="C207" i="34"/>
  <c r="C210" i="34"/>
  <c r="E199" i="33"/>
  <c r="D199" i="37" s="1"/>
  <c r="E148" i="33"/>
  <c r="D148" i="37" s="1"/>
  <c r="C159" i="34"/>
  <c r="C218" i="34"/>
  <c r="E189" i="33"/>
  <c r="D189" i="37" s="1"/>
  <c r="C200" i="34"/>
  <c r="C322" i="34"/>
  <c r="E311" i="33"/>
  <c r="D311" i="37" s="1"/>
  <c r="C268" i="34"/>
  <c r="E257" i="33"/>
  <c r="D257" i="37" s="1"/>
  <c r="E153" i="33"/>
  <c r="D153" i="37" s="1"/>
  <c r="C164" i="34"/>
  <c r="C144" i="34"/>
  <c r="E133" i="33"/>
  <c r="D133" i="37" s="1"/>
  <c r="E185" i="33"/>
  <c r="D185" i="37" s="1"/>
  <c r="C196" i="34"/>
  <c r="E177" i="33"/>
  <c r="D177" i="37" s="1"/>
  <c r="C188" i="34"/>
  <c r="C133" i="34"/>
  <c r="E122" i="33"/>
  <c r="D122" i="37" s="1"/>
  <c r="E107" i="33"/>
  <c r="D107" i="37" s="1"/>
  <c r="C118" i="34"/>
  <c r="E99" i="33"/>
  <c r="D99" i="37" s="1"/>
  <c r="C110" i="34"/>
  <c r="E305" i="33"/>
  <c r="D305" i="37" s="1"/>
  <c r="C316" i="34"/>
  <c r="E308" i="33"/>
  <c r="D308" i="37" s="1"/>
  <c r="C319" i="34"/>
  <c r="C282" i="34"/>
  <c r="E271" i="33"/>
  <c r="D271" i="37" s="1"/>
  <c r="E289" i="33"/>
  <c r="D289" i="37" s="1"/>
  <c r="C300" i="34"/>
  <c r="C317" i="34"/>
  <c r="E306" i="33"/>
  <c r="D306" i="37" s="1"/>
  <c r="C281" i="34"/>
  <c r="E270" i="33"/>
  <c r="D270" i="37" s="1"/>
  <c r="C225" i="34"/>
  <c r="E214" i="33"/>
  <c r="D214" i="37" s="1"/>
  <c r="E169" i="33"/>
  <c r="D169" i="37" s="1"/>
  <c r="C180" i="34"/>
  <c r="E152" i="33"/>
  <c r="D152" i="37" s="1"/>
  <c r="C163" i="34"/>
  <c r="C264" i="34"/>
  <c r="E253" i="33"/>
  <c r="D253" i="37" s="1"/>
  <c r="E247" i="33"/>
  <c r="D247" i="37" s="1"/>
  <c r="C258" i="34"/>
  <c r="C250" i="34"/>
  <c r="E239" i="33"/>
  <c r="D239" i="37" s="1"/>
  <c r="C202" i="34"/>
  <c r="E191" i="33"/>
  <c r="D191" i="37" s="1"/>
  <c r="C135" i="34"/>
  <c r="E124" i="33"/>
  <c r="D124" i="37" s="1"/>
  <c r="C124" i="34"/>
  <c r="E113" i="33"/>
  <c r="D113" i="37" s="1"/>
  <c r="C143" i="34"/>
  <c r="E132" i="33"/>
  <c r="D132" i="37" s="1"/>
  <c r="C140" i="34"/>
  <c r="E129" i="33"/>
  <c r="D129" i="37" s="1"/>
  <c r="C137" i="34"/>
  <c r="E126" i="33"/>
  <c r="D126" i="37" s="1"/>
  <c r="E36" i="33"/>
  <c r="D36" i="37" s="1"/>
  <c r="C47" i="34"/>
  <c r="E71" i="33"/>
  <c r="D71" i="37" s="1"/>
  <c r="C82" i="34"/>
  <c r="E269" i="33"/>
  <c r="D269" i="37" s="1"/>
  <c r="C280" i="34"/>
  <c r="C31" i="39"/>
  <c r="C31" i="12"/>
  <c r="C31" i="33"/>
  <c r="F31" i="32"/>
  <c r="G31" i="32" s="1"/>
  <c r="C40" i="34"/>
  <c r="E29" i="33"/>
  <c r="D29" i="37" s="1"/>
  <c r="E116" i="33"/>
  <c r="D116" i="37" s="1"/>
  <c r="C127" i="34"/>
  <c r="C129" i="34"/>
  <c r="E118" i="33"/>
  <c r="D118" i="37" s="1"/>
  <c r="C88" i="39"/>
  <c r="C88" i="12"/>
  <c r="C88" i="33"/>
  <c r="F88" i="32"/>
  <c r="G88" i="32" s="1"/>
  <c r="C244" i="39"/>
  <c r="C244" i="12"/>
  <c r="C244" i="33"/>
  <c r="F244" i="32"/>
  <c r="G244" i="32" s="1"/>
  <c r="C248" i="39"/>
  <c r="C248" i="12"/>
  <c r="C248" i="33"/>
  <c r="F248" i="32"/>
  <c r="G248" i="32" s="1"/>
  <c r="C134" i="12"/>
  <c r="C134" i="39"/>
  <c r="C134" i="33"/>
  <c r="F134" i="32"/>
  <c r="G134" i="32" s="1"/>
  <c r="C234" i="39"/>
  <c r="C234" i="12"/>
  <c r="C234" i="33"/>
  <c r="F234" i="32"/>
  <c r="G234" i="32" s="1"/>
  <c r="C84" i="39"/>
  <c r="C84" i="12"/>
  <c r="C84" i="33"/>
  <c r="F84" i="32"/>
  <c r="G84" i="32" s="1"/>
  <c r="C27" i="39"/>
  <c r="C27" i="12"/>
  <c r="C27" i="33"/>
  <c r="F27" i="32"/>
  <c r="G27" i="32" s="1"/>
  <c r="C205" i="39"/>
  <c r="C205" i="12"/>
  <c r="C205" i="33"/>
  <c r="F205" i="32"/>
  <c r="G205" i="32" s="1"/>
  <c r="C178" i="39"/>
  <c r="C178" i="12"/>
  <c r="C178" i="33"/>
  <c r="F178" i="32"/>
  <c r="G178" i="32" s="1"/>
  <c r="C304" i="39"/>
  <c r="C304" i="12"/>
  <c r="C304" i="33"/>
  <c r="F304" i="32"/>
  <c r="G304" i="32" s="1"/>
  <c r="C276" i="39"/>
  <c r="C276" i="12"/>
  <c r="C276" i="33"/>
  <c r="F276" i="32"/>
  <c r="G276" i="32" s="1"/>
  <c r="C157" i="39"/>
  <c r="C157" i="12"/>
  <c r="C157" i="33"/>
  <c r="F157" i="32"/>
  <c r="G157" i="32" s="1"/>
  <c r="C292" i="39"/>
  <c r="C292" i="12"/>
  <c r="C292" i="33"/>
  <c r="F292" i="32"/>
  <c r="G292" i="32" s="1"/>
  <c r="C260" i="39"/>
  <c r="C260" i="12"/>
  <c r="C260" i="33"/>
  <c r="F260" i="32"/>
  <c r="G260" i="32" s="1"/>
  <c r="C146" i="39"/>
  <c r="C146" i="12"/>
  <c r="C146" i="33"/>
  <c r="F146" i="32"/>
  <c r="G146" i="32" s="1"/>
  <c r="C68" i="39"/>
  <c r="C68" i="12"/>
  <c r="C68" i="33"/>
  <c r="F68" i="32"/>
  <c r="G68" i="32" s="1"/>
  <c r="C45" i="39"/>
  <c r="C45" i="12"/>
  <c r="C45" i="33"/>
  <c r="F45" i="32"/>
  <c r="G45" i="32" s="1"/>
  <c r="C115" i="39"/>
  <c r="C115" i="12"/>
  <c r="C115" i="33"/>
  <c r="F115" i="32"/>
  <c r="G115" i="32" s="1"/>
  <c r="C37" i="12"/>
  <c r="C37" i="39"/>
  <c r="C37" i="33"/>
  <c r="F37" i="32"/>
  <c r="G37" i="32" s="1"/>
  <c r="C176" i="39"/>
  <c r="C176" i="12"/>
  <c r="C176" i="33"/>
  <c r="F176" i="32"/>
  <c r="G176" i="32" s="1"/>
  <c r="C166" i="12"/>
  <c r="C166" i="39"/>
  <c r="C166" i="33"/>
  <c r="F166" i="32"/>
  <c r="G166" i="32" s="1"/>
  <c r="E156" i="33"/>
  <c r="D156" i="37" s="1"/>
  <c r="C167" i="34"/>
  <c r="E240" i="33"/>
  <c r="D240" i="37" s="1"/>
  <c r="C251" i="34"/>
  <c r="C237" i="34"/>
  <c r="E226" i="33"/>
  <c r="D226" i="37" s="1"/>
  <c r="E181" i="33"/>
  <c r="D181" i="37" s="1"/>
  <c r="C192" i="34"/>
  <c r="E165" i="33"/>
  <c r="D165" i="37" s="1"/>
  <c r="C176" i="34"/>
  <c r="E227" i="33"/>
  <c r="D227" i="37" s="1"/>
  <c r="C238" i="34"/>
  <c r="C190" i="34"/>
  <c r="E179" i="33"/>
  <c r="D179" i="37" s="1"/>
  <c r="E136" i="33"/>
  <c r="D136" i="37" s="1"/>
  <c r="C147" i="34"/>
  <c r="E91" i="33"/>
  <c r="D91" i="37" s="1"/>
  <c r="C102" i="34"/>
  <c r="C91" i="34"/>
  <c r="E80" i="33"/>
  <c r="D80" i="37" s="1"/>
  <c r="C121" i="34"/>
  <c r="E110" i="33"/>
  <c r="D110" i="37" s="1"/>
  <c r="C112" i="34"/>
  <c r="E101" i="33"/>
  <c r="D101" i="37" s="1"/>
  <c r="C104" i="34"/>
  <c r="E93" i="33"/>
  <c r="D93" i="37" s="1"/>
  <c r="C96" i="34"/>
  <c r="E85" i="33"/>
  <c r="D85" i="37" s="1"/>
  <c r="E95" i="33"/>
  <c r="D95" i="37" s="1"/>
  <c r="C106" i="34"/>
  <c r="C67" i="34"/>
  <c r="E56" i="33"/>
  <c r="D56" i="37" s="1"/>
  <c r="C64" i="34"/>
  <c r="E53" i="33"/>
  <c r="D53" i="37" s="1"/>
  <c r="E24" i="33"/>
  <c r="D24" i="37" s="1"/>
  <c r="C35" i="34"/>
  <c r="C54" i="34"/>
  <c r="E43" i="33"/>
  <c r="D43" i="37" s="1"/>
  <c r="C59" i="34"/>
  <c r="E48" i="33"/>
  <c r="D48" i="37" s="1"/>
  <c r="E50" i="33"/>
  <c r="D50" i="37" s="1"/>
  <c r="C61" i="34"/>
  <c r="C45" i="34"/>
  <c r="E34" i="33"/>
  <c r="D34" i="37" s="1"/>
  <c r="C25" i="34"/>
  <c r="E14" i="33"/>
  <c r="D14" i="37" s="1"/>
  <c r="C44" i="34"/>
  <c r="E33" i="33"/>
  <c r="D33" i="37" s="1"/>
  <c r="C68" i="34"/>
  <c r="E57" i="33"/>
  <c r="D57" i="37" s="1"/>
  <c r="E46" i="33"/>
  <c r="D46" i="37" s="1"/>
  <c r="C57" i="34"/>
  <c r="C21" i="34"/>
  <c r="E10" i="33"/>
  <c r="D10" i="37" s="1"/>
  <c r="C105" i="39"/>
  <c r="C105" i="12"/>
  <c r="C105" i="33"/>
  <c r="F105" i="32"/>
  <c r="C51" i="39"/>
  <c r="C51" i="12"/>
  <c r="C51" i="33"/>
  <c r="F51" i="32"/>
  <c r="G51" i="32" s="1"/>
  <c r="C141" i="39"/>
  <c r="C141" i="12"/>
  <c r="C141" i="33"/>
  <c r="F141" i="32"/>
  <c r="G141" i="32" s="1"/>
  <c r="C282" i="39"/>
  <c r="C282" i="12"/>
  <c r="C282" i="33"/>
  <c r="F282" i="32"/>
  <c r="G282" i="32" s="1"/>
  <c r="C279" i="39"/>
  <c r="C279" i="12"/>
  <c r="C279" i="33"/>
  <c r="F279" i="32"/>
  <c r="G279" i="32" s="1"/>
  <c r="E288" i="33"/>
  <c r="D288" i="37" s="1"/>
  <c r="C299" i="34"/>
  <c r="C7" i="39"/>
  <c r="C7" i="12"/>
  <c r="C7" i="33"/>
  <c r="F7" i="32"/>
  <c r="G7" i="32" s="1"/>
  <c r="C127" i="39"/>
  <c r="C127" i="12"/>
  <c r="C127" i="33"/>
  <c r="F127" i="32"/>
  <c r="G127" i="32" s="1"/>
  <c r="C165" i="34"/>
  <c r="E154" i="33"/>
  <c r="D154" i="37" s="1"/>
  <c r="C310" i="34"/>
  <c r="E299" i="33"/>
  <c r="D299" i="37" s="1"/>
  <c r="E284" i="33"/>
  <c r="D284" i="37" s="1"/>
  <c r="C295" i="34"/>
  <c r="E296" i="33"/>
  <c r="D296" i="37" s="1"/>
  <c r="C307" i="34"/>
  <c r="C240" i="34"/>
  <c r="E229" i="33"/>
  <c r="D229" i="37" s="1"/>
  <c r="E220" i="33"/>
  <c r="D220" i="37" s="1"/>
  <c r="C231" i="34"/>
  <c r="C17" i="39"/>
  <c r="C17" i="12"/>
  <c r="C17" i="33"/>
  <c r="F17" i="32"/>
  <c r="G17" i="32" s="1"/>
  <c r="E70" i="33"/>
  <c r="D70" i="37" s="1"/>
  <c r="C81" i="34"/>
  <c r="C63" i="34"/>
  <c r="E52" i="33"/>
  <c r="D52" i="37" s="1"/>
  <c r="G82" i="32"/>
  <c r="X316" i="42"/>
  <c r="S316" i="42"/>
  <c r="T316" i="42"/>
  <c r="U316" i="42"/>
  <c r="V316" i="42"/>
  <c r="W316" i="42"/>
  <c r="AM8" i="42"/>
  <c r="AM9" i="42"/>
  <c r="AM10" i="42"/>
  <c r="AM11" i="42"/>
  <c r="AM12" i="42"/>
  <c r="AM13" i="42"/>
  <c r="AM14" i="42"/>
  <c r="AM15" i="42"/>
  <c r="AM16" i="42"/>
  <c r="AM17" i="42"/>
  <c r="AM18" i="42"/>
  <c r="AM19" i="42"/>
  <c r="AM20" i="42"/>
  <c r="AM21" i="42"/>
  <c r="AM22" i="42"/>
  <c r="AM23" i="42"/>
  <c r="AM24" i="42"/>
  <c r="AM25" i="42"/>
  <c r="AM26" i="42"/>
  <c r="AM27" i="42"/>
  <c r="AM28" i="42"/>
  <c r="AM29" i="42"/>
  <c r="AM31" i="42"/>
  <c r="AM32" i="42"/>
  <c r="AM33" i="42"/>
  <c r="AM34" i="42"/>
  <c r="AM35" i="42"/>
  <c r="AM36" i="42"/>
  <c r="AM37" i="42"/>
  <c r="AM38" i="42"/>
  <c r="AM39" i="42"/>
  <c r="AM40" i="42"/>
  <c r="AM41" i="42"/>
  <c r="AM42" i="42"/>
  <c r="AM43" i="42"/>
  <c r="AM44" i="42"/>
  <c r="AM45" i="42"/>
  <c r="AM46" i="42"/>
  <c r="AM47" i="42"/>
  <c r="AM48" i="42"/>
  <c r="AM49" i="42"/>
  <c r="AM50" i="42"/>
  <c r="AM51" i="42"/>
  <c r="AM52" i="42"/>
  <c r="AM53" i="42"/>
  <c r="AM54" i="42"/>
  <c r="AM55" i="42"/>
  <c r="AM56" i="42"/>
  <c r="AM57" i="42"/>
  <c r="AM58" i="42"/>
  <c r="AM59" i="42"/>
  <c r="AM60" i="42"/>
  <c r="AM61" i="42"/>
  <c r="AM62" i="42"/>
  <c r="AM63" i="42"/>
  <c r="AM64" i="42"/>
  <c r="AM65" i="42"/>
  <c r="AM66" i="42"/>
  <c r="AM67" i="42"/>
  <c r="AM68" i="42"/>
  <c r="AM69" i="42"/>
  <c r="AM70" i="42"/>
  <c r="AM71" i="42"/>
  <c r="AM72" i="42"/>
  <c r="AM73" i="42"/>
  <c r="AM74" i="42"/>
  <c r="AM75" i="42"/>
  <c r="AM76" i="42"/>
  <c r="AM77" i="42"/>
  <c r="AM78" i="42"/>
  <c r="AM79" i="42"/>
  <c r="AM80" i="42"/>
  <c r="AM81" i="42"/>
  <c r="AM82" i="42"/>
  <c r="AM83" i="42"/>
  <c r="AM84" i="42"/>
  <c r="AM85" i="42"/>
  <c r="AM86" i="42"/>
  <c r="AM87" i="42"/>
  <c r="AM88" i="42"/>
  <c r="AM89" i="42"/>
  <c r="AM90" i="42"/>
  <c r="AM91" i="42"/>
  <c r="AM92" i="42"/>
  <c r="AM93" i="42"/>
  <c r="AM94" i="42"/>
  <c r="AM95" i="42"/>
  <c r="AM96" i="42"/>
  <c r="AM97" i="42"/>
  <c r="AM98" i="42"/>
  <c r="AM99" i="42"/>
  <c r="AM100" i="42"/>
  <c r="AM101" i="42"/>
  <c r="AM102" i="42"/>
  <c r="AM103" i="42"/>
  <c r="AM104" i="42"/>
  <c r="AM105" i="42"/>
  <c r="AM106" i="42"/>
  <c r="AM107" i="42"/>
  <c r="AM108" i="42"/>
  <c r="AM109" i="42"/>
  <c r="AM110" i="42"/>
  <c r="AM111" i="42"/>
  <c r="AM112" i="42"/>
  <c r="AM113" i="42"/>
  <c r="AM114" i="42"/>
  <c r="AM115" i="42"/>
  <c r="AM116" i="42"/>
  <c r="AM117" i="42"/>
  <c r="AM118" i="42"/>
  <c r="AM119" i="42"/>
  <c r="AM120" i="42"/>
  <c r="AM121" i="42"/>
  <c r="AM122" i="42"/>
  <c r="AM123" i="42"/>
  <c r="AM124" i="42"/>
  <c r="AM125" i="42"/>
  <c r="AM126" i="42"/>
  <c r="AM127" i="42"/>
  <c r="AM128" i="42"/>
  <c r="AM129" i="42"/>
  <c r="AM130" i="42"/>
  <c r="AM131" i="42"/>
  <c r="AM132" i="42"/>
  <c r="AM133" i="42"/>
  <c r="AM134" i="42"/>
  <c r="AM135" i="42"/>
  <c r="AM136" i="42"/>
  <c r="AM137" i="42"/>
  <c r="AM138" i="42"/>
  <c r="AM139" i="42"/>
  <c r="AM140" i="42"/>
  <c r="AM141" i="42"/>
  <c r="AM142" i="42"/>
  <c r="AM143" i="42"/>
  <c r="AM144" i="42"/>
  <c r="AM145" i="42"/>
  <c r="AM146" i="42"/>
  <c r="AM147" i="42"/>
  <c r="AM148" i="42"/>
  <c r="AM149" i="42"/>
  <c r="AM150" i="42"/>
  <c r="AM151" i="42"/>
  <c r="AM152" i="42"/>
  <c r="AM153" i="42"/>
  <c r="AM154" i="42"/>
  <c r="AM155" i="42"/>
  <c r="AM156" i="42"/>
  <c r="AM157" i="42"/>
  <c r="AM158" i="42"/>
  <c r="AM159" i="42"/>
  <c r="AM160" i="42"/>
  <c r="AM161" i="42"/>
  <c r="AM162" i="42"/>
  <c r="AM163" i="42"/>
  <c r="AM164" i="42"/>
  <c r="AM165" i="42"/>
  <c r="AM166" i="42"/>
  <c r="AM167" i="42"/>
  <c r="AM168" i="42"/>
  <c r="AM169" i="42"/>
  <c r="AM170" i="42"/>
  <c r="AM171" i="42"/>
  <c r="AM172" i="42"/>
  <c r="AM173" i="42"/>
  <c r="AM174" i="42"/>
  <c r="AM175" i="42"/>
  <c r="AM176" i="42"/>
  <c r="AM177" i="42"/>
  <c r="AM178" i="42"/>
  <c r="AM179" i="42"/>
  <c r="AM180" i="42"/>
  <c r="AM181" i="42"/>
  <c r="AM182" i="42"/>
  <c r="AM183" i="42"/>
  <c r="AM184" i="42"/>
  <c r="AM185" i="42"/>
  <c r="AM186" i="42"/>
  <c r="AM187" i="42"/>
  <c r="AM188" i="42"/>
  <c r="AM189" i="42"/>
  <c r="AM190" i="42"/>
  <c r="AM191" i="42"/>
  <c r="AM192" i="42"/>
  <c r="AM193" i="42"/>
  <c r="AM194" i="42"/>
  <c r="AM195" i="42"/>
  <c r="AM196" i="42"/>
  <c r="AM197" i="42"/>
  <c r="AM198" i="42"/>
  <c r="AM199" i="42"/>
  <c r="AM200" i="42"/>
  <c r="AM201" i="42"/>
  <c r="AM202" i="42"/>
  <c r="AM203" i="42"/>
  <c r="AM204" i="42"/>
  <c r="AM205" i="42"/>
  <c r="AM206" i="42"/>
  <c r="AM207" i="42"/>
  <c r="AM208" i="42"/>
  <c r="AM209" i="42"/>
  <c r="AM210" i="42"/>
  <c r="AM211" i="42"/>
  <c r="AM212" i="42"/>
  <c r="AM213" i="42"/>
  <c r="AM214" i="42"/>
  <c r="AM215" i="42"/>
  <c r="AM216" i="42"/>
  <c r="AM217" i="42"/>
  <c r="AM218" i="42"/>
  <c r="AM219" i="42"/>
  <c r="AM220" i="42"/>
  <c r="AM221" i="42"/>
  <c r="AM222" i="42"/>
  <c r="AM223" i="42"/>
  <c r="AM224" i="42"/>
  <c r="AM225" i="42"/>
  <c r="AM226" i="42"/>
  <c r="AM227" i="42"/>
  <c r="AM228" i="42"/>
  <c r="AM229" i="42"/>
  <c r="AM230" i="42"/>
  <c r="AM231" i="42"/>
  <c r="AM232" i="42"/>
  <c r="AM233" i="42"/>
  <c r="AM234" i="42"/>
  <c r="AM235" i="42"/>
  <c r="AM236" i="42"/>
  <c r="AM237" i="42"/>
  <c r="AM238" i="42"/>
  <c r="AM239" i="42"/>
  <c r="AM240" i="42"/>
  <c r="AM241" i="42"/>
  <c r="AM242" i="42"/>
  <c r="AM243" i="42"/>
  <c r="AM244" i="42"/>
  <c r="AM245" i="42"/>
  <c r="AM246" i="42"/>
  <c r="AM247" i="42"/>
  <c r="AM248" i="42"/>
  <c r="AM249" i="42"/>
  <c r="AM250" i="42"/>
  <c r="AM251" i="42"/>
  <c r="AM252" i="42"/>
  <c r="AM253" i="42"/>
  <c r="AM254" i="42"/>
  <c r="AM255" i="42"/>
  <c r="AM256" i="42"/>
  <c r="AM257" i="42"/>
  <c r="AM258" i="42"/>
  <c r="AM259" i="42"/>
  <c r="AM260" i="42"/>
  <c r="AM261" i="42"/>
  <c r="AM262" i="42"/>
  <c r="AM263" i="42"/>
  <c r="AM264" i="42"/>
  <c r="AM265" i="42"/>
  <c r="AM266" i="42"/>
  <c r="AM267" i="42"/>
  <c r="AM268" i="42"/>
  <c r="AM269" i="42"/>
  <c r="AM270" i="42"/>
  <c r="AM271" i="42"/>
  <c r="AM272" i="42"/>
  <c r="AM273" i="42"/>
  <c r="AM274" i="42"/>
  <c r="AM275" i="42"/>
  <c r="AM276" i="42"/>
  <c r="AM277" i="42"/>
  <c r="AM278" i="42"/>
  <c r="AM279" i="42"/>
  <c r="AM280" i="42"/>
  <c r="AM281" i="42"/>
  <c r="AM282" i="42"/>
  <c r="AM283" i="42"/>
  <c r="AM284" i="42"/>
  <c r="AM285" i="42"/>
  <c r="AM286" i="42"/>
  <c r="AM287" i="42"/>
  <c r="AM288" i="42"/>
  <c r="AM289" i="42"/>
  <c r="AM290" i="42"/>
  <c r="AM291" i="42"/>
  <c r="AM292" i="42"/>
  <c r="AM293" i="42"/>
  <c r="AM294" i="42"/>
  <c r="AM295" i="42"/>
  <c r="AM296" i="42"/>
  <c r="AM297" i="42"/>
  <c r="AM298" i="42"/>
  <c r="AM299" i="42"/>
  <c r="AM300" i="42"/>
  <c r="AM301" i="42"/>
  <c r="AM302" i="42"/>
  <c r="AM303" i="42"/>
  <c r="AM304" i="42"/>
  <c r="AM305" i="42"/>
  <c r="AM306" i="42"/>
  <c r="AM307" i="42"/>
  <c r="AM308" i="42"/>
  <c r="AM309" i="42"/>
  <c r="AM310" i="42"/>
  <c r="AM311" i="42"/>
  <c r="AM312" i="42"/>
  <c r="AM313" i="42"/>
  <c r="AM314" i="42"/>
  <c r="AM315" i="42"/>
  <c r="AM316" i="42"/>
  <c r="AM7" i="42"/>
  <c r="H316" i="42"/>
  <c r="I316" i="42"/>
  <c r="J316" i="42"/>
  <c r="E232" i="33" l="1"/>
  <c r="D232" i="37" s="1"/>
  <c r="E18" i="33"/>
  <c r="D18" i="37" s="1"/>
  <c r="G105" i="32"/>
  <c r="E188" i="33"/>
  <c r="D188" i="37" s="1"/>
  <c r="C199" i="34"/>
  <c r="C213" i="34"/>
  <c r="E202" i="33"/>
  <c r="D202" i="37" s="1"/>
  <c r="C233" i="34"/>
  <c r="E222" i="33"/>
  <c r="D222" i="37" s="1"/>
  <c r="E268" i="33"/>
  <c r="D268" i="37" s="1"/>
  <c r="C279" i="34"/>
  <c r="E297" i="33"/>
  <c r="D297" i="37" s="1"/>
  <c r="C308" i="34"/>
  <c r="C182" i="34"/>
  <c r="E171" i="33"/>
  <c r="D171" i="37" s="1"/>
  <c r="C185" i="34"/>
  <c r="E174" i="33"/>
  <c r="D174" i="37" s="1"/>
  <c r="E252" i="33"/>
  <c r="D252" i="37" s="1"/>
  <c r="C263" i="34"/>
  <c r="C198" i="34"/>
  <c r="E187" i="33"/>
  <c r="D187" i="37" s="1"/>
  <c r="C290" i="34"/>
  <c r="E279" i="33"/>
  <c r="D279" i="37" s="1"/>
  <c r="C293" i="34"/>
  <c r="E282" i="33"/>
  <c r="D282" i="37" s="1"/>
  <c r="E141" i="33"/>
  <c r="D141" i="37" s="1"/>
  <c r="C152" i="34"/>
  <c r="E51" i="33"/>
  <c r="D51" i="37" s="1"/>
  <c r="C62" i="34"/>
  <c r="C116" i="34"/>
  <c r="E105" i="33"/>
  <c r="D105" i="37" s="1"/>
  <c r="E31" i="33"/>
  <c r="D31" i="37" s="1"/>
  <c r="C42" i="34"/>
  <c r="E224" i="33"/>
  <c r="D224" i="37" s="1"/>
  <c r="C235" i="34"/>
  <c r="C305" i="34"/>
  <c r="E294" i="33"/>
  <c r="D294" i="37" s="1"/>
  <c r="C162" i="34"/>
  <c r="E151" i="33"/>
  <c r="D151" i="37" s="1"/>
  <c r="E130" i="33"/>
  <c r="D130" i="37" s="1"/>
  <c r="C141" i="34"/>
  <c r="C149" i="34"/>
  <c r="E138" i="33"/>
  <c r="D138" i="37" s="1"/>
  <c r="E192" i="33"/>
  <c r="D192" i="37" s="1"/>
  <c r="C203" i="34"/>
  <c r="C241" i="34"/>
  <c r="E230" i="33"/>
  <c r="D230" i="37" s="1"/>
  <c r="E237" i="33"/>
  <c r="D237" i="37" s="1"/>
  <c r="C248" i="34"/>
  <c r="C302" i="34"/>
  <c r="E291" i="33"/>
  <c r="D291" i="37" s="1"/>
  <c r="C298" i="34"/>
  <c r="E287" i="33"/>
  <c r="D287" i="37" s="1"/>
  <c r="C92" i="34"/>
  <c r="E81" i="33"/>
  <c r="D81" i="37" s="1"/>
  <c r="E47" i="33"/>
  <c r="D47" i="37" s="1"/>
  <c r="C58" i="34"/>
  <c r="C103" i="34"/>
  <c r="E92" i="33"/>
  <c r="D92" i="37" s="1"/>
  <c r="C161" i="34"/>
  <c r="E150" i="33"/>
  <c r="D150" i="37" s="1"/>
  <c r="E74" i="33"/>
  <c r="D74" i="37" s="1"/>
  <c r="C85" i="34"/>
  <c r="C154" i="34"/>
  <c r="E143" i="33"/>
  <c r="D143" i="37" s="1"/>
  <c r="C166" i="34"/>
  <c r="E155" i="33"/>
  <c r="D155" i="37" s="1"/>
  <c r="C84" i="34"/>
  <c r="E73" i="33"/>
  <c r="D73" i="37" s="1"/>
  <c r="C24" i="34"/>
  <c r="E13" i="33"/>
  <c r="D13" i="37" s="1"/>
  <c r="C41" i="34"/>
  <c r="E30" i="33"/>
  <c r="D30" i="37" s="1"/>
  <c r="C318" i="34"/>
  <c r="E307" i="33"/>
  <c r="D307" i="37" s="1"/>
  <c r="C208" i="34"/>
  <c r="E197" i="33"/>
  <c r="D197" i="37" s="1"/>
  <c r="E20" i="33"/>
  <c r="D20" i="37" s="1"/>
  <c r="C31" i="34"/>
  <c r="E160" i="33"/>
  <c r="D160" i="37" s="1"/>
  <c r="C171" i="34"/>
  <c r="E19" i="33"/>
  <c r="D19" i="37" s="1"/>
  <c r="C30" i="34"/>
  <c r="E216" i="33"/>
  <c r="D216" i="37" s="1"/>
  <c r="C227" i="34"/>
  <c r="E108" i="33"/>
  <c r="D108" i="37" s="1"/>
  <c r="C119" i="34"/>
  <c r="C301" i="34"/>
  <c r="E290" i="33"/>
  <c r="D290" i="37" s="1"/>
  <c r="E66" i="33"/>
  <c r="D66" i="37" s="1"/>
  <c r="C77" i="34"/>
  <c r="C253" i="34"/>
  <c r="E242" i="33"/>
  <c r="D242" i="37" s="1"/>
  <c r="E256" i="33"/>
  <c r="D256" i="37" s="1"/>
  <c r="C267" i="34"/>
  <c r="C75" i="34"/>
  <c r="E64" i="33"/>
  <c r="D64" i="37" s="1"/>
  <c r="E206" i="33"/>
  <c r="D206" i="37" s="1"/>
  <c r="C217" i="34"/>
  <c r="C265" i="34"/>
  <c r="E254" i="33"/>
  <c r="D254" i="37" s="1"/>
  <c r="E90" i="33"/>
  <c r="D90" i="37" s="1"/>
  <c r="C101" i="34"/>
  <c r="E98" i="33"/>
  <c r="D98" i="37" s="1"/>
  <c r="C109" i="34"/>
  <c r="E104" i="33"/>
  <c r="D104" i="37" s="1"/>
  <c r="C115" i="34"/>
  <c r="C107" i="34"/>
  <c r="E96" i="33"/>
  <c r="D96" i="37" s="1"/>
  <c r="E112" i="33"/>
  <c r="D112" i="37" s="1"/>
  <c r="C123" i="34"/>
  <c r="E168" i="33"/>
  <c r="D168" i="37" s="1"/>
  <c r="C179" i="34"/>
  <c r="C178" i="34"/>
  <c r="E167" i="33"/>
  <c r="D167" i="37" s="1"/>
  <c r="C28" i="34"/>
  <c r="E17" i="33"/>
  <c r="D17" i="37" s="1"/>
  <c r="E127" i="33"/>
  <c r="D127" i="37" s="1"/>
  <c r="C138" i="34"/>
  <c r="E7" i="33"/>
  <c r="D7" i="37" s="1"/>
  <c r="C18" i="34"/>
  <c r="C177" i="34"/>
  <c r="E166" i="33"/>
  <c r="D166" i="37" s="1"/>
  <c r="E176" i="33"/>
  <c r="D176" i="37" s="1"/>
  <c r="C187" i="34"/>
  <c r="C48" i="34"/>
  <c r="E37" i="33"/>
  <c r="D37" i="37" s="1"/>
  <c r="E115" i="33"/>
  <c r="D115" i="37" s="1"/>
  <c r="C126" i="34"/>
  <c r="C56" i="34"/>
  <c r="E45" i="33"/>
  <c r="D45" i="37" s="1"/>
  <c r="C79" i="34"/>
  <c r="E68" i="33"/>
  <c r="D68" i="37" s="1"/>
  <c r="C157" i="34"/>
  <c r="E146" i="33"/>
  <c r="D146" i="37" s="1"/>
  <c r="E260" i="33"/>
  <c r="D260" i="37" s="1"/>
  <c r="C271" i="34"/>
  <c r="E292" i="33"/>
  <c r="D292" i="37" s="1"/>
  <c r="C303" i="34"/>
  <c r="E157" i="33"/>
  <c r="D157" i="37" s="1"/>
  <c r="C168" i="34"/>
  <c r="C287" i="34"/>
  <c r="E276" i="33"/>
  <c r="D276" i="37" s="1"/>
  <c r="E304" i="33"/>
  <c r="D304" i="37" s="1"/>
  <c r="C315" i="34"/>
  <c r="C189" i="34"/>
  <c r="E178" i="33"/>
  <c r="D178" i="37" s="1"/>
  <c r="C216" i="34"/>
  <c r="E205" i="33"/>
  <c r="D205" i="37" s="1"/>
  <c r="C38" i="34"/>
  <c r="E27" i="33"/>
  <c r="D27" i="37" s="1"/>
  <c r="C95" i="34"/>
  <c r="E84" i="33"/>
  <c r="D84" i="37" s="1"/>
  <c r="C245" i="34"/>
  <c r="E234" i="33"/>
  <c r="D234" i="37" s="1"/>
  <c r="C145" i="34"/>
  <c r="E134" i="33"/>
  <c r="D134" i="37" s="1"/>
  <c r="E248" i="33"/>
  <c r="D248" i="37" s="1"/>
  <c r="C259" i="34"/>
  <c r="E244" i="33"/>
  <c r="D244" i="37" s="1"/>
  <c r="C255" i="34"/>
  <c r="C99" i="34"/>
  <c r="E88" i="33"/>
  <c r="D88" i="37" s="1"/>
  <c r="C120" i="34"/>
  <c r="E109" i="33"/>
  <c r="D109" i="37" s="1"/>
  <c r="C193" i="34"/>
  <c r="E182" i="33"/>
  <c r="D182" i="37" s="1"/>
  <c r="E58" i="33"/>
  <c r="D58" i="37" s="1"/>
  <c r="C69" i="34"/>
  <c r="C186" i="34"/>
  <c r="E175" i="33"/>
  <c r="D175" i="37" s="1"/>
  <c r="C87" i="34"/>
  <c r="E76" i="33"/>
  <c r="D76" i="37" s="1"/>
  <c r="C313" i="34"/>
  <c r="E302" i="33"/>
  <c r="D302" i="37" s="1"/>
  <c r="E300" i="33"/>
  <c r="D300" i="37" s="1"/>
  <c r="C311" i="34"/>
  <c r="C294" i="34"/>
  <c r="E283" i="33"/>
  <c r="D283" i="37" s="1"/>
  <c r="E87" i="33"/>
  <c r="D87" i="37" s="1"/>
  <c r="C98" i="34"/>
  <c r="C252" i="34"/>
  <c r="E241" i="33"/>
  <c r="D241" i="37" s="1"/>
  <c r="C223" i="34"/>
  <c r="E212" i="33"/>
  <c r="D212" i="37" s="1"/>
  <c r="E32" i="33"/>
  <c r="D32" i="37" s="1"/>
  <c r="C43" i="34"/>
  <c r="E100" i="33"/>
  <c r="D100" i="37" s="1"/>
  <c r="C111" i="34"/>
  <c r="C136" i="34"/>
  <c r="E125" i="33"/>
  <c r="D125" i="37" s="1"/>
  <c r="C246" i="34"/>
  <c r="E235" i="33"/>
  <c r="D235" i="37" s="1"/>
  <c r="C117" i="34"/>
  <c r="E106" i="33"/>
  <c r="D106" i="37" s="1"/>
  <c r="E149" i="33"/>
  <c r="D149" i="37" s="1"/>
  <c r="C160" i="34"/>
  <c r="C261" i="34"/>
  <c r="E250" i="33"/>
  <c r="D250" i="37" s="1"/>
  <c r="C257" i="34"/>
  <c r="E246" i="33"/>
  <c r="D246" i="37" s="1"/>
  <c r="E82" i="33"/>
  <c r="D82" i="37" s="1"/>
  <c r="C93" i="34"/>
  <c r="E65" i="33"/>
  <c r="D65" i="37" s="1"/>
  <c r="C76" i="34"/>
  <c r="C20" i="34"/>
  <c r="E9" i="33"/>
  <c r="D9" i="37" s="1"/>
  <c r="C285" i="34"/>
  <c r="E274" i="33"/>
  <c r="D274" i="37" s="1"/>
  <c r="E145" i="33"/>
  <c r="D145" i="37" s="1"/>
  <c r="C156" i="34"/>
  <c r="C150" i="34"/>
  <c r="E139" i="33"/>
  <c r="D139" i="37" s="1"/>
  <c r="C125" i="34"/>
  <c r="E114" i="33"/>
  <c r="D114" i="37" s="1"/>
  <c r="E59" i="33"/>
  <c r="D59" i="37" s="1"/>
  <c r="C70" i="34"/>
  <c r="C224" i="34"/>
  <c r="E213" i="33"/>
  <c r="D213" i="37" s="1"/>
  <c r="C128" i="34"/>
  <c r="E117" i="33"/>
  <c r="D117" i="37" s="1"/>
  <c r="C46" i="34"/>
  <c r="E35" i="33"/>
  <c r="D35" i="37" s="1"/>
  <c r="E263" i="33"/>
  <c r="D263" i="37" s="1"/>
  <c r="C274" i="34"/>
  <c r="E264" i="33"/>
  <c r="D264" i="37" s="1"/>
  <c r="C275" i="34"/>
  <c r="E12" i="33"/>
  <c r="D12" i="37" s="1"/>
  <c r="C23" i="34"/>
  <c r="N316" i="42"/>
  <c r="A8" i="19"/>
  <c r="B8" i="19"/>
  <c r="A9" i="19"/>
  <c r="B9" i="19"/>
  <c r="A10" i="19"/>
  <c r="B10" i="19"/>
  <c r="A11" i="19"/>
  <c r="B11" i="19"/>
  <c r="A12" i="19"/>
  <c r="B12" i="19"/>
  <c r="A13" i="19"/>
  <c r="B13" i="19"/>
  <c r="A14" i="19"/>
  <c r="B14" i="19"/>
  <c r="A15" i="19"/>
  <c r="B15" i="19"/>
  <c r="A16" i="19"/>
  <c r="B16" i="19"/>
  <c r="A17" i="19"/>
  <c r="B17" i="19"/>
  <c r="A18" i="19"/>
  <c r="B18" i="19"/>
  <c r="A19" i="19"/>
  <c r="B19" i="19"/>
  <c r="A20" i="19"/>
  <c r="B20" i="19"/>
  <c r="A21" i="19"/>
  <c r="B21" i="19"/>
  <c r="A22" i="19"/>
  <c r="B22" i="19"/>
  <c r="A23" i="19"/>
  <c r="B23" i="19"/>
  <c r="A24" i="19"/>
  <c r="B24" i="19"/>
  <c r="A25" i="19"/>
  <c r="B25" i="19"/>
  <c r="A26" i="19"/>
  <c r="B26" i="19"/>
  <c r="A27" i="19"/>
  <c r="B27" i="19"/>
  <c r="A28" i="19"/>
  <c r="B28" i="19"/>
  <c r="A29" i="19"/>
  <c r="B29" i="19"/>
  <c r="A30" i="19"/>
  <c r="B30" i="19"/>
  <c r="A31" i="19"/>
  <c r="B31" i="19"/>
  <c r="A32" i="19"/>
  <c r="B32" i="19"/>
  <c r="A33" i="19"/>
  <c r="B33" i="19"/>
  <c r="A34" i="19"/>
  <c r="B34" i="19"/>
  <c r="A35" i="19"/>
  <c r="B35" i="19"/>
  <c r="A36" i="19"/>
  <c r="B36" i="19"/>
  <c r="A37" i="19"/>
  <c r="B37" i="19"/>
  <c r="A38" i="19"/>
  <c r="B38" i="19"/>
  <c r="A39" i="19"/>
  <c r="B39" i="19"/>
  <c r="A40" i="19"/>
  <c r="B40" i="19"/>
  <c r="A41" i="19"/>
  <c r="B41" i="19"/>
  <c r="A42" i="19"/>
  <c r="B42" i="19"/>
  <c r="A43" i="19"/>
  <c r="B43" i="19"/>
  <c r="A44" i="19"/>
  <c r="B44" i="19"/>
  <c r="A45" i="19"/>
  <c r="B45" i="19"/>
  <c r="A46" i="19"/>
  <c r="B46" i="19"/>
  <c r="A47" i="19"/>
  <c r="B47" i="19"/>
  <c r="A48" i="19"/>
  <c r="B48" i="19"/>
  <c r="A49" i="19"/>
  <c r="B49" i="19"/>
  <c r="A50" i="19"/>
  <c r="B50" i="19"/>
  <c r="A51" i="19"/>
  <c r="B51" i="19"/>
  <c r="A52" i="19"/>
  <c r="B52" i="19"/>
  <c r="A53" i="19"/>
  <c r="B53" i="19"/>
  <c r="A54" i="19"/>
  <c r="B54" i="19"/>
  <c r="A55" i="19"/>
  <c r="B55" i="19"/>
  <c r="A56" i="19"/>
  <c r="B56" i="19"/>
  <c r="A57" i="19"/>
  <c r="B57" i="19"/>
  <c r="A58" i="19"/>
  <c r="B58" i="19"/>
  <c r="A59" i="19"/>
  <c r="B59" i="19"/>
  <c r="A60" i="19"/>
  <c r="B60" i="19"/>
  <c r="A61" i="19"/>
  <c r="B61" i="19"/>
  <c r="A62" i="19"/>
  <c r="B62" i="19"/>
  <c r="A63" i="19"/>
  <c r="B63" i="19"/>
  <c r="A64" i="19"/>
  <c r="B64" i="19"/>
  <c r="A65" i="19"/>
  <c r="B65" i="19"/>
  <c r="A66" i="19"/>
  <c r="B66" i="19"/>
  <c r="A67" i="19"/>
  <c r="B67" i="19"/>
  <c r="A68" i="19"/>
  <c r="B68" i="19"/>
  <c r="A69" i="19"/>
  <c r="B69" i="19"/>
  <c r="A70" i="19"/>
  <c r="B70" i="19"/>
  <c r="A71" i="19"/>
  <c r="B71" i="19"/>
  <c r="A72" i="19"/>
  <c r="B72" i="19"/>
  <c r="A73" i="19"/>
  <c r="B73" i="19"/>
  <c r="A74" i="19"/>
  <c r="B74" i="19"/>
  <c r="A75" i="19"/>
  <c r="B75" i="19"/>
  <c r="A76" i="19"/>
  <c r="B76" i="19"/>
  <c r="A77" i="19"/>
  <c r="B77" i="19"/>
  <c r="A78" i="19"/>
  <c r="B78" i="19"/>
  <c r="A79" i="19"/>
  <c r="B79" i="19"/>
  <c r="A80" i="19"/>
  <c r="B80" i="19"/>
  <c r="A81" i="19"/>
  <c r="B81" i="19"/>
  <c r="A82" i="19"/>
  <c r="B82" i="19"/>
  <c r="A83" i="19"/>
  <c r="B83" i="19"/>
  <c r="A84" i="19"/>
  <c r="B84" i="19"/>
  <c r="A85" i="19"/>
  <c r="B85" i="19"/>
  <c r="A86" i="19"/>
  <c r="B86" i="19"/>
  <c r="A87" i="19"/>
  <c r="B87" i="19"/>
  <c r="A88" i="19"/>
  <c r="B88" i="19"/>
  <c r="A89" i="19"/>
  <c r="B89" i="19"/>
  <c r="A90" i="19"/>
  <c r="B90" i="19"/>
  <c r="A91" i="19"/>
  <c r="B91" i="19"/>
  <c r="A92" i="19"/>
  <c r="B92" i="19"/>
  <c r="A93" i="19"/>
  <c r="B93" i="19"/>
  <c r="A94" i="19"/>
  <c r="B94" i="19"/>
  <c r="A95" i="19"/>
  <c r="B95" i="19"/>
  <c r="A96" i="19"/>
  <c r="B96" i="19"/>
  <c r="A97" i="19"/>
  <c r="B97" i="19"/>
  <c r="A98" i="19"/>
  <c r="B98" i="19"/>
  <c r="A99" i="19"/>
  <c r="B99" i="19"/>
  <c r="A100" i="19"/>
  <c r="B100" i="19"/>
  <c r="A101" i="19"/>
  <c r="B101" i="19"/>
  <c r="A102" i="19"/>
  <c r="B102" i="19"/>
  <c r="A103" i="19"/>
  <c r="B103" i="19"/>
  <c r="A104" i="19"/>
  <c r="B104" i="19"/>
  <c r="A105" i="19"/>
  <c r="B105" i="19"/>
  <c r="A106" i="19"/>
  <c r="B106" i="19"/>
  <c r="A107" i="19"/>
  <c r="B107" i="19"/>
  <c r="A108" i="19"/>
  <c r="B108" i="19"/>
  <c r="A109" i="19"/>
  <c r="B109" i="19"/>
  <c r="A110" i="19"/>
  <c r="B110" i="19"/>
  <c r="A111" i="19"/>
  <c r="B111" i="19"/>
  <c r="A112" i="19"/>
  <c r="B112" i="19"/>
  <c r="A113" i="19"/>
  <c r="B113" i="19"/>
  <c r="A114" i="19"/>
  <c r="B114" i="19"/>
  <c r="A115" i="19"/>
  <c r="B115" i="19"/>
  <c r="A116" i="19"/>
  <c r="B116" i="19"/>
  <c r="A117" i="19"/>
  <c r="B117" i="19"/>
  <c r="A118" i="19"/>
  <c r="B118" i="19"/>
  <c r="A119" i="19"/>
  <c r="B119" i="19"/>
  <c r="A120" i="19"/>
  <c r="B120" i="19"/>
  <c r="A121" i="19"/>
  <c r="B121" i="19"/>
  <c r="A122" i="19"/>
  <c r="B122" i="19"/>
  <c r="A123" i="19"/>
  <c r="B123" i="19"/>
  <c r="A124" i="19"/>
  <c r="B124" i="19"/>
  <c r="A125" i="19"/>
  <c r="B125" i="19"/>
  <c r="A126" i="19"/>
  <c r="B126" i="19"/>
  <c r="A127" i="19"/>
  <c r="B127" i="19"/>
  <c r="A128" i="19"/>
  <c r="B128" i="19"/>
  <c r="A129" i="19"/>
  <c r="B129" i="19"/>
  <c r="A130" i="19"/>
  <c r="B130" i="19"/>
  <c r="A131" i="19"/>
  <c r="B131" i="19"/>
  <c r="A132" i="19"/>
  <c r="B132" i="19"/>
  <c r="A133" i="19"/>
  <c r="B133" i="19"/>
  <c r="A134" i="19"/>
  <c r="B134" i="19"/>
  <c r="A135" i="19"/>
  <c r="B135" i="19"/>
  <c r="A136" i="19"/>
  <c r="B136" i="19"/>
  <c r="A137" i="19"/>
  <c r="B137" i="19"/>
  <c r="A138" i="19"/>
  <c r="B138" i="19"/>
  <c r="A139" i="19"/>
  <c r="B139" i="19"/>
  <c r="A140" i="19"/>
  <c r="B140" i="19"/>
  <c r="A141" i="19"/>
  <c r="B141" i="19"/>
  <c r="A142" i="19"/>
  <c r="B142" i="19"/>
  <c r="A143" i="19"/>
  <c r="B143" i="19"/>
  <c r="A144" i="19"/>
  <c r="B144" i="19"/>
  <c r="A145" i="19"/>
  <c r="B145" i="19"/>
  <c r="A146" i="19"/>
  <c r="B146" i="19"/>
  <c r="A147" i="19"/>
  <c r="B147" i="19"/>
  <c r="A148" i="19"/>
  <c r="B148" i="19"/>
  <c r="A149" i="19"/>
  <c r="B149" i="19"/>
  <c r="A150" i="19"/>
  <c r="B150" i="19"/>
  <c r="A151" i="19"/>
  <c r="B151" i="19"/>
  <c r="A152" i="19"/>
  <c r="B152" i="19"/>
  <c r="A153" i="19"/>
  <c r="B153" i="19"/>
  <c r="A154" i="19"/>
  <c r="B154" i="19"/>
  <c r="A155" i="19"/>
  <c r="B155" i="19"/>
  <c r="A156" i="19"/>
  <c r="B156" i="19"/>
  <c r="A157" i="19"/>
  <c r="B157" i="19"/>
  <c r="A158" i="19"/>
  <c r="B158" i="19"/>
  <c r="A159" i="19"/>
  <c r="B159" i="19"/>
  <c r="A160" i="19"/>
  <c r="B160" i="19"/>
  <c r="A161" i="19"/>
  <c r="B161" i="19"/>
  <c r="A162" i="19"/>
  <c r="B162" i="19"/>
  <c r="A163" i="19"/>
  <c r="B163" i="19"/>
  <c r="A164" i="19"/>
  <c r="B164" i="19"/>
  <c r="A165" i="19"/>
  <c r="B165" i="19"/>
  <c r="A166" i="19"/>
  <c r="B166" i="19"/>
  <c r="A167" i="19"/>
  <c r="B167" i="19"/>
  <c r="A168" i="19"/>
  <c r="B168" i="19"/>
  <c r="A169" i="19"/>
  <c r="B169" i="19"/>
  <c r="A170" i="19"/>
  <c r="B170" i="19"/>
  <c r="A171" i="19"/>
  <c r="B171" i="19"/>
  <c r="A172" i="19"/>
  <c r="B172" i="19"/>
  <c r="A173" i="19"/>
  <c r="B173" i="19"/>
  <c r="A174" i="19"/>
  <c r="B174" i="19"/>
  <c r="A175" i="19"/>
  <c r="B175" i="19"/>
  <c r="A176" i="19"/>
  <c r="B176" i="19"/>
  <c r="A177" i="19"/>
  <c r="B177" i="19"/>
  <c r="A178" i="19"/>
  <c r="B178" i="19"/>
  <c r="A179" i="19"/>
  <c r="B179" i="19"/>
  <c r="A180" i="19"/>
  <c r="B180" i="19"/>
  <c r="A181" i="19"/>
  <c r="B181" i="19"/>
  <c r="A182" i="19"/>
  <c r="B182" i="19"/>
  <c r="A183" i="19"/>
  <c r="B183" i="19"/>
  <c r="A184" i="19"/>
  <c r="B184" i="19"/>
  <c r="A185" i="19"/>
  <c r="B185" i="19"/>
  <c r="A186" i="19"/>
  <c r="B186" i="19"/>
  <c r="A187" i="19"/>
  <c r="B187" i="19"/>
  <c r="A188" i="19"/>
  <c r="B188" i="19"/>
  <c r="A189" i="19"/>
  <c r="B189" i="19"/>
  <c r="A190" i="19"/>
  <c r="B190" i="19"/>
  <c r="A191" i="19"/>
  <c r="B191" i="19"/>
  <c r="A192" i="19"/>
  <c r="B192" i="19"/>
  <c r="A193" i="19"/>
  <c r="B193" i="19"/>
  <c r="A194" i="19"/>
  <c r="B194" i="19"/>
  <c r="A195" i="19"/>
  <c r="B195" i="19"/>
  <c r="A196" i="19"/>
  <c r="B196" i="19"/>
  <c r="A197" i="19"/>
  <c r="B197" i="19"/>
  <c r="A198" i="19"/>
  <c r="B198" i="19"/>
  <c r="A199" i="19"/>
  <c r="B199" i="19"/>
  <c r="A200" i="19"/>
  <c r="B200" i="19"/>
  <c r="A201" i="19"/>
  <c r="B201" i="19"/>
  <c r="A202" i="19"/>
  <c r="B202" i="19"/>
  <c r="A203" i="19"/>
  <c r="B203" i="19"/>
  <c r="A204" i="19"/>
  <c r="B204" i="19"/>
  <c r="A205" i="19"/>
  <c r="B205" i="19"/>
  <c r="A206" i="19"/>
  <c r="B206" i="19"/>
  <c r="A207" i="19"/>
  <c r="B207" i="19"/>
  <c r="A208" i="19"/>
  <c r="B208" i="19"/>
  <c r="A209" i="19"/>
  <c r="B209" i="19"/>
  <c r="A210" i="19"/>
  <c r="B210" i="19"/>
  <c r="A211" i="19"/>
  <c r="B211" i="19"/>
  <c r="A212" i="19"/>
  <c r="B212" i="19"/>
  <c r="A213" i="19"/>
  <c r="B213" i="19"/>
  <c r="A214" i="19"/>
  <c r="B214" i="19"/>
  <c r="A215" i="19"/>
  <c r="B215" i="19"/>
  <c r="A216" i="19"/>
  <c r="B216" i="19"/>
  <c r="A217" i="19"/>
  <c r="B217" i="19"/>
  <c r="A218" i="19"/>
  <c r="B218" i="19"/>
  <c r="A219" i="19"/>
  <c r="B219" i="19"/>
  <c r="A220" i="19"/>
  <c r="B220" i="19"/>
  <c r="A221" i="19"/>
  <c r="B221" i="19"/>
  <c r="A222" i="19"/>
  <c r="B222" i="19"/>
  <c r="A223" i="19"/>
  <c r="B223" i="19"/>
  <c r="A224" i="19"/>
  <c r="B224" i="19"/>
  <c r="A225" i="19"/>
  <c r="B225" i="19"/>
  <c r="A226" i="19"/>
  <c r="B226" i="19"/>
  <c r="A227" i="19"/>
  <c r="B227" i="19"/>
  <c r="A228" i="19"/>
  <c r="B228" i="19"/>
  <c r="A229" i="19"/>
  <c r="B229" i="19"/>
  <c r="A230" i="19"/>
  <c r="B230" i="19"/>
  <c r="A231" i="19"/>
  <c r="B231" i="19"/>
  <c r="A232" i="19"/>
  <c r="B232" i="19"/>
  <c r="A233" i="19"/>
  <c r="B233" i="19"/>
  <c r="A234" i="19"/>
  <c r="B234" i="19"/>
  <c r="A235" i="19"/>
  <c r="B235" i="19"/>
  <c r="A236" i="19"/>
  <c r="B236" i="19"/>
  <c r="A237" i="19"/>
  <c r="B237" i="19"/>
  <c r="A238" i="19"/>
  <c r="B238" i="19"/>
  <c r="A239" i="19"/>
  <c r="B239" i="19"/>
  <c r="A240" i="19"/>
  <c r="B240" i="19"/>
  <c r="A241" i="19"/>
  <c r="B241" i="19"/>
  <c r="A242" i="19"/>
  <c r="B242" i="19"/>
  <c r="A243" i="19"/>
  <c r="B243" i="19"/>
  <c r="A244" i="19"/>
  <c r="B244" i="19"/>
  <c r="A245" i="19"/>
  <c r="B245" i="19"/>
  <c r="A246" i="19"/>
  <c r="B246" i="19"/>
  <c r="A247" i="19"/>
  <c r="B247" i="19"/>
  <c r="A248" i="19"/>
  <c r="B248" i="19"/>
  <c r="A249" i="19"/>
  <c r="B249" i="19"/>
  <c r="A250" i="19"/>
  <c r="B250" i="19"/>
  <c r="A251" i="19"/>
  <c r="B251" i="19"/>
  <c r="A252" i="19"/>
  <c r="B252" i="19"/>
  <c r="A253" i="19"/>
  <c r="B253" i="19"/>
  <c r="A254" i="19"/>
  <c r="B254" i="19"/>
  <c r="A255" i="19"/>
  <c r="B255" i="19"/>
  <c r="A256" i="19"/>
  <c r="B256" i="19"/>
  <c r="A257" i="19"/>
  <c r="B257" i="19"/>
  <c r="A258" i="19"/>
  <c r="B258" i="19"/>
  <c r="A259" i="19"/>
  <c r="B259" i="19"/>
  <c r="A260" i="19"/>
  <c r="B260" i="19"/>
  <c r="A261" i="19"/>
  <c r="B261" i="19"/>
  <c r="A262" i="19"/>
  <c r="B262" i="19"/>
  <c r="A263" i="19"/>
  <c r="B263" i="19"/>
  <c r="A264" i="19"/>
  <c r="B264" i="19"/>
  <c r="A265" i="19"/>
  <c r="B265" i="19"/>
  <c r="A266" i="19"/>
  <c r="B266" i="19"/>
  <c r="A267" i="19"/>
  <c r="B267" i="19"/>
  <c r="A268" i="19"/>
  <c r="B268" i="19"/>
  <c r="A269" i="19"/>
  <c r="B269" i="19"/>
  <c r="A270" i="19"/>
  <c r="B270" i="19"/>
  <c r="A271" i="19"/>
  <c r="B271" i="19"/>
  <c r="A272" i="19"/>
  <c r="B272" i="19"/>
  <c r="A273" i="19"/>
  <c r="B273" i="19"/>
  <c r="A274" i="19"/>
  <c r="B274" i="19"/>
  <c r="A275" i="19"/>
  <c r="B275" i="19"/>
  <c r="A276" i="19"/>
  <c r="B276" i="19"/>
  <c r="A277" i="19"/>
  <c r="B277" i="19"/>
  <c r="A278" i="19"/>
  <c r="B278" i="19"/>
  <c r="A279" i="19"/>
  <c r="B279" i="19"/>
  <c r="A280" i="19"/>
  <c r="B280" i="19"/>
  <c r="A281" i="19"/>
  <c r="B281" i="19"/>
  <c r="A282" i="19"/>
  <c r="B282" i="19"/>
  <c r="A283" i="19"/>
  <c r="B283" i="19"/>
  <c r="A284" i="19"/>
  <c r="B284" i="19"/>
  <c r="A285" i="19"/>
  <c r="B285" i="19"/>
  <c r="A286" i="19"/>
  <c r="B286" i="19"/>
  <c r="A287" i="19"/>
  <c r="B287" i="19"/>
  <c r="A288" i="19"/>
  <c r="B288" i="19"/>
  <c r="A289" i="19"/>
  <c r="B289" i="19"/>
  <c r="A290" i="19"/>
  <c r="B290" i="19"/>
  <c r="A291" i="19"/>
  <c r="B291" i="19"/>
  <c r="A292" i="19"/>
  <c r="B292" i="19"/>
  <c r="A293" i="19"/>
  <c r="B293" i="19"/>
  <c r="A294" i="19"/>
  <c r="B294" i="19"/>
  <c r="A295" i="19"/>
  <c r="B295" i="19"/>
  <c r="A296" i="19"/>
  <c r="B296" i="19"/>
  <c r="A297" i="19"/>
  <c r="B297" i="19"/>
  <c r="A298" i="19"/>
  <c r="B298" i="19"/>
  <c r="A299" i="19"/>
  <c r="B299" i="19"/>
  <c r="A300" i="19"/>
  <c r="B300" i="19"/>
  <c r="A301" i="19"/>
  <c r="B301" i="19"/>
  <c r="A302" i="19"/>
  <c r="B302" i="19"/>
  <c r="A303" i="19"/>
  <c r="B303" i="19"/>
  <c r="A304" i="19"/>
  <c r="B304" i="19"/>
  <c r="A305" i="19"/>
  <c r="B305" i="19"/>
  <c r="A306" i="19"/>
  <c r="B306" i="19"/>
  <c r="A307" i="19"/>
  <c r="B307" i="19"/>
  <c r="A308" i="19"/>
  <c r="B308" i="19"/>
  <c r="A309" i="19"/>
  <c r="B309" i="19"/>
  <c r="A310" i="19"/>
  <c r="B310" i="19"/>
  <c r="A311" i="19"/>
  <c r="B311" i="19"/>
  <c r="A312" i="19"/>
  <c r="B312" i="19"/>
  <c r="A313" i="19"/>
  <c r="B313" i="19"/>
  <c r="A314" i="19"/>
  <c r="B314" i="19"/>
  <c r="A315" i="19"/>
  <c r="B315" i="19"/>
  <c r="I4" i="12" l="1"/>
  <c r="C3" i="13" l="1"/>
  <c r="G316" i="42" l="1"/>
  <c r="K316" i="42"/>
  <c r="L316" i="42"/>
  <c r="D316" i="42"/>
  <c r="E316" i="42"/>
  <c r="C316" i="42"/>
  <c r="J6" i="11" l="1"/>
  <c r="J7" i="11"/>
  <c r="J8" i="11"/>
  <c r="J9" i="11"/>
  <c r="J10" i="11"/>
  <c r="J11" i="11"/>
  <c r="J12" i="11"/>
  <c r="J13" i="11"/>
  <c r="J14" i="11"/>
  <c r="J15" i="11"/>
  <c r="J16" i="11"/>
  <c r="J17" i="11"/>
  <c r="J18" i="11"/>
  <c r="J19" i="11"/>
  <c r="J20" i="11"/>
  <c r="J21" i="11"/>
  <c r="J22" i="11"/>
  <c r="J23" i="11"/>
  <c r="J24" i="11"/>
  <c r="J25" i="11"/>
  <c r="J26" i="11"/>
  <c r="J27" i="11"/>
  <c r="J28" i="11"/>
  <c r="J29" i="11"/>
  <c r="J30" i="11"/>
  <c r="J31" i="11"/>
  <c r="J32" i="11"/>
  <c r="J33" i="11"/>
  <c r="J34" i="11"/>
  <c r="J35" i="11"/>
  <c r="J36" i="11"/>
  <c r="J37" i="11"/>
  <c r="J38" i="11"/>
  <c r="J39" i="11"/>
  <c r="J40" i="11"/>
  <c r="J41" i="11"/>
  <c r="J42" i="11"/>
  <c r="J43" i="11"/>
  <c r="J44" i="11"/>
  <c r="J45" i="11"/>
  <c r="J46" i="11"/>
  <c r="J47" i="11"/>
  <c r="J48" i="11"/>
  <c r="J49" i="11"/>
  <c r="J50" i="11"/>
  <c r="J51" i="11"/>
  <c r="J52" i="11"/>
  <c r="J53" i="11"/>
  <c r="J54" i="11"/>
  <c r="J55" i="11"/>
  <c r="J56" i="11"/>
  <c r="J57" i="11"/>
  <c r="J58" i="11"/>
  <c r="J59" i="11"/>
  <c r="J60" i="11"/>
  <c r="J61" i="11"/>
  <c r="J62" i="11"/>
  <c r="J63" i="11"/>
  <c r="J64" i="11"/>
  <c r="J65" i="11"/>
  <c r="J66" i="11"/>
  <c r="J67" i="11"/>
  <c r="J68" i="11"/>
  <c r="J69" i="11"/>
  <c r="J70" i="11"/>
  <c r="J71" i="11"/>
  <c r="J72" i="11"/>
  <c r="J73" i="11"/>
  <c r="J74" i="11"/>
  <c r="J75" i="11"/>
  <c r="J76" i="11"/>
  <c r="J77" i="11"/>
  <c r="J78" i="11"/>
  <c r="J79" i="11"/>
  <c r="J80" i="11"/>
  <c r="J81" i="11"/>
  <c r="J82" i="11"/>
  <c r="J83" i="11"/>
  <c r="J84" i="11"/>
  <c r="J85" i="11"/>
  <c r="J86" i="11"/>
  <c r="J87" i="11"/>
  <c r="J88" i="11"/>
  <c r="J89" i="11"/>
  <c r="J90" i="11"/>
  <c r="J91" i="11"/>
  <c r="J92" i="11"/>
  <c r="J93" i="11"/>
  <c r="J94" i="11"/>
  <c r="J95" i="11"/>
  <c r="J96" i="11"/>
  <c r="J97" i="11"/>
  <c r="J98" i="11"/>
  <c r="J99" i="11"/>
  <c r="J100" i="11"/>
  <c r="J101" i="11"/>
  <c r="J102" i="11"/>
  <c r="J103" i="11"/>
  <c r="J104" i="11"/>
  <c r="J105" i="11"/>
  <c r="J106" i="11"/>
  <c r="J107" i="11"/>
  <c r="J108" i="11"/>
  <c r="J109" i="11"/>
  <c r="J110" i="11"/>
  <c r="J111" i="11"/>
  <c r="J112" i="11"/>
  <c r="J113" i="11"/>
  <c r="J114" i="11"/>
  <c r="J115" i="11"/>
  <c r="J116" i="11"/>
  <c r="J117" i="11"/>
  <c r="J118" i="11"/>
  <c r="J119" i="11"/>
  <c r="J120" i="11"/>
  <c r="J121" i="11"/>
  <c r="J122" i="11"/>
  <c r="J123" i="11"/>
  <c r="J124" i="11"/>
  <c r="J125" i="11"/>
  <c r="J126" i="11"/>
  <c r="J127" i="11"/>
  <c r="J128" i="11"/>
  <c r="J129" i="11"/>
  <c r="J130" i="11"/>
  <c r="J131" i="11"/>
  <c r="J132" i="11"/>
  <c r="J133" i="11"/>
  <c r="J134" i="11"/>
  <c r="J135" i="11"/>
  <c r="J136" i="11"/>
  <c r="J137" i="11"/>
  <c r="J138" i="11"/>
  <c r="J139" i="11"/>
  <c r="J140" i="11"/>
  <c r="J141" i="11"/>
  <c r="J142" i="11"/>
  <c r="J143" i="11"/>
  <c r="J144" i="11"/>
  <c r="J145" i="11"/>
  <c r="J146" i="11"/>
  <c r="J147" i="11"/>
  <c r="J148" i="11"/>
  <c r="J149" i="11"/>
  <c r="J150" i="11"/>
  <c r="J151" i="11"/>
  <c r="J152" i="11"/>
  <c r="J153" i="11"/>
  <c r="J154" i="11"/>
  <c r="J155" i="11"/>
  <c r="J156" i="11"/>
  <c r="J157" i="11"/>
  <c r="J158" i="11"/>
  <c r="J159" i="11"/>
  <c r="J160" i="11"/>
  <c r="J161" i="11"/>
  <c r="J162" i="11"/>
  <c r="J163" i="11"/>
  <c r="J164" i="11"/>
  <c r="J165" i="11"/>
  <c r="J166" i="11"/>
  <c r="J167" i="11"/>
  <c r="J168" i="11"/>
  <c r="J169" i="11"/>
  <c r="J170" i="11"/>
  <c r="J171" i="11"/>
  <c r="J172" i="11"/>
  <c r="J173" i="11"/>
  <c r="J174" i="11"/>
  <c r="J175" i="11"/>
  <c r="J176" i="11"/>
  <c r="J177" i="11"/>
  <c r="J178" i="11"/>
  <c r="J179" i="11"/>
  <c r="J180" i="11"/>
  <c r="J181" i="11"/>
  <c r="J182" i="11"/>
  <c r="J183" i="11"/>
  <c r="J184" i="11"/>
  <c r="J185" i="11"/>
  <c r="J186" i="11"/>
  <c r="J187" i="11"/>
  <c r="J188" i="11"/>
  <c r="J189" i="11"/>
  <c r="J190" i="11"/>
  <c r="J191" i="11"/>
  <c r="J192" i="11"/>
  <c r="J193" i="11"/>
  <c r="J194" i="11"/>
  <c r="J195" i="11"/>
  <c r="J196" i="11"/>
  <c r="J197" i="11"/>
  <c r="J198" i="11"/>
  <c r="J199" i="11"/>
  <c r="J200" i="11"/>
  <c r="J201" i="11"/>
  <c r="J202" i="11"/>
  <c r="J203" i="11"/>
  <c r="J204" i="11"/>
  <c r="J205" i="11"/>
  <c r="J206" i="11"/>
  <c r="J207" i="11"/>
  <c r="J208" i="11"/>
  <c r="J209" i="11"/>
  <c r="J210" i="11"/>
  <c r="J211" i="11"/>
  <c r="J212" i="11"/>
  <c r="J213" i="11"/>
  <c r="J214" i="11"/>
  <c r="J215" i="11"/>
  <c r="J216" i="11"/>
  <c r="J217" i="11"/>
  <c r="J218" i="11"/>
  <c r="J219" i="11"/>
  <c r="J220" i="11"/>
  <c r="J221" i="11"/>
  <c r="J222" i="11"/>
  <c r="J223" i="11"/>
  <c r="J224" i="11"/>
  <c r="J225" i="11"/>
  <c r="J226" i="11"/>
  <c r="J227" i="11"/>
  <c r="J228" i="11"/>
  <c r="J229" i="11"/>
  <c r="J230" i="11"/>
  <c r="J231" i="11"/>
  <c r="J232" i="11"/>
  <c r="J233" i="11"/>
  <c r="J234" i="11"/>
  <c r="J235" i="11"/>
  <c r="J236" i="11"/>
  <c r="J237" i="11"/>
  <c r="J238" i="11"/>
  <c r="J239" i="11"/>
  <c r="J240" i="11"/>
  <c r="J241" i="11"/>
  <c r="J242" i="11"/>
  <c r="J243" i="11"/>
  <c r="J244" i="11"/>
  <c r="J245" i="11"/>
  <c r="J246" i="11"/>
  <c r="J247" i="11"/>
  <c r="J248" i="11"/>
  <c r="J249" i="11"/>
  <c r="J250" i="11"/>
  <c r="J251" i="11"/>
  <c r="J252" i="11"/>
  <c r="J253" i="11"/>
  <c r="J254" i="11"/>
  <c r="J255" i="11"/>
  <c r="J256" i="11"/>
  <c r="J257" i="11"/>
  <c r="J258" i="11"/>
  <c r="J259" i="11"/>
  <c r="J260" i="11"/>
  <c r="J261" i="11"/>
  <c r="J262" i="11"/>
  <c r="J263" i="11"/>
  <c r="J264" i="11"/>
  <c r="J265" i="11"/>
  <c r="J266" i="11"/>
  <c r="J267" i="11"/>
  <c r="J268" i="11"/>
  <c r="J269" i="11"/>
  <c r="J270" i="11"/>
  <c r="J271" i="11"/>
  <c r="J272" i="11"/>
  <c r="J273" i="11"/>
  <c r="J274" i="11"/>
  <c r="J275" i="11"/>
  <c r="J276" i="11"/>
  <c r="J277" i="11"/>
  <c r="J278" i="11"/>
  <c r="J279" i="11"/>
  <c r="J280" i="11"/>
  <c r="J281" i="11"/>
  <c r="J282" i="11"/>
  <c r="J283" i="11"/>
  <c r="J284" i="11"/>
  <c r="J285" i="11"/>
  <c r="J286" i="11"/>
  <c r="J287" i="11"/>
  <c r="J288" i="11"/>
  <c r="J289" i="11"/>
  <c r="J290" i="11"/>
  <c r="J291" i="11"/>
  <c r="J292" i="11"/>
  <c r="J293" i="11"/>
  <c r="J294" i="11"/>
  <c r="J295" i="11"/>
  <c r="J296" i="11"/>
  <c r="J297" i="11"/>
  <c r="J298" i="11"/>
  <c r="J299" i="11"/>
  <c r="J300" i="11"/>
  <c r="J301" i="11"/>
  <c r="J302" i="11"/>
  <c r="J303" i="11"/>
  <c r="J304" i="11"/>
  <c r="J305" i="11"/>
  <c r="J306" i="11"/>
  <c r="J307" i="11"/>
  <c r="J308" i="11"/>
  <c r="J309" i="11"/>
  <c r="J310" i="11"/>
  <c r="J311" i="11"/>
  <c r="J312" i="11"/>
  <c r="J313" i="11"/>
  <c r="J7" i="19" l="1"/>
  <c r="H4" i="33"/>
  <c r="I4" i="33"/>
  <c r="J4" i="33"/>
  <c r="K4" i="33"/>
  <c r="H3" i="33"/>
  <c r="I3" i="33"/>
  <c r="J3" i="33"/>
  <c r="K3" i="33"/>
  <c r="C315" i="13" l="1"/>
  <c r="T170" i="13" l="1"/>
  <c r="T219" i="13"/>
  <c r="T244" i="13"/>
  <c r="M170" i="42" l="1"/>
  <c r="Y170" i="42" s="1"/>
  <c r="G5" i="37" l="1"/>
  <c r="S7" i="19"/>
  <c r="AN6" i="42" l="1"/>
  <c r="AO6" i="42"/>
  <c r="AP316" i="42" l="1"/>
  <c r="AQ316" i="42"/>
  <c r="AR316" i="42"/>
  <c r="A243" i="49" l="1"/>
  <c r="A244" i="49"/>
  <c r="A245" i="49"/>
  <c r="A246" i="49"/>
  <c r="A247" i="49"/>
  <c r="A244" i="13" l="1"/>
  <c r="B244" i="13"/>
  <c r="B244" i="49"/>
  <c r="A6" i="11" l="1"/>
  <c r="B6" i="11"/>
  <c r="A7" i="11"/>
  <c r="B7" i="11"/>
  <c r="A8" i="11"/>
  <c r="B8" i="11"/>
  <c r="A9" i="11"/>
  <c r="B9" i="11"/>
  <c r="A10" i="11"/>
  <c r="B10" i="11"/>
  <c r="A11" i="11"/>
  <c r="B11" i="11"/>
  <c r="A12" i="11"/>
  <c r="B12" i="11"/>
  <c r="A13" i="11"/>
  <c r="B13" i="11"/>
  <c r="A14" i="11"/>
  <c r="B14" i="11"/>
  <c r="A15" i="11"/>
  <c r="B15" i="11"/>
  <c r="A16" i="11"/>
  <c r="B16" i="11"/>
  <c r="A17" i="11"/>
  <c r="B17" i="11"/>
  <c r="A18" i="11"/>
  <c r="B18" i="11"/>
  <c r="A19" i="11"/>
  <c r="B19" i="11"/>
  <c r="A20" i="11"/>
  <c r="B20" i="11"/>
  <c r="A21" i="11"/>
  <c r="B21" i="11"/>
  <c r="A22" i="11"/>
  <c r="B22" i="11"/>
  <c r="A23" i="11"/>
  <c r="B23" i="11"/>
  <c r="A24" i="11"/>
  <c r="B24" i="11"/>
  <c r="A25" i="11"/>
  <c r="B25" i="11"/>
  <c r="A26" i="11"/>
  <c r="B26" i="11"/>
  <c r="A27" i="11"/>
  <c r="B27" i="11"/>
  <c r="A28" i="11"/>
  <c r="B28" i="11"/>
  <c r="A29" i="11"/>
  <c r="B29" i="11"/>
  <c r="A30" i="11"/>
  <c r="B30" i="11"/>
  <c r="A31" i="11"/>
  <c r="B31" i="11"/>
  <c r="A32" i="11"/>
  <c r="B32" i="11"/>
  <c r="A33" i="11"/>
  <c r="B33" i="11"/>
  <c r="A34" i="11"/>
  <c r="B34" i="11"/>
  <c r="A35" i="11"/>
  <c r="B35" i="11"/>
  <c r="A36" i="11"/>
  <c r="B36" i="11"/>
  <c r="A37" i="11"/>
  <c r="B37" i="11"/>
  <c r="A38" i="11"/>
  <c r="B38" i="11"/>
  <c r="A39" i="11"/>
  <c r="B39" i="11"/>
  <c r="A40" i="11"/>
  <c r="B40" i="11"/>
  <c r="A41" i="11"/>
  <c r="B41" i="11"/>
  <c r="A42" i="11"/>
  <c r="B42" i="11"/>
  <c r="A43" i="11"/>
  <c r="B43" i="11"/>
  <c r="A44" i="11"/>
  <c r="B44" i="11"/>
  <c r="A45" i="11"/>
  <c r="B45" i="11"/>
  <c r="A46" i="11"/>
  <c r="B46" i="11"/>
  <c r="A47" i="11"/>
  <c r="B47" i="11"/>
  <c r="A48" i="11"/>
  <c r="B48" i="11"/>
  <c r="A49" i="11"/>
  <c r="B49" i="11"/>
  <c r="A50" i="11"/>
  <c r="B50" i="11"/>
  <c r="A51" i="11"/>
  <c r="B51" i="11"/>
  <c r="A52" i="11"/>
  <c r="B52" i="11"/>
  <c r="A53" i="11"/>
  <c r="B53" i="11"/>
  <c r="A54" i="11"/>
  <c r="B54" i="11"/>
  <c r="A55" i="11"/>
  <c r="B55" i="11"/>
  <c r="A56" i="11"/>
  <c r="B56" i="11"/>
  <c r="A57" i="11"/>
  <c r="B57" i="11"/>
  <c r="A58" i="11"/>
  <c r="B58" i="11"/>
  <c r="A59" i="11"/>
  <c r="B59" i="11"/>
  <c r="A60" i="11"/>
  <c r="B60" i="11"/>
  <c r="A61" i="11"/>
  <c r="B61" i="11"/>
  <c r="A62" i="11"/>
  <c r="B62" i="11"/>
  <c r="A63" i="11"/>
  <c r="B63" i="11"/>
  <c r="A64" i="11"/>
  <c r="B64" i="11"/>
  <c r="A65" i="11"/>
  <c r="B65" i="11"/>
  <c r="A66" i="11"/>
  <c r="B66" i="11"/>
  <c r="A67" i="11"/>
  <c r="B67" i="11"/>
  <c r="A68" i="11"/>
  <c r="B68" i="11"/>
  <c r="A69" i="11"/>
  <c r="B69" i="11"/>
  <c r="A70" i="11"/>
  <c r="B70" i="11"/>
  <c r="A71" i="11"/>
  <c r="B71" i="11"/>
  <c r="A72" i="11"/>
  <c r="B72" i="11"/>
  <c r="A73" i="11"/>
  <c r="B73" i="11"/>
  <c r="A74" i="11"/>
  <c r="B74" i="11"/>
  <c r="A75" i="11"/>
  <c r="B75" i="11"/>
  <c r="A76" i="11"/>
  <c r="B76" i="11"/>
  <c r="A77" i="11"/>
  <c r="B77" i="11"/>
  <c r="A78" i="11"/>
  <c r="B78" i="11"/>
  <c r="A79" i="11"/>
  <c r="B79" i="11"/>
  <c r="A80" i="11"/>
  <c r="B80" i="11"/>
  <c r="A81" i="11"/>
  <c r="B81" i="11"/>
  <c r="A82" i="11"/>
  <c r="B82" i="11"/>
  <c r="A83" i="11"/>
  <c r="B83" i="11"/>
  <c r="A84" i="11"/>
  <c r="B84" i="11"/>
  <c r="A85" i="11"/>
  <c r="B85" i="11"/>
  <c r="A86" i="11"/>
  <c r="B86" i="11"/>
  <c r="A87" i="11"/>
  <c r="B87" i="11"/>
  <c r="A88" i="11"/>
  <c r="B88" i="11"/>
  <c r="A89" i="11"/>
  <c r="B89" i="11"/>
  <c r="A90" i="11"/>
  <c r="B90" i="11"/>
  <c r="A91" i="11"/>
  <c r="B91" i="11"/>
  <c r="A92" i="11"/>
  <c r="B92" i="11"/>
  <c r="A93" i="11"/>
  <c r="B93" i="11"/>
  <c r="A94" i="11"/>
  <c r="B94" i="11"/>
  <c r="A95" i="11"/>
  <c r="B95" i="11"/>
  <c r="A96" i="11"/>
  <c r="B96" i="11"/>
  <c r="A97" i="11"/>
  <c r="B97" i="11"/>
  <c r="A98" i="11"/>
  <c r="B98" i="11"/>
  <c r="A99" i="11"/>
  <c r="B99" i="11"/>
  <c r="A100" i="11"/>
  <c r="B100" i="11"/>
  <c r="A101" i="11"/>
  <c r="B101" i="11"/>
  <c r="A102" i="11"/>
  <c r="B102" i="11"/>
  <c r="A103" i="11"/>
  <c r="B103" i="11"/>
  <c r="A104" i="11"/>
  <c r="B104" i="11"/>
  <c r="A105" i="11"/>
  <c r="B105" i="11"/>
  <c r="A106" i="11"/>
  <c r="B106" i="11"/>
  <c r="A107" i="11"/>
  <c r="B107" i="11"/>
  <c r="A108" i="11"/>
  <c r="B108" i="11"/>
  <c r="A109" i="11"/>
  <c r="B109" i="11"/>
  <c r="A110" i="11"/>
  <c r="B110" i="11"/>
  <c r="A111" i="11"/>
  <c r="B111" i="11"/>
  <c r="A112" i="11"/>
  <c r="B112" i="11"/>
  <c r="A113" i="11"/>
  <c r="B113" i="11"/>
  <c r="A114" i="11"/>
  <c r="B114" i="11"/>
  <c r="A115" i="11"/>
  <c r="B115" i="11"/>
  <c r="A116" i="11"/>
  <c r="B116" i="11"/>
  <c r="A117" i="11"/>
  <c r="B117" i="11"/>
  <c r="A118" i="11"/>
  <c r="B118" i="11"/>
  <c r="A119" i="11"/>
  <c r="B119" i="11"/>
  <c r="A120" i="11"/>
  <c r="B120" i="11"/>
  <c r="A121" i="11"/>
  <c r="B121" i="11"/>
  <c r="A122" i="11"/>
  <c r="B122" i="11"/>
  <c r="A123" i="11"/>
  <c r="B123" i="11"/>
  <c r="A124" i="11"/>
  <c r="B124" i="11"/>
  <c r="A125" i="11"/>
  <c r="B125" i="11"/>
  <c r="A126" i="11"/>
  <c r="B126" i="11"/>
  <c r="A127" i="11"/>
  <c r="B127" i="11"/>
  <c r="A128" i="11"/>
  <c r="B128" i="11"/>
  <c r="A129" i="11"/>
  <c r="B129" i="11"/>
  <c r="A130" i="11"/>
  <c r="B130" i="11"/>
  <c r="A131" i="11"/>
  <c r="B131" i="11"/>
  <c r="A132" i="11"/>
  <c r="B132" i="11"/>
  <c r="A133" i="11"/>
  <c r="B133" i="11"/>
  <c r="A134" i="11"/>
  <c r="B134" i="11"/>
  <c r="A135" i="11"/>
  <c r="B135" i="11"/>
  <c r="A136" i="11"/>
  <c r="B136" i="11"/>
  <c r="A137" i="11"/>
  <c r="B137" i="11"/>
  <c r="A138" i="11"/>
  <c r="B138" i="11"/>
  <c r="A139" i="11"/>
  <c r="B139" i="11"/>
  <c r="A140" i="11"/>
  <c r="B140" i="11"/>
  <c r="A141" i="11"/>
  <c r="B141" i="11"/>
  <c r="A142" i="11"/>
  <c r="B142" i="11"/>
  <c r="A143" i="11"/>
  <c r="B143" i="11"/>
  <c r="A144" i="11"/>
  <c r="B144" i="11"/>
  <c r="A145" i="11"/>
  <c r="B145" i="11"/>
  <c r="A146" i="11"/>
  <c r="B146" i="11"/>
  <c r="A147" i="11"/>
  <c r="B147" i="11"/>
  <c r="A148" i="11"/>
  <c r="B148" i="11"/>
  <c r="A149" i="11"/>
  <c r="B149" i="11"/>
  <c r="A150" i="11"/>
  <c r="B150" i="11"/>
  <c r="A151" i="11"/>
  <c r="B151" i="11"/>
  <c r="A152" i="11"/>
  <c r="B152" i="11"/>
  <c r="A153" i="11"/>
  <c r="B153" i="11"/>
  <c r="A154" i="11"/>
  <c r="B154" i="11"/>
  <c r="A155" i="11"/>
  <c r="B155" i="11"/>
  <c r="A156" i="11"/>
  <c r="B156" i="11"/>
  <c r="A157" i="11"/>
  <c r="B157" i="11"/>
  <c r="A158" i="11"/>
  <c r="B158" i="11"/>
  <c r="A159" i="11"/>
  <c r="B159" i="11"/>
  <c r="A160" i="11"/>
  <c r="B160" i="11"/>
  <c r="A161" i="11"/>
  <c r="B161" i="11"/>
  <c r="A162" i="11"/>
  <c r="B162" i="11"/>
  <c r="A163" i="11"/>
  <c r="B163" i="11"/>
  <c r="A164" i="11"/>
  <c r="B164" i="11"/>
  <c r="A165" i="11"/>
  <c r="B165" i="11"/>
  <c r="A166" i="11"/>
  <c r="B166" i="11"/>
  <c r="A167" i="11"/>
  <c r="B167" i="11"/>
  <c r="A168" i="11"/>
  <c r="B168" i="11"/>
  <c r="A169" i="11"/>
  <c r="B169" i="11"/>
  <c r="A170" i="11"/>
  <c r="B170" i="11"/>
  <c r="A171" i="11"/>
  <c r="B171" i="11"/>
  <c r="A172" i="11"/>
  <c r="B172" i="11"/>
  <c r="A173" i="11"/>
  <c r="B173" i="11"/>
  <c r="A174" i="11"/>
  <c r="B174" i="11"/>
  <c r="A175" i="11"/>
  <c r="B175" i="11"/>
  <c r="A176" i="11"/>
  <c r="B176" i="11"/>
  <c r="A177" i="11"/>
  <c r="B177" i="11"/>
  <c r="A178" i="11"/>
  <c r="B178" i="11"/>
  <c r="A179" i="11"/>
  <c r="B179" i="11"/>
  <c r="A180" i="11"/>
  <c r="B180" i="11"/>
  <c r="A181" i="11"/>
  <c r="B181" i="11"/>
  <c r="A182" i="11"/>
  <c r="B182" i="11"/>
  <c r="A183" i="11"/>
  <c r="B183" i="11"/>
  <c r="A184" i="11"/>
  <c r="B184" i="11"/>
  <c r="A185" i="11"/>
  <c r="B185" i="11"/>
  <c r="A186" i="11"/>
  <c r="B186" i="11"/>
  <c r="A187" i="11"/>
  <c r="B187" i="11"/>
  <c r="A188" i="11"/>
  <c r="B188" i="11"/>
  <c r="A189" i="11"/>
  <c r="B189" i="11"/>
  <c r="A190" i="11"/>
  <c r="B190" i="11"/>
  <c r="A191" i="11"/>
  <c r="B191" i="11"/>
  <c r="A192" i="11"/>
  <c r="B192" i="11"/>
  <c r="A193" i="11"/>
  <c r="B193" i="11"/>
  <c r="A194" i="11"/>
  <c r="B194" i="11"/>
  <c r="A195" i="11"/>
  <c r="B195" i="11"/>
  <c r="A196" i="11"/>
  <c r="B196" i="11"/>
  <c r="A197" i="11"/>
  <c r="B197" i="11"/>
  <c r="A198" i="11"/>
  <c r="B198" i="11"/>
  <c r="A199" i="11"/>
  <c r="B199" i="11"/>
  <c r="A200" i="11"/>
  <c r="B200" i="11"/>
  <c r="A201" i="11"/>
  <c r="B201" i="11"/>
  <c r="A202" i="11"/>
  <c r="B202" i="11"/>
  <c r="A203" i="11"/>
  <c r="B203" i="11"/>
  <c r="A204" i="11"/>
  <c r="B204" i="11"/>
  <c r="A205" i="11"/>
  <c r="B205" i="11"/>
  <c r="A206" i="11"/>
  <c r="B206" i="11"/>
  <c r="A207" i="11"/>
  <c r="B207" i="11"/>
  <c r="A208" i="11"/>
  <c r="B208" i="11"/>
  <c r="A209" i="11"/>
  <c r="B209" i="11"/>
  <c r="A210" i="11"/>
  <c r="B210" i="11"/>
  <c r="A211" i="11"/>
  <c r="B211" i="11"/>
  <c r="A212" i="11"/>
  <c r="B212" i="11"/>
  <c r="A213" i="11"/>
  <c r="B213" i="11"/>
  <c r="A214" i="11"/>
  <c r="B214" i="11"/>
  <c r="A215" i="11"/>
  <c r="B215" i="11"/>
  <c r="A216" i="11"/>
  <c r="B216" i="11"/>
  <c r="A217" i="11"/>
  <c r="B217" i="11"/>
  <c r="A218" i="11"/>
  <c r="B218" i="11"/>
  <c r="A219" i="11"/>
  <c r="B219" i="11"/>
  <c r="A220" i="11"/>
  <c r="B220" i="11"/>
  <c r="A221" i="11"/>
  <c r="B221" i="11"/>
  <c r="A222" i="11"/>
  <c r="B222" i="11"/>
  <c r="A223" i="11"/>
  <c r="B223" i="11"/>
  <c r="A224" i="11"/>
  <c r="B224" i="11"/>
  <c r="A225" i="11"/>
  <c r="B225" i="11"/>
  <c r="A226" i="11"/>
  <c r="B226" i="11"/>
  <c r="A227" i="11"/>
  <c r="B227" i="11"/>
  <c r="A228" i="11"/>
  <c r="B228" i="11"/>
  <c r="A229" i="11"/>
  <c r="B229" i="11"/>
  <c r="A230" i="11"/>
  <c r="B230" i="11"/>
  <c r="A231" i="11"/>
  <c r="B231" i="11"/>
  <c r="A232" i="11"/>
  <c r="B232" i="11"/>
  <c r="A233" i="11"/>
  <c r="B233" i="11"/>
  <c r="A234" i="11"/>
  <c r="B234" i="11"/>
  <c r="A235" i="11"/>
  <c r="B235" i="11"/>
  <c r="A236" i="11"/>
  <c r="B236" i="11"/>
  <c r="A237" i="11"/>
  <c r="B237" i="11"/>
  <c r="A238" i="11"/>
  <c r="B238" i="11"/>
  <c r="A239" i="11"/>
  <c r="B239" i="11"/>
  <c r="A240" i="11"/>
  <c r="B240" i="11"/>
  <c r="A241" i="11"/>
  <c r="B241" i="11"/>
  <c r="A242" i="11"/>
  <c r="B242" i="11"/>
  <c r="A243" i="11"/>
  <c r="B243" i="11"/>
  <c r="A244" i="11"/>
  <c r="B244" i="11"/>
  <c r="A245" i="11"/>
  <c r="B245" i="11"/>
  <c r="A246" i="11"/>
  <c r="B246" i="11"/>
  <c r="A247" i="11"/>
  <c r="B247" i="11"/>
  <c r="A248" i="11"/>
  <c r="B248" i="11"/>
  <c r="A249" i="11"/>
  <c r="B249" i="11"/>
  <c r="A250" i="11"/>
  <c r="B250" i="11"/>
  <c r="A251" i="11"/>
  <c r="B251" i="11"/>
  <c r="A252" i="11"/>
  <c r="B252" i="11"/>
  <c r="A253" i="11"/>
  <c r="B253" i="11"/>
  <c r="A254" i="11"/>
  <c r="B254" i="11"/>
  <c r="A255" i="11"/>
  <c r="B255" i="11"/>
  <c r="A256" i="11"/>
  <c r="B256" i="11"/>
  <c r="A257" i="11"/>
  <c r="B257" i="11"/>
  <c r="A258" i="11"/>
  <c r="B258" i="11"/>
  <c r="A259" i="11"/>
  <c r="B259" i="11"/>
  <c r="A260" i="11"/>
  <c r="B260" i="11"/>
  <c r="A261" i="11"/>
  <c r="B261" i="11"/>
  <c r="A262" i="11"/>
  <c r="B262" i="11"/>
  <c r="A263" i="11"/>
  <c r="B263" i="11"/>
  <c r="A264" i="11"/>
  <c r="B264" i="11"/>
  <c r="A265" i="11"/>
  <c r="B265" i="11"/>
  <c r="A266" i="11"/>
  <c r="B266" i="11"/>
  <c r="A267" i="11"/>
  <c r="B267" i="11"/>
  <c r="A268" i="11"/>
  <c r="B268" i="11"/>
  <c r="A269" i="11"/>
  <c r="B269" i="11"/>
  <c r="A270" i="11"/>
  <c r="B270" i="11"/>
  <c r="A271" i="11"/>
  <c r="B271" i="11"/>
  <c r="A272" i="11"/>
  <c r="B272" i="11"/>
  <c r="A273" i="11"/>
  <c r="B273" i="11"/>
  <c r="A274" i="11"/>
  <c r="B274" i="11"/>
  <c r="A275" i="11"/>
  <c r="B275" i="11"/>
  <c r="A276" i="11"/>
  <c r="B276" i="11"/>
  <c r="A277" i="11"/>
  <c r="B277" i="11"/>
  <c r="A278" i="11"/>
  <c r="B278" i="11"/>
  <c r="A279" i="11"/>
  <c r="B279" i="11"/>
  <c r="A280" i="11"/>
  <c r="B280" i="11"/>
  <c r="A281" i="11"/>
  <c r="B281" i="11"/>
  <c r="A282" i="11"/>
  <c r="B282" i="11"/>
  <c r="A283" i="11"/>
  <c r="B283" i="11"/>
  <c r="A284" i="11"/>
  <c r="B284" i="11"/>
  <c r="A285" i="11"/>
  <c r="B285" i="11"/>
  <c r="A286" i="11"/>
  <c r="B286" i="11"/>
  <c r="A287" i="11"/>
  <c r="B287" i="11"/>
  <c r="A288" i="11"/>
  <c r="B288" i="11"/>
  <c r="A289" i="11"/>
  <c r="B289" i="11"/>
  <c r="A290" i="11"/>
  <c r="B290" i="11"/>
  <c r="A291" i="11"/>
  <c r="B291" i="11"/>
  <c r="A292" i="11"/>
  <c r="B292" i="11"/>
  <c r="A293" i="11"/>
  <c r="B293" i="11"/>
  <c r="A294" i="11"/>
  <c r="B294" i="11"/>
  <c r="A295" i="11"/>
  <c r="B295" i="11"/>
  <c r="A296" i="11"/>
  <c r="B296" i="11"/>
  <c r="A297" i="11"/>
  <c r="B297" i="11"/>
  <c r="A298" i="11"/>
  <c r="B298" i="11"/>
  <c r="A299" i="11"/>
  <c r="B299" i="11"/>
  <c r="A300" i="11"/>
  <c r="B300" i="11"/>
  <c r="A301" i="11"/>
  <c r="B301" i="11"/>
  <c r="A302" i="11"/>
  <c r="B302" i="11"/>
  <c r="A303" i="11"/>
  <c r="B303" i="11"/>
  <c r="A304" i="11"/>
  <c r="B304" i="11"/>
  <c r="A305" i="11"/>
  <c r="B305" i="11"/>
  <c r="A306" i="11"/>
  <c r="B306" i="11"/>
  <c r="A307" i="11"/>
  <c r="B307" i="11"/>
  <c r="A308" i="11"/>
  <c r="B308" i="11"/>
  <c r="A309" i="11"/>
  <c r="B309" i="11"/>
  <c r="A310" i="11"/>
  <c r="B310" i="11"/>
  <c r="A311" i="11"/>
  <c r="B311" i="11"/>
  <c r="A312" i="11"/>
  <c r="B312" i="11"/>
  <c r="A313" i="11"/>
  <c r="B313" i="11"/>
  <c r="B5" i="11"/>
  <c r="A5" i="11"/>
  <c r="C7" i="25"/>
  <c r="C8" i="25"/>
  <c r="C9" i="25"/>
  <c r="C10" i="25"/>
  <c r="C11" i="25"/>
  <c r="C12" i="25"/>
  <c r="C13" i="25"/>
  <c r="C14" i="25"/>
  <c r="C15" i="25"/>
  <c r="C16" i="25"/>
  <c r="C17" i="25"/>
  <c r="C18" i="25"/>
  <c r="C19" i="25"/>
  <c r="C20" i="25"/>
  <c r="C21" i="25"/>
  <c r="C22" i="25"/>
  <c r="C23" i="25"/>
  <c r="C24" i="25"/>
  <c r="C25" i="25"/>
  <c r="C26" i="25"/>
  <c r="C27" i="25"/>
  <c r="C28" i="25"/>
  <c r="C29" i="25"/>
  <c r="C30" i="25"/>
  <c r="C31" i="25"/>
  <c r="C32" i="25"/>
  <c r="C33" i="25"/>
  <c r="C34" i="25"/>
  <c r="C35" i="25"/>
  <c r="C36" i="25"/>
  <c r="C37" i="25"/>
  <c r="C38" i="25"/>
  <c r="C39" i="25"/>
  <c r="C40" i="25"/>
  <c r="C41" i="25"/>
  <c r="C42" i="25"/>
  <c r="C43" i="25"/>
  <c r="C44" i="25"/>
  <c r="C45" i="25"/>
  <c r="C46" i="25"/>
  <c r="C47" i="25"/>
  <c r="C48" i="25"/>
  <c r="C49" i="25"/>
  <c r="C50" i="25"/>
  <c r="C51" i="25"/>
  <c r="C52" i="25"/>
  <c r="C53" i="25"/>
  <c r="C54" i="25"/>
  <c r="C55" i="25"/>
  <c r="C56" i="25"/>
  <c r="C57" i="25"/>
  <c r="C58" i="25"/>
  <c r="C59" i="25"/>
  <c r="C60" i="25"/>
  <c r="C61" i="25"/>
  <c r="C62" i="25"/>
  <c r="C63" i="25"/>
  <c r="C64" i="25"/>
  <c r="C65" i="25"/>
  <c r="C66" i="25"/>
  <c r="C67" i="25"/>
  <c r="C68" i="25"/>
  <c r="C69" i="25"/>
  <c r="C70" i="25"/>
  <c r="C71" i="25"/>
  <c r="C72" i="25"/>
  <c r="C73" i="25"/>
  <c r="C74" i="25"/>
  <c r="C75" i="25"/>
  <c r="C76" i="25"/>
  <c r="C77" i="25"/>
  <c r="C78" i="25"/>
  <c r="C79" i="25"/>
  <c r="C80" i="25"/>
  <c r="C81" i="25"/>
  <c r="C82" i="25"/>
  <c r="C83" i="25"/>
  <c r="C84" i="25"/>
  <c r="C85" i="25"/>
  <c r="C86" i="25"/>
  <c r="C87" i="25"/>
  <c r="C88" i="25"/>
  <c r="C89" i="25"/>
  <c r="C90" i="25"/>
  <c r="C91" i="25"/>
  <c r="C92" i="25"/>
  <c r="C93" i="25"/>
  <c r="C94" i="25"/>
  <c r="C95" i="25"/>
  <c r="C96" i="25"/>
  <c r="C97" i="25"/>
  <c r="C98" i="25"/>
  <c r="C99" i="25"/>
  <c r="C100" i="25"/>
  <c r="C101" i="25"/>
  <c r="C102" i="25"/>
  <c r="C103" i="25"/>
  <c r="C104" i="25"/>
  <c r="C105" i="25"/>
  <c r="C106" i="25"/>
  <c r="C107" i="25"/>
  <c r="C108" i="25"/>
  <c r="C109" i="25"/>
  <c r="C110" i="25"/>
  <c r="C111" i="25"/>
  <c r="C112" i="25"/>
  <c r="C113" i="25"/>
  <c r="C114" i="25"/>
  <c r="C115" i="25"/>
  <c r="C116" i="25"/>
  <c r="C117" i="25"/>
  <c r="C118" i="25"/>
  <c r="C119" i="25"/>
  <c r="C120" i="25"/>
  <c r="C121" i="25"/>
  <c r="C122" i="25"/>
  <c r="C123" i="25"/>
  <c r="C124" i="25"/>
  <c r="C125" i="25"/>
  <c r="C126" i="25"/>
  <c r="C127" i="25"/>
  <c r="C128" i="25"/>
  <c r="C129" i="25"/>
  <c r="C130" i="25"/>
  <c r="C131" i="25"/>
  <c r="C132" i="25"/>
  <c r="C133" i="25"/>
  <c r="C134" i="25"/>
  <c r="C135" i="25"/>
  <c r="C136" i="25"/>
  <c r="C137" i="25"/>
  <c r="C138" i="25"/>
  <c r="C139" i="25"/>
  <c r="C140" i="25"/>
  <c r="C141" i="25"/>
  <c r="C142" i="25"/>
  <c r="C143" i="25"/>
  <c r="C144" i="25"/>
  <c r="C145" i="25"/>
  <c r="C146" i="25"/>
  <c r="C147" i="25"/>
  <c r="C148" i="25"/>
  <c r="C149" i="25"/>
  <c r="C150" i="25"/>
  <c r="C151" i="25"/>
  <c r="C152" i="25"/>
  <c r="C153" i="25"/>
  <c r="C154" i="25"/>
  <c r="C155" i="25"/>
  <c r="C156" i="25"/>
  <c r="C157" i="25"/>
  <c r="C158" i="25"/>
  <c r="C159" i="25"/>
  <c r="C160" i="25"/>
  <c r="C161" i="25"/>
  <c r="C162" i="25"/>
  <c r="C163" i="25"/>
  <c r="C164" i="25"/>
  <c r="C165" i="25"/>
  <c r="C166" i="25"/>
  <c r="C167" i="25"/>
  <c r="C168" i="25"/>
  <c r="C169" i="25"/>
  <c r="C170" i="25"/>
  <c r="C171" i="25"/>
  <c r="C172" i="25"/>
  <c r="C173" i="25"/>
  <c r="C174" i="25"/>
  <c r="C175" i="25"/>
  <c r="C176" i="25"/>
  <c r="C177" i="25"/>
  <c r="C178" i="25"/>
  <c r="C179" i="25"/>
  <c r="C180" i="25"/>
  <c r="C181" i="25"/>
  <c r="C182" i="25"/>
  <c r="C183" i="25"/>
  <c r="C184" i="25"/>
  <c r="C185" i="25"/>
  <c r="C186" i="25"/>
  <c r="C187" i="25"/>
  <c r="C188" i="25"/>
  <c r="C189" i="25"/>
  <c r="C190" i="25"/>
  <c r="C191" i="25"/>
  <c r="C192" i="25"/>
  <c r="C193" i="25"/>
  <c r="C194" i="25"/>
  <c r="C195" i="25"/>
  <c r="C196" i="25"/>
  <c r="C197" i="25"/>
  <c r="C198" i="25"/>
  <c r="C199" i="25"/>
  <c r="C200" i="25"/>
  <c r="C201" i="25"/>
  <c r="C202" i="25"/>
  <c r="C203" i="25"/>
  <c r="C204" i="25"/>
  <c r="C205" i="25"/>
  <c r="C206" i="25"/>
  <c r="C207" i="25"/>
  <c r="C208" i="25"/>
  <c r="C209" i="25"/>
  <c r="C210" i="25"/>
  <c r="C211" i="25"/>
  <c r="C212" i="25"/>
  <c r="C213" i="25"/>
  <c r="C214" i="25"/>
  <c r="C215" i="25"/>
  <c r="C216" i="25"/>
  <c r="C217" i="25"/>
  <c r="C218" i="25"/>
  <c r="C219" i="25"/>
  <c r="C220" i="25"/>
  <c r="C221" i="25"/>
  <c r="C222" i="25"/>
  <c r="C223" i="25"/>
  <c r="C224" i="25"/>
  <c r="C225" i="25"/>
  <c r="C226" i="25"/>
  <c r="C227" i="25"/>
  <c r="C228" i="25"/>
  <c r="C229" i="25"/>
  <c r="C230" i="25"/>
  <c r="C231" i="25"/>
  <c r="C232" i="25"/>
  <c r="C233" i="25"/>
  <c r="C234" i="25"/>
  <c r="C235" i="25"/>
  <c r="C236" i="25"/>
  <c r="C237" i="25"/>
  <c r="C238" i="25"/>
  <c r="C239" i="25"/>
  <c r="C240" i="25"/>
  <c r="C241" i="25"/>
  <c r="C242" i="25"/>
  <c r="C243" i="25"/>
  <c r="C244" i="25"/>
  <c r="C245" i="25"/>
  <c r="C246" i="25"/>
  <c r="C247" i="25"/>
  <c r="C248" i="25"/>
  <c r="C249" i="25"/>
  <c r="C250" i="25"/>
  <c r="C251" i="25"/>
  <c r="C252" i="25"/>
  <c r="C253" i="25"/>
  <c r="C254" i="25"/>
  <c r="C255" i="25"/>
  <c r="C256" i="25"/>
  <c r="C257" i="25"/>
  <c r="C258" i="25"/>
  <c r="C259" i="25"/>
  <c r="C260" i="25"/>
  <c r="C261" i="25"/>
  <c r="C262" i="25"/>
  <c r="C263" i="25"/>
  <c r="C264" i="25"/>
  <c r="C265" i="25"/>
  <c r="C266" i="25"/>
  <c r="C267" i="25"/>
  <c r="C268" i="25"/>
  <c r="C269" i="25"/>
  <c r="C270" i="25"/>
  <c r="C271" i="25"/>
  <c r="C272" i="25"/>
  <c r="C273" i="25"/>
  <c r="C274" i="25"/>
  <c r="C275" i="25"/>
  <c r="C276" i="25"/>
  <c r="C277" i="25"/>
  <c r="C278" i="25"/>
  <c r="C279" i="25"/>
  <c r="C280" i="25"/>
  <c r="C281" i="25"/>
  <c r="C282" i="25"/>
  <c r="C283" i="25"/>
  <c r="C284" i="25"/>
  <c r="C285" i="25"/>
  <c r="C286" i="25"/>
  <c r="C287" i="25"/>
  <c r="C288" i="25"/>
  <c r="C289" i="25"/>
  <c r="C290" i="25"/>
  <c r="C291" i="25"/>
  <c r="C292" i="25"/>
  <c r="C293" i="25"/>
  <c r="C294" i="25"/>
  <c r="C295" i="25"/>
  <c r="C296" i="25"/>
  <c r="C297" i="25"/>
  <c r="C298" i="25"/>
  <c r="C299" i="25"/>
  <c r="C300" i="25"/>
  <c r="C301" i="25"/>
  <c r="C302" i="25"/>
  <c r="C303" i="25"/>
  <c r="C304" i="25"/>
  <c r="C305" i="25"/>
  <c r="C306" i="25"/>
  <c r="C307" i="25"/>
  <c r="C308" i="25"/>
  <c r="C309" i="25"/>
  <c r="C310" i="25"/>
  <c r="C311" i="25"/>
  <c r="C312" i="25"/>
  <c r="C313" i="25"/>
  <c r="C314" i="25"/>
  <c r="D314" i="25" l="1"/>
  <c r="D308" i="25"/>
  <c r="D306" i="25"/>
  <c r="D302" i="25"/>
  <c r="D300" i="25"/>
  <c r="D298" i="25"/>
  <c r="D294" i="25"/>
  <c r="D292" i="25"/>
  <c r="D290" i="25"/>
  <c r="D286" i="25"/>
  <c r="D284" i="25"/>
  <c r="D282" i="25"/>
  <c r="D278" i="25"/>
  <c r="D276" i="25"/>
  <c r="D274" i="25"/>
  <c r="D270" i="25"/>
  <c r="D268" i="25"/>
  <c r="D266" i="25"/>
  <c r="D262" i="25"/>
  <c r="D260" i="25"/>
  <c r="D258" i="25"/>
  <c r="D254" i="25"/>
  <c r="D252" i="25"/>
  <c r="D250" i="25"/>
  <c r="D246" i="25"/>
  <c r="D244" i="25"/>
  <c r="D242" i="25"/>
  <c r="D238" i="25"/>
  <c r="D236" i="25"/>
  <c r="D234" i="25"/>
  <c r="D230" i="25"/>
  <c r="D228" i="25"/>
  <c r="D226" i="25"/>
  <c r="D222" i="25"/>
  <c r="D220" i="25"/>
  <c r="D218" i="25"/>
  <c r="D214" i="25"/>
  <c r="D212" i="25"/>
  <c r="D210" i="25"/>
  <c r="D206" i="25"/>
  <c r="D204" i="25"/>
  <c r="D202" i="25"/>
  <c r="D198" i="25"/>
  <c r="D196" i="25"/>
  <c r="D194" i="25"/>
  <c r="D190" i="25"/>
  <c r="D188" i="25"/>
  <c r="D186" i="25"/>
  <c r="D182" i="25"/>
  <c r="D180" i="25"/>
  <c r="D178" i="25"/>
  <c r="D174" i="25"/>
  <c r="D172" i="25"/>
  <c r="D170" i="25"/>
  <c r="D166" i="25"/>
  <c r="D164" i="25"/>
  <c r="D162" i="25"/>
  <c r="D158" i="25"/>
  <c r="D156" i="25"/>
  <c r="D154" i="25"/>
  <c r="D150" i="25"/>
  <c r="D142" i="25"/>
  <c r="D140" i="25"/>
  <c r="D138" i="25"/>
  <c r="D132" i="25"/>
  <c r="D130" i="25"/>
  <c r="D126" i="25"/>
  <c r="D124" i="25"/>
  <c r="D116" i="25"/>
  <c r="D112" i="25"/>
  <c r="D106" i="25"/>
  <c r="D104" i="25"/>
  <c r="D100" i="25"/>
  <c r="D98" i="25"/>
  <c r="D96" i="25"/>
  <c r="D90" i="25"/>
  <c r="D84" i="25"/>
  <c r="D80" i="25"/>
  <c r="D74" i="25"/>
  <c r="D72" i="25"/>
  <c r="D68" i="25"/>
  <c r="D66" i="25"/>
  <c r="D64" i="25"/>
  <c r="D60" i="25"/>
  <c r="D52" i="25"/>
  <c r="D48" i="25"/>
  <c r="D42" i="25"/>
  <c r="D36" i="25"/>
  <c r="D34" i="25"/>
  <c r="D32" i="25"/>
  <c r="D28" i="25"/>
  <c r="D26" i="25"/>
  <c r="D20" i="25"/>
  <c r="D16" i="25"/>
  <c r="D10" i="25"/>
  <c r="D8" i="25"/>
  <c r="D299" i="25"/>
  <c r="D283" i="25"/>
  <c r="D267" i="25"/>
  <c r="D251" i="25"/>
  <c r="D243" i="25"/>
  <c r="D235" i="25"/>
  <c r="D219" i="25"/>
  <c r="D203" i="25"/>
  <c r="D195" i="25"/>
  <c r="D187" i="25"/>
  <c r="D171" i="25"/>
  <c r="D155" i="25"/>
  <c r="D139" i="25"/>
  <c r="D123" i="25"/>
  <c r="D103" i="25"/>
  <c r="D97" i="25"/>
  <c r="D71" i="25"/>
  <c r="D63" i="25"/>
  <c r="D59" i="25"/>
  <c r="D55" i="25"/>
  <c r="D51" i="25"/>
  <c r="D47" i="25"/>
  <c r="D43" i="25"/>
  <c r="D35" i="25"/>
  <c r="D31" i="25"/>
  <c r="D23" i="25"/>
  <c r="D19" i="25"/>
  <c r="D15" i="25"/>
  <c r="D11" i="25"/>
  <c r="A313" i="25"/>
  <c r="A307" i="25"/>
  <c r="A301" i="25"/>
  <c r="A297" i="25"/>
  <c r="A293" i="25"/>
  <c r="A289" i="25"/>
  <c r="A287" i="25"/>
  <c r="A283" i="25"/>
  <c r="A277" i="25"/>
  <c r="A273" i="25"/>
  <c r="A265" i="25"/>
  <c r="A261" i="25"/>
  <c r="A257" i="25"/>
  <c r="A253" i="25"/>
  <c r="A251" i="25"/>
  <c r="A245" i="25"/>
  <c r="A241" i="25"/>
  <c r="A237" i="25"/>
  <c r="A233" i="25"/>
  <c r="A229" i="25"/>
  <c r="A225" i="25"/>
  <c r="A221" i="25"/>
  <c r="A215" i="25"/>
  <c r="A211" i="25"/>
  <c r="A207" i="25"/>
  <c r="A203" i="25"/>
  <c r="A201" i="25"/>
  <c r="A197" i="25"/>
  <c r="A193" i="25"/>
  <c r="A191" i="25"/>
  <c r="A187" i="25"/>
  <c r="A183" i="25"/>
  <c r="A179" i="25"/>
  <c r="A175" i="25"/>
  <c r="A171" i="25"/>
  <c r="A167" i="25"/>
  <c r="A163" i="25"/>
  <c r="A157" i="25"/>
  <c r="A153" i="25"/>
  <c r="A149" i="25"/>
  <c r="A145" i="25"/>
  <c r="A141" i="25"/>
  <c r="A137" i="25"/>
  <c r="A133" i="25"/>
  <c r="A129" i="25"/>
  <c r="A125" i="25"/>
  <c r="A123" i="25"/>
  <c r="A119" i="25"/>
  <c r="A115" i="25"/>
  <c r="A111" i="25"/>
  <c r="A105" i="25"/>
  <c r="A101" i="25"/>
  <c r="A97" i="25"/>
  <c r="A93" i="25"/>
  <c r="A87" i="25"/>
  <c r="A83" i="25"/>
  <c r="A79" i="25"/>
  <c r="A75" i="25"/>
  <c r="A71" i="25"/>
  <c r="A69" i="25"/>
  <c r="A65" i="25"/>
  <c r="A61" i="25"/>
  <c r="A57" i="25"/>
  <c r="A53" i="25"/>
  <c r="A49" i="25"/>
  <c r="A43" i="25"/>
  <c r="A39" i="25"/>
  <c r="A35" i="25"/>
  <c r="A31" i="25"/>
  <c r="A27" i="25"/>
  <c r="A23" i="25"/>
  <c r="A19" i="25"/>
  <c r="A15" i="25"/>
  <c r="A11" i="25"/>
  <c r="B312" i="25"/>
  <c r="B308" i="25"/>
  <c r="B302" i="25"/>
  <c r="B298" i="25"/>
  <c r="B294" i="25"/>
  <c r="B292" i="25"/>
  <c r="B288" i="25"/>
  <c r="B282" i="25"/>
  <c r="B280" i="25"/>
  <c r="B276" i="25"/>
  <c r="B272" i="25"/>
  <c r="B268" i="25"/>
  <c r="B264" i="25"/>
  <c r="B260" i="25"/>
  <c r="B256" i="25"/>
  <c r="B252" i="25"/>
  <c r="B246" i="25"/>
  <c r="B242" i="25"/>
  <c r="B238" i="25"/>
  <c r="B234" i="25"/>
  <c r="B230" i="25"/>
  <c r="B226" i="25"/>
  <c r="B222" i="25"/>
  <c r="B218" i="25"/>
  <c r="B214" i="25"/>
  <c r="B212" i="25"/>
  <c r="B208" i="25"/>
  <c r="A312" i="25"/>
  <c r="A310" i="25"/>
  <c r="A306" i="25"/>
  <c r="A302" i="25"/>
  <c r="A300" i="25"/>
  <c r="A296" i="25"/>
  <c r="A294" i="25"/>
  <c r="A290" i="25"/>
  <c r="A288" i="25"/>
  <c r="A284" i="25"/>
  <c r="A282" i="25"/>
  <c r="A278" i="25"/>
  <c r="A276" i="25"/>
  <c r="A274" i="25"/>
  <c r="A270" i="25"/>
  <c r="A268" i="25"/>
  <c r="A264" i="25"/>
  <c r="A262" i="25"/>
  <c r="A258" i="25"/>
  <c r="A252" i="25"/>
  <c r="A248" i="25"/>
  <c r="A244" i="25"/>
  <c r="A242" i="25"/>
  <c r="A238" i="25"/>
  <c r="A232" i="25"/>
  <c r="A226" i="25"/>
  <c r="A222" i="25"/>
  <c r="A218" i="25"/>
  <c r="A214" i="25"/>
  <c r="A210" i="25"/>
  <c r="A206" i="25"/>
  <c r="A202" i="25"/>
  <c r="A200" i="25"/>
  <c r="A196" i="25"/>
  <c r="A190" i="25"/>
  <c r="A186" i="25"/>
  <c r="A182" i="25"/>
  <c r="A178" i="25"/>
  <c r="A174" i="25"/>
  <c r="A170" i="25"/>
  <c r="A166" i="25"/>
  <c r="A162" i="25"/>
  <c r="A158" i="25"/>
  <c r="A154" i="25"/>
  <c r="A150" i="25"/>
  <c r="A146" i="25"/>
  <c r="A144" i="25"/>
  <c r="A140" i="25"/>
  <c r="A136" i="25"/>
  <c r="A132" i="25"/>
  <c r="A128" i="25"/>
  <c r="A124" i="25"/>
  <c r="A120" i="25"/>
  <c r="A116" i="25"/>
  <c r="A112" i="25"/>
  <c r="A108" i="25"/>
  <c r="A104" i="25"/>
  <c r="A100" i="25"/>
  <c r="A96" i="25"/>
  <c r="A92" i="25"/>
  <c r="A88" i="25"/>
  <c r="A84" i="25"/>
  <c r="A80" i="25"/>
  <c r="A76" i="25"/>
  <c r="A72" i="25"/>
  <c r="A68" i="25"/>
  <c r="A64" i="25"/>
  <c r="A60" i="25"/>
  <c r="A56" i="25"/>
  <c r="A52" i="25"/>
  <c r="A50" i="25"/>
  <c r="A46" i="25"/>
  <c r="A44" i="25"/>
  <c r="A40" i="25"/>
  <c r="A36" i="25"/>
  <c r="A32" i="25"/>
  <c r="A30" i="25"/>
  <c r="A26" i="25"/>
  <c r="A24" i="25"/>
  <c r="A20" i="25"/>
  <c r="A18" i="25"/>
  <c r="A14" i="25"/>
  <c r="A12" i="25"/>
  <c r="A8" i="25"/>
  <c r="B313" i="25"/>
  <c r="B311" i="25"/>
  <c r="B309" i="25"/>
  <c r="B307" i="25"/>
  <c r="B305" i="25"/>
  <c r="B303" i="25"/>
  <c r="B301" i="25"/>
  <c r="B299" i="25"/>
  <c r="B297" i="25"/>
  <c r="B295" i="25"/>
  <c r="B293" i="25"/>
  <c r="B291" i="25"/>
  <c r="B289" i="25"/>
  <c r="B287" i="25"/>
  <c r="B285" i="25"/>
  <c r="B283" i="25"/>
  <c r="B281" i="25"/>
  <c r="B279" i="25"/>
  <c r="B277" i="25"/>
  <c r="B275" i="25"/>
  <c r="B273" i="25"/>
  <c r="B271" i="25"/>
  <c r="B269" i="25"/>
  <c r="B267" i="25"/>
  <c r="B265" i="25"/>
  <c r="B263" i="25"/>
  <c r="B261" i="25"/>
  <c r="B259" i="25"/>
  <c r="B257" i="25"/>
  <c r="B255" i="25"/>
  <c r="B253" i="25"/>
  <c r="B251" i="25"/>
  <c r="B249" i="25"/>
  <c r="B247" i="25"/>
  <c r="B245" i="25"/>
  <c r="B243" i="25"/>
  <c r="B241" i="25"/>
  <c r="B239" i="25"/>
  <c r="B237" i="25"/>
  <c r="B235" i="25"/>
  <c r="B233" i="25"/>
  <c r="B231" i="25"/>
  <c r="B229" i="25"/>
  <c r="B227" i="25"/>
  <c r="B225" i="25"/>
  <c r="B223" i="25"/>
  <c r="B221" i="25"/>
  <c r="B219" i="25"/>
  <c r="B217" i="25"/>
  <c r="B215" i="25"/>
  <c r="B213" i="25"/>
  <c r="B211" i="25"/>
  <c r="B209" i="25"/>
  <c r="B207" i="25"/>
  <c r="B205" i="25"/>
  <c r="B203" i="25"/>
  <c r="B201" i="25"/>
  <c r="B199" i="25"/>
  <c r="B197" i="25"/>
  <c r="B195" i="25"/>
  <c r="B193" i="25"/>
  <c r="B191" i="25"/>
  <c r="B189" i="25"/>
  <c r="B187" i="25"/>
  <c r="B185" i="25"/>
  <c r="B183" i="25"/>
  <c r="B181" i="25"/>
  <c r="B179" i="25"/>
  <c r="B177" i="25"/>
  <c r="B175" i="25"/>
  <c r="B173" i="25"/>
  <c r="B171" i="25"/>
  <c r="B169" i="25"/>
  <c r="B167" i="25"/>
  <c r="B165" i="25"/>
  <c r="B163" i="25"/>
  <c r="B161" i="25"/>
  <c r="B159" i="25"/>
  <c r="B157" i="25"/>
  <c r="B155" i="25"/>
  <c r="B153" i="25"/>
  <c r="B151" i="25"/>
  <c r="B149" i="25"/>
  <c r="B147" i="25"/>
  <c r="B145" i="25"/>
  <c r="B143" i="25"/>
  <c r="B141" i="25"/>
  <c r="B139" i="25"/>
  <c r="B137" i="25"/>
  <c r="B135" i="25"/>
  <c r="B133" i="25"/>
  <c r="B131" i="25"/>
  <c r="B129" i="25"/>
  <c r="B127" i="25"/>
  <c r="B125" i="25"/>
  <c r="B123" i="25"/>
  <c r="B121" i="25"/>
  <c r="B119" i="25"/>
  <c r="B117" i="25"/>
  <c r="B115" i="25"/>
  <c r="B113" i="25"/>
  <c r="B111" i="25"/>
  <c r="B109" i="25"/>
  <c r="B107" i="25"/>
  <c r="B105" i="25"/>
  <c r="B103" i="25"/>
  <c r="B101" i="25"/>
  <c r="B99" i="25"/>
  <c r="B97" i="25"/>
  <c r="B95" i="25"/>
  <c r="B93" i="25"/>
  <c r="B91" i="25"/>
  <c r="B89" i="25"/>
  <c r="B87" i="25"/>
  <c r="B85" i="25"/>
  <c r="B83" i="25"/>
  <c r="B81" i="25"/>
  <c r="B79" i="25"/>
  <c r="B77" i="25"/>
  <c r="B75" i="25"/>
  <c r="B73" i="25"/>
  <c r="B71" i="25"/>
  <c r="B69" i="25"/>
  <c r="B67" i="25"/>
  <c r="B65" i="25"/>
  <c r="B63" i="25"/>
  <c r="B61" i="25"/>
  <c r="B59" i="25"/>
  <c r="B57" i="25"/>
  <c r="B55" i="25"/>
  <c r="B53" i="25"/>
  <c r="B51" i="25"/>
  <c r="B49" i="25"/>
  <c r="B47" i="25"/>
  <c r="B45" i="25"/>
  <c r="B43" i="25"/>
  <c r="B41" i="25"/>
  <c r="B39" i="25"/>
  <c r="B37" i="25"/>
  <c r="B35" i="25"/>
  <c r="B33" i="25"/>
  <c r="B31" i="25"/>
  <c r="B29" i="25"/>
  <c r="B27" i="25"/>
  <c r="B25" i="25"/>
  <c r="B23" i="25"/>
  <c r="B21" i="25"/>
  <c r="B19" i="25"/>
  <c r="B17" i="25"/>
  <c r="B15" i="25"/>
  <c r="B13" i="25"/>
  <c r="B11" i="25"/>
  <c r="B9" i="25"/>
  <c r="B7" i="25"/>
  <c r="A269" i="25"/>
  <c r="A89" i="25"/>
  <c r="B206" i="25"/>
  <c r="B204" i="25"/>
  <c r="B202" i="25"/>
  <c r="B200" i="25"/>
  <c r="B198" i="25"/>
  <c r="B196" i="25"/>
  <c r="B194" i="25"/>
  <c r="B192" i="25"/>
  <c r="B190" i="25"/>
  <c r="B188" i="25"/>
  <c r="B186" i="25"/>
  <c r="B184" i="25"/>
  <c r="B182" i="25"/>
  <c r="B180" i="25"/>
  <c r="B178" i="25"/>
  <c r="B176" i="25"/>
  <c r="B174" i="25"/>
  <c r="B172" i="25"/>
  <c r="B170" i="25"/>
  <c r="B168" i="25"/>
  <c r="B166" i="25"/>
  <c r="B164" i="25"/>
  <c r="B162" i="25"/>
  <c r="B160" i="25"/>
  <c r="B158" i="25"/>
  <c r="B156" i="25"/>
  <c r="B154" i="25"/>
  <c r="B152" i="25"/>
  <c r="B150" i="25"/>
  <c r="B148" i="25"/>
  <c r="B146" i="25"/>
  <c r="B144" i="25"/>
  <c r="B142" i="25"/>
  <c r="B140" i="25"/>
  <c r="B138" i="25"/>
  <c r="B136" i="25"/>
  <c r="B134" i="25"/>
  <c r="B132" i="25"/>
  <c r="B130" i="25"/>
  <c r="B128" i="25"/>
  <c r="B126" i="25"/>
  <c r="B124" i="25"/>
  <c r="B122" i="25"/>
  <c r="B120" i="25"/>
  <c r="B118" i="25"/>
  <c r="B116" i="25"/>
  <c r="B114" i="25"/>
  <c r="B112" i="25"/>
  <c r="B110" i="25"/>
  <c r="B108" i="25"/>
  <c r="B106" i="25"/>
  <c r="B104" i="25"/>
  <c r="B102" i="25"/>
  <c r="B100" i="25"/>
  <c r="B98" i="25"/>
  <c r="B96" i="25"/>
  <c r="B94" i="25"/>
  <c r="B92" i="25"/>
  <c r="B90" i="25"/>
  <c r="B88" i="25"/>
  <c r="B86" i="25"/>
  <c r="B84" i="25"/>
  <c r="B82" i="25"/>
  <c r="B80" i="25"/>
  <c r="B78" i="25"/>
  <c r="B76" i="25"/>
  <c r="B74" i="25"/>
  <c r="B72" i="25"/>
  <c r="B70" i="25"/>
  <c r="B68" i="25"/>
  <c r="B66" i="25"/>
  <c r="B64" i="25"/>
  <c r="B62" i="25"/>
  <c r="B60" i="25"/>
  <c r="B58" i="25"/>
  <c r="B56" i="25"/>
  <c r="B54" i="25"/>
  <c r="B52" i="25"/>
  <c r="B50" i="25"/>
  <c r="B48" i="25"/>
  <c r="B46" i="25"/>
  <c r="B44" i="25"/>
  <c r="B42" i="25"/>
  <c r="B40" i="25"/>
  <c r="B38" i="25"/>
  <c r="B36" i="25"/>
  <c r="B34" i="25"/>
  <c r="B32" i="25"/>
  <c r="B30" i="25"/>
  <c r="B28" i="25"/>
  <c r="B26" i="25"/>
  <c r="B24" i="25"/>
  <c r="B22" i="25"/>
  <c r="B20" i="25"/>
  <c r="B18" i="25"/>
  <c r="B16" i="25"/>
  <c r="B14" i="25"/>
  <c r="B12" i="25"/>
  <c r="B10" i="25"/>
  <c r="B8" i="25"/>
  <c r="A311" i="25"/>
  <c r="A309" i="25"/>
  <c r="A305" i="25"/>
  <c r="A303" i="25"/>
  <c r="A299" i="25"/>
  <c r="A295" i="25"/>
  <c r="A291" i="25"/>
  <c r="A285" i="25"/>
  <c r="A281" i="25"/>
  <c r="A279" i="25"/>
  <c r="A275" i="25"/>
  <c r="A271" i="25"/>
  <c r="A267" i="25"/>
  <c r="A263" i="25"/>
  <c r="A259" i="25"/>
  <c r="A255" i="25"/>
  <c r="A249" i="25"/>
  <c r="A247" i="25"/>
  <c r="A243" i="25"/>
  <c r="A239" i="25"/>
  <c r="A235" i="25"/>
  <c r="A231" i="25"/>
  <c r="A227" i="25"/>
  <c r="A223" i="25"/>
  <c r="A219" i="25"/>
  <c r="A217" i="25"/>
  <c r="A213" i="25"/>
  <c r="A209" i="25"/>
  <c r="A205" i="25"/>
  <c r="A199" i="25"/>
  <c r="A195" i="25"/>
  <c r="A189" i="25"/>
  <c r="A185" i="25"/>
  <c r="A181" i="25"/>
  <c r="A177" i="25"/>
  <c r="A173" i="25"/>
  <c r="A169" i="25"/>
  <c r="A165" i="25"/>
  <c r="A161" i="25"/>
  <c r="A159" i="25"/>
  <c r="A155" i="25"/>
  <c r="A151" i="25"/>
  <c r="A147" i="25"/>
  <c r="A143" i="25"/>
  <c r="A139" i="25"/>
  <c r="A135" i="25"/>
  <c r="A131" i="25"/>
  <c r="A127" i="25"/>
  <c r="A121" i="25"/>
  <c r="A117" i="25"/>
  <c r="A113" i="25"/>
  <c r="A109" i="25"/>
  <c r="A107" i="25"/>
  <c r="A103" i="25"/>
  <c r="A99" i="25"/>
  <c r="A95" i="25"/>
  <c r="A91" i="25"/>
  <c r="A85" i="25"/>
  <c r="A81" i="25"/>
  <c r="A77" i="25"/>
  <c r="A73" i="25"/>
  <c r="A67" i="25"/>
  <c r="A63" i="25"/>
  <c r="A59" i="25"/>
  <c r="A55" i="25"/>
  <c r="A51" i="25"/>
  <c r="A47" i="25"/>
  <c r="A45" i="25"/>
  <c r="A41" i="25"/>
  <c r="A37" i="25"/>
  <c r="A33" i="25"/>
  <c r="A29" i="25"/>
  <c r="A25" i="25"/>
  <c r="A21" i="25"/>
  <c r="A17" i="25"/>
  <c r="A13" i="25"/>
  <c r="A9" i="25"/>
  <c r="A7" i="25"/>
  <c r="B314" i="25"/>
  <c r="B310" i="25"/>
  <c r="B306" i="25"/>
  <c r="B304" i="25"/>
  <c r="B300" i="25"/>
  <c r="B296" i="25"/>
  <c r="B290" i="25"/>
  <c r="B286" i="25"/>
  <c r="B284" i="25"/>
  <c r="B278" i="25"/>
  <c r="B274" i="25"/>
  <c r="B270" i="25"/>
  <c r="B266" i="25"/>
  <c r="B262" i="25"/>
  <c r="B258" i="25"/>
  <c r="B254" i="25"/>
  <c r="B250" i="25"/>
  <c r="B248" i="25"/>
  <c r="B244" i="25"/>
  <c r="B240" i="25"/>
  <c r="B236" i="25"/>
  <c r="B232" i="25"/>
  <c r="B228" i="25"/>
  <c r="B224" i="25"/>
  <c r="B220" i="25"/>
  <c r="B216" i="25"/>
  <c r="B210" i="25"/>
  <c r="A314" i="25"/>
  <c r="A308" i="25"/>
  <c r="A304" i="25"/>
  <c r="A298" i="25"/>
  <c r="A292" i="25"/>
  <c r="A286" i="25"/>
  <c r="A280" i="25"/>
  <c r="A272" i="25"/>
  <c r="A266" i="25"/>
  <c r="A260" i="25"/>
  <c r="A256" i="25"/>
  <c r="A254" i="25"/>
  <c r="A250" i="25"/>
  <c r="A246" i="25"/>
  <c r="A240" i="25"/>
  <c r="A236" i="25"/>
  <c r="A234" i="25"/>
  <c r="A230" i="25"/>
  <c r="A228" i="25"/>
  <c r="A224" i="25"/>
  <c r="A220" i="25"/>
  <c r="A216" i="25"/>
  <c r="A212" i="25"/>
  <c r="A208" i="25"/>
  <c r="A204" i="25"/>
  <c r="A198" i="25"/>
  <c r="A194" i="25"/>
  <c r="A192" i="25"/>
  <c r="A188" i="25"/>
  <c r="A184" i="25"/>
  <c r="A180" i="25"/>
  <c r="A176" i="25"/>
  <c r="A172" i="25"/>
  <c r="A168" i="25"/>
  <c r="A164" i="25"/>
  <c r="A160" i="25"/>
  <c r="A156" i="25"/>
  <c r="A152" i="25"/>
  <c r="A148" i="25"/>
  <c r="A142" i="25"/>
  <c r="A138" i="25"/>
  <c r="A134" i="25"/>
  <c r="A130" i="25"/>
  <c r="A126" i="25"/>
  <c r="A122" i="25"/>
  <c r="A118" i="25"/>
  <c r="A114" i="25"/>
  <c r="A110" i="25"/>
  <c r="A106" i="25"/>
  <c r="A102" i="25"/>
  <c r="A98" i="25"/>
  <c r="A94" i="25"/>
  <c r="A90" i="25"/>
  <c r="A86" i="25"/>
  <c r="A82" i="25"/>
  <c r="A78" i="25"/>
  <c r="A74" i="25"/>
  <c r="A70" i="25"/>
  <c r="A66" i="25"/>
  <c r="A62" i="25"/>
  <c r="A58" i="25"/>
  <c r="A54" i="25"/>
  <c r="A48" i="25"/>
  <c r="A42" i="25"/>
  <c r="A38" i="25"/>
  <c r="A34" i="25"/>
  <c r="A28" i="25"/>
  <c r="A22" i="25"/>
  <c r="A16" i="25"/>
  <c r="A10" i="25"/>
  <c r="D39" i="25"/>
  <c r="D27" i="25"/>
  <c r="D7" i="25"/>
  <c r="D307" i="25"/>
  <c r="D291" i="25"/>
  <c r="D275" i="25"/>
  <c r="D259" i="25"/>
  <c r="D227" i="25"/>
  <c r="D211" i="25"/>
  <c r="D179" i="25"/>
  <c r="D163" i="25"/>
  <c r="D147" i="25"/>
  <c r="D131" i="25"/>
  <c r="D91" i="25"/>
  <c r="D65" i="25"/>
  <c r="D33" i="25"/>
  <c r="D310" i="25"/>
  <c r="D148" i="25"/>
  <c r="D40" i="25"/>
  <c r="D92" i="25"/>
  <c r="D146" i="25"/>
  <c r="D134" i="25"/>
  <c r="D122" i="25"/>
  <c r="D58" i="25"/>
  <c r="D118" i="25"/>
  <c r="D114" i="25"/>
  <c r="D110" i="25"/>
  <c r="D102" i="25"/>
  <c r="D94" i="25"/>
  <c r="D86" i="25"/>
  <c r="D82" i="25"/>
  <c r="D78" i="25"/>
  <c r="D70" i="25"/>
  <c r="D62" i="25"/>
  <c r="D54" i="25"/>
  <c r="D50" i="25"/>
  <c r="D46" i="25"/>
  <c r="D38" i="25"/>
  <c r="D30" i="25"/>
  <c r="D22" i="25"/>
  <c r="D18" i="25"/>
  <c r="D14" i="25"/>
  <c r="D313" i="25"/>
  <c r="D309" i="25"/>
  <c r="D305" i="25"/>
  <c r="D301" i="25"/>
  <c r="D297" i="25"/>
  <c r="D293" i="25"/>
  <c r="D289" i="25"/>
  <c r="D285" i="25"/>
  <c r="D281" i="25"/>
  <c r="D277" i="25"/>
  <c r="D273" i="25"/>
  <c r="D269" i="25"/>
  <c r="D265" i="25"/>
  <c r="D261" i="25"/>
  <c r="D257" i="25"/>
  <c r="D253" i="25"/>
  <c r="D249" i="25"/>
  <c r="D245" i="25"/>
  <c r="D241" i="25"/>
  <c r="D237" i="25"/>
  <c r="D233" i="25"/>
  <c r="D229" i="25"/>
  <c r="D225" i="25"/>
  <c r="D221" i="25"/>
  <c r="D217" i="25"/>
  <c r="D213" i="25"/>
  <c r="D209" i="25"/>
  <c r="D205" i="25"/>
  <c r="D201" i="25"/>
  <c r="D197" i="25"/>
  <c r="D193" i="25"/>
  <c r="D189" i="25"/>
  <c r="D185" i="25"/>
  <c r="D181" i="25"/>
  <c r="D173" i="25"/>
  <c r="D169" i="25"/>
  <c r="D165" i="25"/>
  <c r="D161" i="25"/>
  <c r="D157" i="25"/>
  <c r="D153" i="25"/>
  <c r="D149" i="25"/>
  <c r="D145" i="25"/>
  <c r="D141" i="25"/>
  <c r="D137" i="25"/>
  <c r="D133" i="25"/>
  <c r="D129" i="25"/>
  <c r="D125" i="25"/>
  <c r="D121" i="25"/>
  <c r="D117" i="25"/>
  <c r="D113" i="25"/>
  <c r="D109" i="25"/>
  <c r="D105" i="25"/>
  <c r="D101" i="25"/>
  <c r="D93" i="25"/>
  <c r="D89" i="25"/>
  <c r="D85" i="25"/>
  <c r="D81" i="25"/>
  <c r="D77" i="25"/>
  <c r="D73" i="25"/>
  <c r="D69" i="25"/>
  <c r="D61" i="25"/>
  <c r="D57" i="25"/>
  <c r="D53" i="25"/>
  <c r="D49" i="25"/>
  <c r="D45" i="25"/>
  <c r="D41" i="25"/>
  <c r="D37" i="25"/>
  <c r="D29" i="25"/>
  <c r="D25" i="25"/>
  <c r="D21" i="25"/>
  <c r="D17" i="25"/>
  <c r="D13" i="25"/>
  <c r="D9" i="25"/>
  <c r="D312" i="25"/>
  <c r="D304" i="25"/>
  <c r="D296" i="25"/>
  <c r="D288" i="25"/>
  <c r="D280" i="25"/>
  <c r="D272" i="25"/>
  <c r="D264" i="25"/>
  <c r="D256" i="25"/>
  <c r="D248" i="25"/>
  <c r="D240" i="25"/>
  <c r="D232" i="25"/>
  <c r="D224" i="25"/>
  <c r="D216" i="25"/>
  <c r="D208" i="25"/>
  <c r="D200" i="25"/>
  <c r="D192" i="25"/>
  <c r="D184" i="25"/>
  <c r="D176" i="25"/>
  <c r="D168" i="25"/>
  <c r="D160" i="25"/>
  <c r="D152" i="25"/>
  <c r="D144" i="25"/>
  <c r="D136" i="25"/>
  <c r="D128" i="25"/>
  <c r="D120" i="25"/>
  <c r="D108" i="25"/>
  <c r="D88" i="25"/>
  <c r="D76" i="25"/>
  <c r="D56" i="25"/>
  <c r="D44" i="25"/>
  <c r="D24" i="25"/>
  <c r="D12" i="25"/>
  <c r="D311" i="25"/>
  <c r="D303" i="25"/>
  <c r="D295" i="25"/>
  <c r="D287" i="25"/>
  <c r="D279" i="25"/>
  <c r="D271" i="25"/>
  <c r="D263" i="25"/>
  <c r="D255" i="25"/>
  <c r="D247" i="25"/>
  <c r="D239" i="25"/>
  <c r="D231" i="25"/>
  <c r="D223" i="25"/>
  <c r="D215" i="25"/>
  <c r="D207" i="25"/>
  <c r="D199" i="25"/>
  <c r="D191" i="25"/>
  <c r="D183" i="25"/>
  <c r="D175" i="25"/>
  <c r="D167" i="25"/>
  <c r="D159" i="25"/>
  <c r="D151" i="25"/>
  <c r="D143" i="25"/>
  <c r="D135" i="25"/>
  <c r="D127" i="25"/>
  <c r="D119" i="25"/>
  <c r="D115" i="25"/>
  <c r="D111" i="25"/>
  <c r="D107" i="25"/>
  <c r="D99" i="25"/>
  <c r="D95" i="25"/>
  <c r="D87" i="25"/>
  <c r="D83" i="25"/>
  <c r="D79" i="25"/>
  <c r="D75" i="25"/>
  <c r="D67" i="25"/>
  <c r="D177" i="25"/>
  <c r="M245" i="42"/>
  <c r="Y245" i="42" s="1"/>
  <c r="Z7" i="19" l="1"/>
  <c r="X7" i="19"/>
  <c r="W7" i="19"/>
  <c r="V7" i="19"/>
  <c r="P7" i="19"/>
  <c r="N7" i="19"/>
  <c r="M7" i="19"/>
  <c r="L7" i="19"/>
  <c r="K7" i="19"/>
  <c r="I7" i="19"/>
  <c r="H7" i="19"/>
  <c r="M239" i="42"/>
  <c r="Y239" i="42" s="1"/>
  <c r="K303" i="49" l="1"/>
  <c r="M246" i="42" l="1"/>
  <c r="Y246" i="42" s="1"/>
  <c r="M220" i="42"/>
  <c r="Y220" i="42" s="1"/>
  <c r="M171" i="42"/>
  <c r="Y171" i="42" s="1"/>
  <c r="L170" i="13" l="1"/>
  <c r="M170" i="13" s="1"/>
  <c r="E170" i="49"/>
  <c r="L219" i="13"/>
  <c r="M219" i="13" s="1"/>
  <c r="E219" i="49"/>
  <c r="E244" i="49"/>
  <c r="L244" i="13"/>
  <c r="M244" i="13" s="1"/>
  <c r="H170" i="49"/>
  <c r="D170" i="49"/>
  <c r="H219" i="49"/>
  <c r="D219" i="49"/>
  <c r="H244" i="49"/>
  <c r="D244" i="49"/>
  <c r="F170" i="49" l="1"/>
  <c r="F244" i="49"/>
  <c r="G219" i="49" l="1"/>
  <c r="F219" i="49"/>
  <c r="J219" i="13"/>
  <c r="A219" i="49"/>
  <c r="B219" i="49"/>
  <c r="A170" i="49"/>
  <c r="B170" i="49"/>
  <c r="A219" i="13"/>
  <c r="B219" i="13"/>
  <c r="A170" i="13"/>
  <c r="B170" i="13"/>
  <c r="E126" i="25" l="1"/>
  <c r="M126" i="49"/>
  <c r="C125" i="11"/>
  <c r="E113" i="25"/>
  <c r="M113" i="49"/>
  <c r="C112" i="11"/>
  <c r="E172" i="25"/>
  <c r="C171" i="11"/>
  <c r="M172" i="49"/>
  <c r="E211" i="25"/>
  <c r="M211" i="49"/>
  <c r="C210" i="11"/>
  <c r="E181" i="25"/>
  <c r="C180" i="11"/>
  <c r="M181" i="49"/>
  <c r="E196" i="25"/>
  <c r="M196" i="49"/>
  <c r="C195" i="11"/>
  <c r="E33" i="25"/>
  <c r="M33" i="49"/>
  <c r="C32" i="11"/>
  <c r="E64" i="25"/>
  <c r="C63" i="11"/>
  <c r="M64" i="49"/>
  <c r="E242" i="25"/>
  <c r="M242" i="49"/>
  <c r="C241" i="11"/>
  <c r="E301" i="25"/>
  <c r="M301" i="49"/>
  <c r="C300" i="11"/>
  <c r="E271" i="25"/>
  <c r="M271" i="49"/>
  <c r="C270" i="11"/>
  <c r="E311" i="25"/>
  <c r="M311" i="49"/>
  <c r="C310" i="11"/>
  <c r="E41" i="25"/>
  <c r="M41" i="49"/>
  <c r="C40" i="11"/>
  <c r="E130" i="25"/>
  <c r="M130" i="49"/>
  <c r="C129" i="11"/>
  <c r="E91" i="25"/>
  <c r="C90" i="11"/>
  <c r="M91" i="49"/>
  <c r="E218" i="25"/>
  <c r="M218" i="49"/>
  <c r="C217" i="11"/>
  <c r="E57" i="25"/>
  <c r="M57" i="49"/>
  <c r="C56" i="11"/>
  <c r="M60" i="49"/>
  <c r="E60" i="25"/>
  <c r="C59" i="11"/>
  <c r="M216" i="49"/>
  <c r="E216" i="25"/>
  <c r="C215" i="11"/>
  <c r="M169" i="49"/>
  <c r="E169" i="25"/>
  <c r="C168" i="11"/>
  <c r="C68" i="11"/>
  <c r="M69" i="49"/>
  <c r="E69" i="25"/>
  <c r="E240" i="25"/>
  <c r="M240" i="49"/>
  <c r="C239" i="11"/>
  <c r="M141" i="49"/>
  <c r="E141" i="25"/>
  <c r="C140" i="11"/>
  <c r="E285" i="25"/>
  <c r="C284" i="11"/>
  <c r="M285" i="49"/>
  <c r="M116" i="49"/>
  <c r="E116" i="25"/>
  <c r="C115" i="11"/>
  <c r="M254" i="49"/>
  <c r="E254" i="25"/>
  <c r="C253" i="11"/>
  <c r="C27" i="11"/>
  <c r="M28" i="49"/>
  <c r="E28" i="25"/>
  <c r="E154" i="25"/>
  <c r="M154" i="49"/>
  <c r="C153" i="11"/>
  <c r="C26" i="11"/>
  <c r="M27" i="49"/>
  <c r="E27" i="25"/>
  <c r="E234" i="25"/>
  <c r="M234" i="49"/>
  <c r="C233" i="11"/>
  <c r="M159" i="49"/>
  <c r="C158" i="11"/>
  <c r="E159" i="25"/>
  <c r="C186" i="11"/>
  <c r="M187" i="49"/>
  <c r="E187" i="25"/>
  <c r="C257" i="11"/>
  <c r="E258" i="25"/>
  <c r="M258" i="49"/>
  <c r="E131" i="25"/>
  <c r="M131" i="49"/>
  <c r="C130" i="11"/>
  <c r="M24" i="49"/>
  <c r="E24" i="25"/>
  <c r="C23" i="11"/>
  <c r="E85" i="25"/>
  <c r="C84" i="11"/>
  <c r="M85" i="49"/>
  <c r="E239" i="25"/>
  <c r="M239" i="49"/>
  <c r="C238" i="11"/>
  <c r="E29" i="25"/>
  <c r="M29" i="49"/>
  <c r="C28" i="11"/>
  <c r="E142" i="25"/>
  <c r="M142" i="49"/>
  <c r="C141" i="11"/>
  <c r="C36" i="11"/>
  <c r="E37" i="25"/>
  <c r="M37" i="49"/>
  <c r="M108" i="49"/>
  <c r="E108" i="25"/>
  <c r="C107" i="11"/>
  <c r="M100" i="49"/>
  <c r="E100" i="25"/>
  <c r="C99" i="11"/>
  <c r="E88" i="25"/>
  <c r="C87" i="11"/>
  <c r="M88" i="49"/>
  <c r="M303" i="49"/>
  <c r="E303" i="25"/>
  <c r="C302" i="11"/>
  <c r="M223" i="49"/>
  <c r="C222" i="11"/>
  <c r="E223" i="25"/>
  <c r="C135" i="11"/>
  <c r="E136" i="25"/>
  <c r="M136" i="49"/>
  <c r="M36" i="49"/>
  <c r="E36" i="25"/>
  <c r="C35" i="11"/>
  <c r="E250" i="25"/>
  <c r="M250" i="49"/>
  <c r="C249" i="11"/>
  <c r="E77" i="25"/>
  <c r="C76" i="11"/>
  <c r="M77" i="49"/>
  <c r="C101" i="11"/>
  <c r="E102" i="25"/>
  <c r="M102" i="49"/>
  <c r="M276" i="49"/>
  <c r="E276" i="25"/>
  <c r="C275" i="11"/>
  <c r="C147" i="11"/>
  <c r="M148" i="49"/>
  <c r="E148" i="25"/>
  <c r="E111" i="25"/>
  <c r="M111" i="49"/>
  <c r="C110" i="11"/>
  <c r="C126" i="11"/>
  <c r="E127" i="25"/>
  <c r="M127" i="49"/>
  <c r="E81" i="25"/>
  <c r="M81" i="49"/>
  <c r="C80" i="11"/>
  <c r="M164" i="49"/>
  <c r="E164" i="25"/>
  <c r="C163" i="11"/>
  <c r="M205" i="49"/>
  <c r="E205" i="25"/>
  <c r="C204" i="11"/>
  <c r="E34" i="25"/>
  <c r="M34" i="49"/>
  <c r="C33" i="11"/>
  <c r="E298" i="25"/>
  <c r="M298" i="49"/>
  <c r="C297" i="11"/>
  <c r="M32" i="49"/>
  <c r="C31" i="11"/>
  <c r="E32" i="25"/>
  <c r="E210" i="25"/>
  <c r="M210" i="49"/>
  <c r="C209" i="11"/>
  <c r="E179" i="25"/>
  <c r="M179" i="49"/>
  <c r="C178" i="11"/>
  <c r="M290" i="49"/>
  <c r="E290" i="25"/>
  <c r="C289" i="11"/>
  <c r="C97" i="11"/>
  <c r="E98" i="25"/>
  <c r="M98" i="49"/>
  <c r="C34" i="11"/>
  <c r="E35" i="25"/>
  <c r="M35" i="49"/>
  <c r="M277" i="49"/>
  <c r="E277" i="25"/>
  <c r="C276" i="11"/>
  <c r="E265" i="25"/>
  <c r="M265" i="49"/>
  <c r="C264" i="11"/>
  <c r="E122" i="25"/>
  <c r="M122" i="49"/>
  <c r="C121" i="11"/>
  <c r="C14" i="11"/>
  <c r="E15" i="25"/>
  <c r="M15" i="49"/>
  <c r="E129" i="25"/>
  <c r="M129" i="49"/>
  <c r="C128" i="11"/>
  <c r="M123" i="49"/>
  <c r="E123" i="25"/>
  <c r="C122" i="11"/>
  <c r="C55" i="11"/>
  <c r="M56" i="49"/>
  <c r="E56" i="25"/>
  <c r="C191" i="11"/>
  <c r="E192" i="25"/>
  <c r="M192" i="49"/>
  <c r="M184" i="49"/>
  <c r="E184" i="25"/>
  <c r="C183" i="11"/>
  <c r="E233" i="25"/>
  <c r="M233" i="49"/>
  <c r="C232" i="11"/>
  <c r="E275" i="25"/>
  <c r="C274" i="11"/>
  <c r="M275" i="49"/>
  <c r="M294" i="49"/>
  <c r="E294" i="25"/>
  <c r="C293" i="11"/>
  <c r="C176" i="11"/>
  <c r="M177" i="49"/>
  <c r="E177" i="25"/>
  <c r="E115" i="25"/>
  <c r="M115" i="49"/>
  <c r="C114" i="11"/>
  <c r="E106" i="25"/>
  <c r="M106" i="49"/>
  <c r="C105" i="11"/>
  <c r="M44" i="49"/>
  <c r="E44" i="25"/>
  <c r="C43" i="11"/>
  <c r="M225" i="49"/>
  <c r="E225" i="25"/>
  <c r="C224" i="11"/>
  <c r="M281" i="49"/>
  <c r="E281" i="25"/>
  <c r="C280" i="11"/>
  <c r="C259" i="11"/>
  <c r="E260" i="25"/>
  <c r="M260" i="49"/>
  <c r="M92" i="49"/>
  <c r="E92" i="25"/>
  <c r="C91" i="11"/>
  <c r="E21" i="25"/>
  <c r="M21" i="49"/>
  <c r="C20" i="11"/>
  <c r="C58" i="11"/>
  <c r="M59" i="49"/>
  <c r="E59" i="25"/>
  <c r="C62" i="11"/>
  <c r="E63" i="25"/>
  <c r="M63" i="49"/>
  <c r="C235" i="11"/>
  <c r="M236" i="49"/>
  <c r="E236" i="25"/>
  <c r="M287" i="49"/>
  <c r="C286" i="11"/>
  <c r="E287" i="25"/>
  <c r="E135" i="25"/>
  <c r="M135" i="49"/>
  <c r="C134" i="11"/>
  <c r="M310" i="49"/>
  <c r="C309" i="11"/>
  <c r="E310" i="25"/>
  <c r="M209" i="49"/>
  <c r="C208" i="11"/>
  <c r="E209" i="25"/>
  <c r="M203" i="49"/>
  <c r="E203" i="25"/>
  <c r="C202" i="11"/>
  <c r="C18" i="11"/>
  <c r="E19" i="25"/>
  <c r="M19" i="49"/>
  <c r="M292" i="49"/>
  <c r="E292" i="25"/>
  <c r="C291" i="11"/>
  <c r="E259" i="25"/>
  <c r="M259" i="49"/>
  <c r="C258" i="11"/>
  <c r="E11" i="25"/>
  <c r="C10" i="11"/>
  <c r="M11" i="49"/>
  <c r="M20" i="49"/>
  <c r="E20" i="25"/>
  <c r="C19" i="11"/>
  <c r="E47" i="25"/>
  <c r="M47" i="49"/>
  <c r="C46" i="11"/>
  <c r="E73" i="25"/>
  <c r="M73" i="49"/>
  <c r="C72" i="11"/>
  <c r="E31" i="25"/>
  <c r="M31" i="49"/>
  <c r="C30" i="11"/>
  <c r="E22" i="25"/>
  <c r="M22" i="49"/>
  <c r="C21" i="11"/>
  <c r="E246" i="25"/>
  <c r="M246" i="49"/>
  <c r="C245" i="11"/>
  <c r="M308" i="49"/>
  <c r="E308" i="25"/>
  <c r="C307" i="11"/>
  <c r="M13" i="49"/>
  <c r="C12" i="11"/>
  <c r="E13" i="25"/>
  <c r="M297" i="49"/>
  <c r="E297" i="25"/>
  <c r="C296" i="11"/>
  <c r="E305" i="25"/>
  <c r="M305" i="49"/>
  <c r="C304" i="11"/>
  <c r="C103" i="11"/>
  <c r="E104" i="25"/>
  <c r="M104" i="49"/>
  <c r="E157" i="25"/>
  <c r="C156" i="11"/>
  <c r="M157" i="49"/>
  <c r="M208" i="49"/>
  <c r="E208" i="25"/>
  <c r="C207" i="11"/>
  <c r="M16" i="49"/>
  <c r="E16" i="25"/>
  <c r="C15" i="11"/>
  <c r="E151" i="25"/>
  <c r="M151" i="49"/>
  <c r="C150" i="11"/>
  <c r="E279" i="25"/>
  <c r="M279" i="49"/>
  <c r="C278" i="11"/>
  <c r="E61" i="25"/>
  <c r="M61" i="49"/>
  <c r="C60" i="11"/>
  <c r="M152" i="49"/>
  <c r="E152" i="25"/>
  <c r="C151" i="11"/>
  <c r="C182" i="11"/>
  <c r="E183" i="25"/>
  <c r="M183" i="49"/>
  <c r="E261" i="25"/>
  <c r="C260" i="11"/>
  <c r="M261" i="49"/>
  <c r="M257" i="49"/>
  <c r="C256" i="11"/>
  <c r="E257" i="25"/>
  <c r="C187" i="11"/>
  <c r="M188" i="49"/>
  <c r="E188" i="25"/>
  <c r="E243" i="25"/>
  <c r="M243" i="49"/>
  <c r="C242" i="11"/>
  <c r="E314" i="25"/>
  <c r="M314" i="49"/>
  <c r="C313" i="11"/>
  <c r="E162" i="25"/>
  <c r="M162" i="49"/>
  <c r="C161" i="11"/>
  <c r="E166" i="25"/>
  <c r="M166" i="49"/>
  <c r="C165" i="11"/>
  <c r="C149" i="11"/>
  <c r="E150" i="25"/>
  <c r="M150" i="49"/>
  <c r="M222" i="49"/>
  <c r="C221" i="11"/>
  <c r="E222" i="25"/>
  <c r="E302" i="25"/>
  <c r="C301" i="11"/>
  <c r="M302" i="49"/>
  <c r="E178" i="25"/>
  <c r="M178" i="49"/>
  <c r="C177" i="11"/>
  <c r="C173" i="11"/>
  <c r="E174" i="25"/>
  <c r="M174" i="49"/>
  <c r="E238" i="25"/>
  <c r="M238" i="49"/>
  <c r="C237" i="11"/>
  <c r="C213" i="11"/>
  <c r="E214" i="25"/>
  <c r="M214" i="49"/>
  <c r="E198" i="25"/>
  <c r="M198" i="49"/>
  <c r="C197" i="11"/>
  <c r="E62" i="25"/>
  <c r="M62" i="49"/>
  <c r="C61" i="11"/>
  <c r="E262" i="25"/>
  <c r="M262" i="49"/>
  <c r="C261" i="11"/>
  <c r="E134" i="25"/>
  <c r="M134" i="49"/>
  <c r="C133" i="11"/>
  <c r="E87" i="25"/>
  <c r="M87" i="49"/>
  <c r="C86" i="11"/>
  <c r="C244" i="11"/>
  <c r="M245" i="49"/>
  <c r="E245" i="25"/>
  <c r="M121" i="49"/>
  <c r="C120" i="11"/>
  <c r="E121" i="25"/>
  <c r="C240" i="11"/>
  <c r="E241" i="25"/>
  <c r="M241" i="49"/>
  <c r="E295" i="25"/>
  <c r="M295" i="49"/>
  <c r="C294" i="11"/>
  <c r="E110" i="25"/>
  <c r="M110" i="49"/>
  <c r="C109" i="11"/>
  <c r="E251" i="25"/>
  <c r="M251" i="49"/>
  <c r="C250" i="11"/>
  <c r="E71" i="25"/>
  <c r="M71" i="49"/>
  <c r="C70" i="11"/>
  <c r="E253" i="25"/>
  <c r="C252" i="11"/>
  <c r="M253" i="49"/>
  <c r="E14" i="25"/>
  <c r="C13" i="11"/>
  <c r="M14" i="49"/>
  <c r="C292" i="11"/>
  <c r="M293" i="49"/>
  <c r="E293" i="25"/>
  <c r="E118" i="25"/>
  <c r="M118" i="49"/>
  <c r="C117" i="11"/>
  <c r="E284" i="25"/>
  <c r="C283" i="11"/>
  <c r="M284" i="49"/>
  <c r="M76" i="49"/>
  <c r="E76" i="25"/>
  <c r="C75" i="11"/>
  <c r="E30" i="25"/>
  <c r="M30" i="49"/>
  <c r="C29" i="11"/>
  <c r="E161" i="25"/>
  <c r="M161" i="49"/>
  <c r="C160" i="11"/>
  <c r="M180" i="49"/>
  <c r="E180" i="25"/>
  <c r="C179" i="11"/>
  <c r="M307" i="49"/>
  <c r="E307" i="25"/>
  <c r="C306" i="11"/>
  <c r="C166" i="11"/>
  <c r="E167" i="25"/>
  <c r="M167" i="49"/>
  <c r="C198" i="11"/>
  <c r="E199" i="25"/>
  <c r="M199" i="49"/>
  <c r="C71" i="11"/>
  <c r="M72" i="49"/>
  <c r="E72" i="25"/>
  <c r="E272" i="25"/>
  <c r="C271" i="11"/>
  <c r="M272" i="49"/>
  <c r="M84" i="49"/>
  <c r="E84" i="25"/>
  <c r="C83" i="11"/>
  <c r="E46" i="25"/>
  <c r="M46" i="49"/>
  <c r="C45" i="11"/>
  <c r="C155" i="11"/>
  <c r="M156" i="49"/>
  <c r="E156" i="25"/>
  <c r="E95" i="25"/>
  <c r="M95" i="49"/>
  <c r="C94" i="11"/>
  <c r="E291" i="25"/>
  <c r="M291" i="49"/>
  <c r="C290" i="11"/>
  <c r="C64" i="11"/>
  <c r="E65" i="25"/>
  <c r="M65" i="49"/>
  <c r="E42" i="25"/>
  <c r="M42" i="49"/>
  <c r="C41" i="11"/>
  <c r="M255" i="49"/>
  <c r="C254" i="11"/>
  <c r="E255" i="25"/>
  <c r="M10" i="49"/>
  <c r="E10" i="25"/>
  <c r="C9" i="11"/>
  <c r="C174" i="11"/>
  <c r="E175" i="25"/>
  <c r="M175" i="49"/>
  <c r="M168" i="49"/>
  <c r="C167" i="11"/>
  <c r="E168" i="25"/>
  <c r="E282" i="25"/>
  <c r="M282" i="49"/>
  <c r="C281" i="11"/>
  <c r="E68" i="25"/>
  <c r="C67" i="11"/>
  <c r="M68" i="49"/>
  <c r="M171" i="49"/>
  <c r="E171" i="25"/>
  <c r="C170" i="11"/>
  <c r="M280" i="49"/>
  <c r="C279" i="11"/>
  <c r="E280" i="25"/>
  <c r="M120" i="49"/>
  <c r="E120" i="25"/>
  <c r="C119" i="11"/>
  <c r="E149" i="25"/>
  <c r="C148" i="11"/>
  <c r="M149" i="49"/>
  <c r="E300" i="25"/>
  <c r="M300" i="49"/>
  <c r="C299" i="11"/>
  <c r="M124" i="49"/>
  <c r="E124" i="25"/>
  <c r="C123" i="11"/>
  <c r="E249" i="25"/>
  <c r="M249" i="49"/>
  <c r="C248" i="11"/>
  <c r="E52" i="25"/>
  <c r="C51" i="11"/>
  <c r="M52" i="49"/>
  <c r="E89" i="25"/>
  <c r="M89" i="49"/>
  <c r="C88" i="11"/>
  <c r="E191" i="25"/>
  <c r="M191" i="49"/>
  <c r="C190" i="11"/>
  <c r="E38" i="25"/>
  <c r="M38" i="49"/>
  <c r="C37" i="11"/>
  <c r="M228" i="49"/>
  <c r="E228" i="25"/>
  <c r="C227" i="11"/>
  <c r="C95" i="11"/>
  <c r="E96" i="25"/>
  <c r="M96" i="49"/>
  <c r="M219" i="49"/>
  <c r="E219" i="25"/>
  <c r="C218" i="11"/>
  <c r="E99" i="25"/>
  <c r="M99" i="49"/>
  <c r="C98" i="11"/>
  <c r="E197" i="25"/>
  <c r="C196" i="11"/>
  <c r="M197" i="49"/>
  <c r="M201" i="49"/>
  <c r="C200" i="11"/>
  <c r="E201" i="25"/>
  <c r="M212" i="49"/>
  <c r="E212" i="25"/>
  <c r="C211" i="11"/>
  <c r="C145" i="11"/>
  <c r="E146" i="25"/>
  <c r="M146" i="49"/>
  <c r="E119" i="25"/>
  <c r="M119" i="49"/>
  <c r="C118" i="11"/>
  <c r="C298" i="11"/>
  <c r="E299" i="25"/>
  <c r="M299" i="49"/>
  <c r="M112" i="49"/>
  <c r="E112" i="25"/>
  <c r="C111" i="11"/>
  <c r="C199" i="11"/>
  <c r="E200" i="25"/>
  <c r="M200" i="49"/>
  <c r="E213" i="25"/>
  <c r="C212" i="11"/>
  <c r="M213" i="49"/>
  <c r="M227" i="49"/>
  <c r="C226" i="11"/>
  <c r="E227" i="25"/>
  <c r="C116" i="11"/>
  <c r="M117" i="49"/>
  <c r="E117" i="25"/>
  <c r="M313" i="49"/>
  <c r="C312" i="11"/>
  <c r="E313" i="25"/>
  <c r="E97" i="25"/>
  <c r="M97" i="49"/>
  <c r="C96" i="11"/>
  <c r="M204" i="49"/>
  <c r="E204" i="25"/>
  <c r="C203" i="11"/>
  <c r="E235" i="25"/>
  <c r="M235" i="49"/>
  <c r="C234" i="11"/>
  <c r="E268" i="25"/>
  <c r="M268" i="49"/>
  <c r="C267" i="11"/>
  <c r="C311" i="11"/>
  <c r="M312" i="49"/>
  <c r="E312" i="25"/>
  <c r="E143" i="25"/>
  <c r="M143" i="49"/>
  <c r="C142" i="11"/>
  <c r="M278" i="49"/>
  <c r="E278" i="25"/>
  <c r="C277" i="11"/>
  <c r="E9" i="25"/>
  <c r="M9" i="49"/>
  <c r="C8" i="11"/>
  <c r="M132" i="49"/>
  <c r="E132" i="25"/>
  <c r="C131" i="11"/>
  <c r="M252" i="49"/>
  <c r="E252" i="25"/>
  <c r="C251" i="11"/>
  <c r="M55" i="49"/>
  <c r="C54" i="11"/>
  <c r="E55" i="25"/>
  <c r="E194" i="25"/>
  <c r="M194" i="49"/>
  <c r="C193" i="11"/>
  <c r="C127" i="11"/>
  <c r="E128" i="25"/>
  <c r="M128" i="49"/>
  <c r="E17" i="25"/>
  <c r="M17" i="49"/>
  <c r="C16" i="11"/>
  <c r="M25" i="49"/>
  <c r="C24" i="11"/>
  <c r="E25" i="25"/>
  <c r="C50" i="11"/>
  <c r="E51" i="25"/>
  <c r="M51" i="49"/>
  <c r="C11" i="11"/>
  <c r="M12" i="49"/>
  <c r="E12" i="25"/>
  <c r="E296" i="25"/>
  <c r="C295" i="11"/>
  <c r="M296" i="49"/>
  <c r="E229" i="25"/>
  <c r="C228" i="11"/>
  <c r="M229" i="49"/>
  <c r="E189" i="25"/>
  <c r="C188" i="11"/>
  <c r="M189" i="49"/>
  <c r="E8" i="25"/>
  <c r="M8" i="49"/>
  <c r="C7" i="11"/>
  <c r="E206" i="25"/>
  <c r="M206" i="49"/>
  <c r="C205" i="11"/>
  <c r="M86" i="49"/>
  <c r="C85" i="11"/>
  <c r="E86" i="25"/>
  <c r="C44" i="11"/>
  <c r="E45" i="25"/>
  <c r="M45" i="49"/>
  <c r="M40" i="49"/>
  <c r="C39" i="11"/>
  <c r="E40" i="25"/>
  <c r="E114" i="25"/>
  <c r="M114" i="49"/>
  <c r="C113" i="11"/>
  <c r="C236" i="11"/>
  <c r="M237" i="49"/>
  <c r="E237" i="25"/>
  <c r="C269" i="11"/>
  <c r="E270" i="25"/>
  <c r="M270" i="49"/>
  <c r="M220" i="49"/>
  <c r="E220" i="25"/>
  <c r="C219" i="11"/>
  <c r="C82" i="11"/>
  <c r="E83" i="25"/>
  <c r="M83" i="49"/>
  <c r="C225" i="11"/>
  <c r="E226" i="25"/>
  <c r="M226" i="49"/>
  <c r="E26" i="25"/>
  <c r="M26" i="49"/>
  <c r="C25" i="11"/>
  <c r="E137" i="25"/>
  <c r="M137" i="49"/>
  <c r="C136" i="11"/>
  <c r="E283" i="25"/>
  <c r="M283" i="49"/>
  <c r="C282" i="11"/>
  <c r="C146" i="11"/>
  <c r="E147" i="25"/>
  <c r="M147" i="49"/>
  <c r="E193" i="25"/>
  <c r="C192" i="11"/>
  <c r="M193" i="49"/>
  <c r="C216" i="11"/>
  <c r="E217" i="25"/>
  <c r="M217" i="49"/>
  <c r="M269" i="49"/>
  <c r="E269" i="25"/>
  <c r="C268" i="11"/>
  <c r="M75" i="49"/>
  <c r="E75" i="25"/>
  <c r="C74" i="11"/>
  <c r="E50" i="25"/>
  <c r="C49" i="11"/>
  <c r="M50" i="49"/>
  <c r="M224" i="49"/>
  <c r="C223" i="11"/>
  <c r="E224" i="25"/>
  <c r="M231" i="49"/>
  <c r="E231" i="25"/>
  <c r="C230" i="11"/>
  <c r="M94" i="49"/>
  <c r="E94" i="25"/>
  <c r="C93" i="11"/>
  <c r="E49" i="25"/>
  <c r="M49" i="49"/>
  <c r="C48" i="11"/>
  <c r="M140" i="49"/>
  <c r="E140" i="25"/>
  <c r="C139" i="11"/>
  <c r="C305" i="11"/>
  <c r="M306" i="49"/>
  <c r="E306" i="25"/>
  <c r="C124" i="11"/>
  <c r="M125" i="49"/>
  <c r="E125" i="25"/>
  <c r="M160" i="49"/>
  <c r="C159" i="11"/>
  <c r="E160" i="25"/>
  <c r="E93" i="25"/>
  <c r="C92" i="11"/>
  <c r="M93" i="49"/>
  <c r="C255" i="11"/>
  <c r="E256" i="25"/>
  <c r="M256" i="49"/>
  <c r="E232" i="25"/>
  <c r="M232" i="49"/>
  <c r="C231" i="11"/>
  <c r="E163" i="25"/>
  <c r="M163" i="49"/>
  <c r="C162" i="11"/>
  <c r="M247" i="49"/>
  <c r="C246" i="11"/>
  <c r="E247" i="25"/>
  <c r="E266" i="25"/>
  <c r="M266" i="49"/>
  <c r="C265" i="11"/>
  <c r="C42" i="11"/>
  <c r="M43" i="49"/>
  <c r="E43" i="25"/>
  <c r="E53" i="25"/>
  <c r="M53" i="49"/>
  <c r="C52" i="11"/>
  <c r="M107" i="49"/>
  <c r="E107" i="25"/>
  <c r="C106" i="11"/>
  <c r="E109" i="25"/>
  <c r="C108" i="11"/>
  <c r="M109" i="49"/>
  <c r="M274" i="49"/>
  <c r="E274" i="25"/>
  <c r="C273" i="11"/>
  <c r="M264" i="49"/>
  <c r="C263" i="11"/>
  <c r="E264" i="25"/>
  <c r="E79" i="25"/>
  <c r="M79" i="49"/>
  <c r="C78" i="11"/>
  <c r="C172" i="11"/>
  <c r="M173" i="49"/>
  <c r="E173" i="25"/>
  <c r="E144" i="25"/>
  <c r="C143" i="11"/>
  <c r="M144" i="49"/>
  <c r="E145" i="25"/>
  <c r="M145" i="49"/>
  <c r="C144" i="11"/>
  <c r="C303" i="11"/>
  <c r="E304" i="25"/>
  <c r="M304" i="49"/>
  <c r="E101" i="25"/>
  <c r="C100" i="11"/>
  <c r="M101" i="49"/>
  <c r="E39" i="25"/>
  <c r="M39" i="49"/>
  <c r="C38" i="11"/>
  <c r="C66" i="11"/>
  <c r="E67" i="25"/>
  <c r="M67" i="49"/>
  <c r="E165" i="25"/>
  <c r="C164" i="11"/>
  <c r="M165" i="49"/>
  <c r="E215" i="25"/>
  <c r="M215" i="49"/>
  <c r="C214" i="11"/>
  <c r="E185" i="25"/>
  <c r="M185" i="49"/>
  <c r="C184" i="11"/>
  <c r="E207" i="25"/>
  <c r="M207" i="49"/>
  <c r="C206" i="11"/>
  <c r="C266" i="11"/>
  <c r="M267" i="49"/>
  <c r="E267" i="25"/>
  <c r="E248" i="25"/>
  <c r="C247" i="11"/>
  <c r="M248" i="49"/>
  <c r="M176" i="49"/>
  <c r="E176" i="25"/>
  <c r="C175" i="11"/>
  <c r="C285" i="11"/>
  <c r="M286" i="49"/>
  <c r="E286" i="25"/>
  <c r="M195" i="49"/>
  <c r="C194" i="11"/>
  <c r="E195" i="25"/>
  <c r="E263" i="25"/>
  <c r="M263" i="49"/>
  <c r="C262" i="11"/>
  <c r="E23" i="25"/>
  <c r="M23" i="49"/>
  <c r="C22" i="11"/>
  <c r="M80" i="49"/>
  <c r="E80" i="25"/>
  <c r="C79" i="11"/>
  <c r="E153" i="25"/>
  <c r="M153" i="49"/>
  <c r="C152" i="11"/>
  <c r="M48" i="49"/>
  <c r="E48" i="25"/>
  <c r="C47" i="11"/>
  <c r="M78" i="49"/>
  <c r="C77" i="11"/>
  <c r="E78" i="25"/>
  <c r="E309" i="25"/>
  <c r="C308" i="11"/>
  <c r="M309" i="49"/>
  <c r="C132" i="11"/>
  <c r="M133" i="49"/>
  <c r="E133" i="25"/>
  <c r="E54" i="25"/>
  <c r="C53" i="11"/>
  <c r="M54" i="49"/>
  <c r="E103" i="25"/>
  <c r="M103" i="49"/>
  <c r="C102" i="11"/>
  <c r="E105" i="25"/>
  <c r="M105" i="49"/>
  <c r="C104" i="11"/>
  <c r="E155" i="25"/>
  <c r="C154" i="11"/>
  <c r="M155" i="49"/>
  <c r="E139" i="25"/>
  <c r="C138" i="11"/>
  <c r="M139" i="49"/>
  <c r="C6" i="11"/>
  <c r="E7" i="25"/>
  <c r="M7" i="49"/>
  <c r="M288" i="49"/>
  <c r="C287" i="11"/>
  <c r="E288" i="25"/>
  <c r="C220" i="11"/>
  <c r="M221" i="49"/>
  <c r="E221" i="25"/>
  <c r="M90" i="49"/>
  <c r="C89" i="11"/>
  <c r="E90" i="25"/>
  <c r="C189" i="11"/>
  <c r="E190" i="25"/>
  <c r="M190" i="49"/>
  <c r="C69" i="11"/>
  <c r="E70" i="25"/>
  <c r="M70" i="49"/>
  <c r="M82" i="49"/>
  <c r="C81" i="11"/>
  <c r="E82" i="25"/>
  <c r="C185" i="11"/>
  <c r="E186" i="25"/>
  <c r="M186" i="49"/>
  <c r="C201" i="11"/>
  <c r="E202" i="25"/>
  <c r="M202" i="49"/>
  <c r="E66" i="25"/>
  <c r="M66" i="49"/>
  <c r="C65" i="11"/>
  <c r="E74" i="25"/>
  <c r="M74" i="49"/>
  <c r="C73" i="11"/>
  <c r="C229" i="11"/>
  <c r="E230" i="25"/>
  <c r="M230" i="49"/>
  <c r="E58" i="25"/>
  <c r="M58" i="49"/>
  <c r="C57" i="11"/>
  <c r="E158" i="25"/>
  <c r="M158" i="49"/>
  <c r="C157" i="11"/>
  <c r="M18" i="49"/>
  <c r="E18" i="25"/>
  <c r="C17" i="11"/>
  <c r="M138" i="49"/>
  <c r="C137" i="11"/>
  <c r="E138" i="25"/>
  <c r="E182" i="25"/>
  <c r="M182" i="49"/>
  <c r="C181" i="11"/>
  <c r="E289" i="25"/>
  <c r="M289" i="49"/>
  <c r="C288" i="11"/>
  <c r="J244" i="13"/>
  <c r="G244" i="49"/>
  <c r="J170" i="13"/>
  <c r="G170" i="49"/>
  <c r="R4" i="11"/>
  <c r="L4" i="11"/>
  <c r="K268" i="11" l="1"/>
  <c r="L268" i="11" s="1"/>
  <c r="Q268" i="11"/>
  <c r="R268" i="11" s="1"/>
  <c r="K311" i="11"/>
  <c r="L311" i="11" s="1"/>
  <c r="Q311" i="11"/>
  <c r="R311" i="11" s="1"/>
  <c r="Q111" i="11"/>
  <c r="R111" i="11" s="1"/>
  <c r="K111" i="11"/>
  <c r="L111" i="11" s="1"/>
  <c r="M244" i="49"/>
  <c r="E244" i="25"/>
  <c r="C243" i="11"/>
  <c r="Q240" i="11"/>
  <c r="R240" i="11" s="1"/>
  <c r="K240" i="11"/>
  <c r="L240" i="11" s="1"/>
  <c r="Q221" i="11"/>
  <c r="R221" i="11" s="1"/>
  <c r="K221" i="11"/>
  <c r="L221" i="11" s="1"/>
  <c r="Q220" i="11"/>
  <c r="R220" i="11" s="1"/>
  <c r="K220" i="11"/>
  <c r="L220" i="11" s="1"/>
  <c r="Q132" i="11"/>
  <c r="R132" i="11" s="1"/>
  <c r="K132" i="11"/>
  <c r="L132" i="11" s="1"/>
  <c r="Q262" i="11"/>
  <c r="R262" i="11" s="1"/>
  <c r="K262" i="11"/>
  <c r="L262" i="11" s="1"/>
  <c r="K214" i="11"/>
  <c r="L214" i="11" s="1"/>
  <c r="Q214" i="11"/>
  <c r="R214" i="11" s="1"/>
  <c r="Q231" i="11"/>
  <c r="R231" i="11" s="1"/>
  <c r="K231" i="11"/>
  <c r="L231" i="11" s="1"/>
  <c r="K159" i="11"/>
  <c r="L159" i="11" s="1"/>
  <c r="Q159" i="11"/>
  <c r="R159" i="11" s="1"/>
  <c r="Q205" i="11"/>
  <c r="R205" i="11" s="1"/>
  <c r="K205" i="11"/>
  <c r="L205" i="11" s="1"/>
  <c r="K228" i="11"/>
  <c r="L228" i="11" s="1"/>
  <c r="Q228" i="11"/>
  <c r="R228" i="11" s="1"/>
  <c r="Q131" i="11"/>
  <c r="R131" i="11" s="1"/>
  <c r="K131" i="11"/>
  <c r="L131" i="11" s="1"/>
  <c r="Q312" i="11"/>
  <c r="R312" i="11" s="1"/>
  <c r="K312" i="11"/>
  <c r="L312" i="11" s="1"/>
  <c r="K123" i="11"/>
  <c r="L123" i="11" s="1"/>
  <c r="Q123" i="11"/>
  <c r="R123" i="11" s="1"/>
  <c r="Q294" i="11"/>
  <c r="R294" i="11" s="1"/>
  <c r="K294" i="11"/>
  <c r="L294" i="11" s="1"/>
  <c r="K133" i="11"/>
  <c r="L133" i="11" s="1"/>
  <c r="Q133" i="11"/>
  <c r="R133" i="11" s="1"/>
  <c r="Q197" i="11"/>
  <c r="R197" i="11" s="1"/>
  <c r="K197" i="11"/>
  <c r="L197" i="11" s="1"/>
  <c r="Q301" i="11"/>
  <c r="R301" i="11" s="1"/>
  <c r="K301" i="11"/>
  <c r="L301" i="11" s="1"/>
  <c r="K278" i="11"/>
  <c r="L278" i="11" s="1"/>
  <c r="Q278" i="11"/>
  <c r="R278" i="11" s="1"/>
  <c r="Q304" i="11"/>
  <c r="R304" i="11" s="1"/>
  <c r="K304" i="11"/>
  <c r="L304" i="11" s="1"/>
  <c r="Q114" i="11"/>
  <c r="R114" i="11" s="1"/>
  <c r="K114" i="11"/>
  <c r="L114" i="11" s="1"/>
  <c r="Q274" i="11"/>
  <c r="R274" i="11" s="1"/>
  <c r="K274" i="11"/>
  <c r="L274" i="11" s="1"/>
  <c r="Q191" i="11"/>
  <c r="R191" i="11" s="1"/>
  <c r="K191" i="11"/>
  <c r="L191" i="11" s="1"/>
  <c r="Q122" i="11"/>
  <c r="R122" i="11" s="1"/>
  <c r="K122" i="11"/>
  <c r="L122" i="11" s="1"/>
  <c r="Q217" i="11"/>
  <c r="R217" i="11" s="1"/>
  <c r="K217" i="11"/>
  <c r="L217" i="11" s="1"/>
  <c r="Q270" i="11"/>
  <c r="R270" i="11" s="1"/>
  <c r="K270" i="11"/>
  <c r="L270" i="11" s="1"/>
  <c r="Q180" i="11"/>
  <c r="R180" i="11" s="1"/>
  <c r="K180" i="11"/>
  <c r="L180" i="11" s="1"/>
  <c r="Q164" i="11"/>
  <c r="R164" i="11" s="1"/>
  <c r="K164" i="11"/>
  <c r="L164" i="11" s="1"/>
  <c r="Q265" i="11"/>
  <c r="R265" i="11" s="1"/>
  <c r="K265" i="11"/>
  <c r="L265" i="11" s="1"/>
  <c r="Q298" i="11"/>
  <c r="R298" i="11" s="1"/>
  <c r="K298" i="11"/>
  <c r="L298" i="11" s="1"/>
  <c r="Q151" i="11"/>
  <c r="R151" i="11" s="1"/>
  <c r="K151" i="11"/>
  <c r="L151" i="11" s="1"/>
  <c r="Q309" i="11"/>
  <c r="R309" i="11" s="1"/>
  <c r="K309" i="11"/>
  <c r="L309" i="11" s="1"/>
  <c r="Q176" i="11"/>
  <c r="R176" i="11" s="1"/>
  <c r="K176" i="11"/>
  <c r="L176" i="11" s="1"/>
  <c r="Q135" i="11"/>
  <c r="R135" i="11" s="1"/>
  <c r="K135" i="11"/>
  <c r="L135" i="11" s="1"/>
  <c r="Q130" i="11"/>
  <c r="R130" i="11" s="1"/>
  <c r="K130" i="11"/>
  <c r="L130" i="11" s="1"/>
  <c r="K229" i="11"/>
  <c r="L229" i="11" s="1"/>
  <c r="Q229" i="11"/>
  <c r="R229" i="11" s="1"/>
  <c r="K77" i="11"/>
  <c r="L77" i="11" s="1"/>
  <c r="Q77" i="11"/>
  <c r="R77" i="11" s="1"/>
  <c r="K152" i="11"/>
  <c r="L152" i="11" s="1"/>
  <c r="Q152" i="11"/>
  <c r="R152" i="11" s="1"/>
  <c r="Q106" i="11"/>
  <c r="R106" i="11" s="1"/>
  <c r="K106" i="11"/>
  <c r="L106" i="11" s="1"/>
  <c r="Q162" i="11"/>
  <c r="R162" i="11" s="1"/>
  <c r="K162" i="11"/>
  <c r="L162" i="11" s="1"/>
  <c r="Q136" i="11"/>
  <c r="R136" i="11" s="1"/>
  <c r="K136" i="11"/>
  <c r="L136" i="11" s="1"/>
  <c r="Q96" i="11"/>
  <c r="R96" i="11" s="1"/>
  <c r="K96" i="11"/>
  <c r="L96" i="11" s="1"/>
  <c r="K118" i="11"/>
  <c r="L118" i="11" s="1"/>
  <c r="Q118" i="11"/>
  <c r="R118" i="11" s="1"/>
  <c r="K145" i="11"/>
  <c r="L145" i="11" s="1"/>
  <c r="Q145" i="11"/>
  <c r="R145" i="11" s="1"/>
  <c r="Q200" i="11"/>
  <c r="R200" i="11" s="1"/>
  <c r="K200" i="11"/>
  <c r="L200" i="11" s="1"/>
  <c r="Q98" i="11"/>
  <c r="R98" i="11" s="1"/>
  <c r="K98" i="11"/>
  <c r="L98" i="11" s="1"/>
  <c r="Q88" i="11"/>
  <c r="R88" i="11" s="1"/>
  <c r="K88" i="11"/>
  <c r="L88" i="11" s="1"/>
  <c r="Q170" i="11"/>
  <c r="R170" i="11" s="1"/>
  <c r="K170" i="11"/>
  <c r="L170" i="11" s="1"/>
  <c r="Q160" i="11"/>
  <c r="R160" i="11" s="1"/>
  <c r="K160" i="11"/>
  <c r="L160" i="11" s="1"/>
  <c r="K283" i="11"/>
  <c r="L283" i="11" s="1"/>
  <c r="Q283" i="11"/>
  <c r="R283" i="11" s="1"/>
  <c r="Q109" i="11"/>
  <c r="R109" i="11" s="1"/>
  <c r="K109" i="11"/>
  <c r="L109" i="11" s="1"/>
  <c r="Q244" i="11"/>
  <c r="R244" i="11" s="1"/>
  <c r="K244" i="11"/>
  <c r="L244" i="11" s="1"/>
  <c r="K237" i="11"/>
  <c r="L237" i="11" s="1"/>
  <c r="Q237" i="11"/>
  <c r="R237" i="11" s="1"/>
  <c r="K173" i="11"/>
  <c r="L173" i="11" s="1"/>
  <c r="Q173" i="11"/>
  <c r="R173" i="11" s="1"/>
  <c r="K235" i="11"/>
  <c r="L235" i="11" s="1"/>
  <c r="Q235" i="11"/>
  <c r="R235" i="11" s="1"/>
  <c r="K183" i="11"/>
  <c r="L183" i="11" s="1"/>
  <c r="Q183" i="11"/>
  <c r="R183" i="11" s="1"/>
  <c r="Q276" i="11"/>
  <c r="R276" i="11" s="1"/>
  <c r="K276" i="11"/>
  <c r="L276" i="11" s="1"/>
  <c r="Q80" i="11"/>
  <c r="R80" i="11" s="1"/>
  <c r="K80" i="11"/>
  <c r="L80" i="11" s="1"/>
  <c r="K147" i="11"/>
  <c r="L147" i="11" s="1"/>
  <c r="Q147" i="11"/>
  <c r="R147" i="11" s="1"/>
  <c r="Q284" i="11"/>
  <c r="R284" i="11" s="1"/>
  <c r="K284" i="11"/>
  <c r="L284" i="11" s="1"/>
  <c r="K215" i="11"/>
  <c r="L215" i="11" s="1"/>
  <c r="Q215" i="11"/>
  <c r="R215" i="11" s="1"/>
  <c r="Q142" i="11"/>
  <c r="R142" i="11" s="1"/>
  <c r="K142" i="11"/>
  <c r="L142" i="11" s="1"/>
  <c r="Q289" i="11"/>
  <c r="R289" i="11" s="1"/>
  <c r="K289" i="11"/>
  <c r="L289" i="11" s="1"/>
  <c r="Q300" i="11"/>
  <c r="R300" i="11" s="1"/>
  <c r="K300" i="11"/>
  <c r="L300" i="11" s="1"/>
  <c r="Q201" i="11"/>
  <c r="R201" i="11" s="1"/>
  <c r="K201" i="11"/>
  <c r="L201" i="11" s="1"/>
  <c r="K89" i="11"/>
  <c r="L89" i="11" s="1"/>
  <c r="Q89" i="11"/>
  <c r="R89" i="11" s="1"/>
  <c r="Q154" i="11"/>
  <c r="R154" i="11" s="1"/>
  <c r="K154" i="11"/>
  <c r="L154" i="11" s="1"/>
  <c r="Q102" i="11"/>
  <c r="R102" i="11" s="1"/>
  <c r="K102" i="11"/>
  <c r="L102" i="11" s="1"/>
  <c r="Q92" i="11"/>
  <c r="R92" i="11" s="1"/>
  <c r="K92" i="11"/>
  <c r="L92" i="11" s="1"/>
  <c r="Q223" i="11"/>
  <c r="R223" i="11" s="1"/>
  <c r="K223" i="11"/>
  <c r="L223" i="11" s="1"/>
  <c r="Q146" i="11"/>
  <c r="R146" i="11" s="1"/>
  <c r="K146" i="11"/>
  <c r="L146" i="11" s="1"/>
  <c r="Q82" i="11"/>
  <c r="R82" i="11" s="1"/>
  <c r="K82" i="11"/>
  <c r="L82" i="11" s="1"/>
  <c r="Q236" i="11"/>
  <c r="R236" i="11" s="1"/>
  <c r="K236" i="11"/>
  <c r="L236" i="11" s="1"/>
  <c r="Q193" i="11"/>
  <c r="R193" i="11" s="1"/>
  <c r="K193" i="11"/>
  <c r="L193" i="11" s="1"/>
  <c r="Q277" i="11"/>
  <c r="R277" i="11" s="1"/>
  <c r="K277" i="11"/>
  <c r="L277" i="11" s="1"/>
  <c r="Q226" i="11"/>
  <c r="R226" i="11" s="1"/>
  <c r="K226" i="11"/>
  <c r="L226" i="11" s="1"/>
  <c r="Q227" i="11"/>
  <c r="R227" i="11" s="1"/>
  <c r="K227" i="11"/>
  <c r="L227" i="11" s="1"/>
  <c r="Q190" i="11"/>
  <c r="R190" i="11" s="1"/>
  <c r="K190" i="11"/>
  <c r="L190" i="11" s="1"/>
  <c r="Q148" i="11"/>
  <c r="R148" i="11" s="1"/>
  <c r="K148" i="11"/>
  <c r="L148" i="11" s="1"/>
  <c r="Q281" i="11"/>
  <c r="R281" i="11" s="1"/>
  <c r="K281" i="11"/>
  <c r="L281" i="11" s="1"/>
  <c r="K174" i="11"/>
  <c r="L174" i="11" s="1"/>
  <c r="Q174" i="11"/>
  <c r="R174" i="11" s="1"/>
  <c r="K290" i="11"/>
  <c r="L290" i="11" s="1"/>
  <c r="Q290" i="11"/>
  <c r="R290" i="11" s="1"/>
  <c r="Q179" i="11"/>
  <c r="R179" i="11" s="1"/>
  <c r="K179" i="11"/>
  <c r="L179" i="11" s="1"/>
  <c r="Q86" i="11"/>
  <c r="R86" i="11" s="1"/>
  <c r="K86" i="11"/>
  <c r="L86" i="11" s="1"/>
  <c r="Q313" i="11"/>
  <c r="R313" i="11" s="1"/>
  <c r="K313" i="11"/>
  <c r="L313" i="11" s="1"/>
  <c r="Q256" i="11"/>
  <c r="R256" i="11" s="1"/>
  <c r="K256" i="11"/>
  <c r="L256" i="11" s="1"/>
  <c r="Q245" i="11"/>
  <c r="R245" i="11" s="1"/>
  <c r="K245" i="11"/>
  <c r="L245" i="11" s="1"/>
  <c r="Q208" i="11"/>
  <c r="R208" i="11" s="1"/>
  <c r="K208" i="11"/>
  <c r="L208" i="11" s="1"/>
  <c r="Q91" i="11"/>
  <c r="R91" i="11" s="1"/>
  <c r="K91" i="11"/>
  <c r="L91" i="11" s="1"/>
  <c r="Q259" i="11"/>
  <c r="R259" i="11" s="1"/>
  <c r="K259" i="11"/>
  <c r="L259" i="11" s="1"/>
  <c r="Q224" i="11"/>
  <c r="R224" i="11" s="1"/>
  <c r="K224" i="11"/>
  <c r="L224" i="11" s="1"/>
  <c r="K105" i="11"/>
  <c r="L105" i="11" s="1"/>
  <c r="Q105" i="11"/>
  <c r="R105" i="11" s="1"/>
  <c r="Q293" i="11"/>
  <c r="R293" i="11" s="1"/>
  <c r="K293" i="11"/>
  <c r="L293" i="11" s="1"/>
  <c r="K110" i="11"/>
  <c r="L110" i="11" s="1"/>
  <c r="Q110" i="11"/>
  <c r="R110" i="11" s="1"/>
  <c r="Q249" i="11"/>
  <c r="R249" i="11" s="1"/>
  <c r="K249" i="11"/>
  <c r="L249" i="11" s="1"/>
  <c r="Q222" i="11"/>
  <c r="R222" i="11" s="1"/>
  <c r="K222" i="11"/>
  <c r="L222" i="11" s="1"/>
  <c r="Q186" i="11"/>
  <c r="R186" i="11" s="1"/>
  <c r="K186" i="11"/>
  <c r="L186" i="11" s="1"/>
  <c r="Q233" i="11"/>
  <c r="R233" i="11" s="1"/>
  <c r="K233" i="11"/>
  <c r="L233" i="11" s="1"/>
  <c r="Q115" i="11"/>
  <c r="R115" i="11" s="1"/>
  <c r="K115" i="11"/>
  <c r="L115" i="11" s="1"/>
  <c r="K129" i="11"/>
  <c r="L129" i="11" s="1"/>
  <c r="Q129" i="11"/>
  <c r="R129" i="11" s="1"/>
  <c r="Q241" i="11"/>
  <c r="R241" i="11" s="1"/>
  <c r="K241" i="11"/>
  <c r="L241" i="11" s="1"/>
  <c r="Q171" i="11"/>
  <c r="R171" i="11" s="1"/>
  <c r="K171" i="11"/>
  <c r="L171" i="11" s="1"/>
  <c r="Q255" i="11"/>
  <c r="R255" i="11" s="1"/>
  <c r="K255" i="11"/>
  <c r="L255" i="11" s="1"/>
  <c r="K213" i="11"/>
  <c r="L213" i="11" s="1"/>
  <c r="Q213" i="11"/>
  <c r="R213" i="11" s="1"/>
  <c r="Q207" i="11"/>
  <c r="R207" i="11" s="1"/>
  <c r="K207" i="11"/>
  <c r="L207" i="11" s="1"/>
  <c r="Q126" i="11"/>
  <c r="R126" i="11" s="1"/>
  <c r="K126" i="11"/>
  <c r="L126" i="11" s="1"/>
  <c r="Q288" i="11"/>
  <c r="R288" i="11" s="1"/>
  <c r="K288" i="11"/>
  <c r="L288" i="11" s="1"/>
  <c r="Q81" i="11"/>
  <c r="R81" i="11" s="1"/>
  <c r="K81" i="11"/>
  <c r="L81" i="11" s="1"/>
  <c r="Q287" i="11"/>
  <c r="R287" i="11" s="1"/>
  <c r="K287" i="11"/>
  <c r="L287" i="11" s="1"/>
  <c r="Q172" i="11"/>
  <c r="R172" i="11" s="1"/>
  <c r="K172" i="11"/>
  <c r="L172" i="11" s="1"/>
  <c r="Q305" i="11"/>
  <c r="R305" i="11" s="1"/>
  <c r="K305" i="11"/>
  <c r="L305" i="11" s="1"/>
  <c r="K230" i="11"/>
  <c r="L230" i="11" s="1"/>
  <c r="Q230" i="11"/>
  <c r="R230" i="11" s="1"/>
  <c r="Q192" i="11"/>
  <c r="R192" i="11" s="1"/>
  <c r="K192" i="11"/>
  <c r="L192" i="11" s="1"/>
  <c r="K188" i="11"/>
  <c r="L188" i="11" s="1"/>
  <c r="Q188" i="11"/>
  <c r="R188" i="11" s="1"/>
  <c r="Q267" i="11"/>
  <c r="R267" i="11" s="1"/>
  <c r="K267" i="11"/>
  <c r="L267" i="11" s="1"/>
  <c r="Q211" i="11"/>
  <c r="R211" i="11" s="1"/>
  <c r="K211" i="11"/>
  <c r="L211" i="11" s="1"/>
  <c r="K248" i="11"/>
  <c r="L248" i="11" s="1"/>
  <c r="Q248" i="11"/>
  <c r="R248" i="11" s="1"/>
  <c r="Q279" i="11"/>
  <c r="R279" i="11" s="1"/>
  <c r="K279" i="11"/>
  <c r="L279" i="11" s="1"/>
  <c r="Q117" i="11"/>
  <c r="R117" i="11" s="1"/>
  <c r="K117" i="11"/>
  <c r="L117" i="11" s="1"/>
  <c r="K252" i="11"/>
  <c r="L252" i="11" s="1"/>
  <c r="Q252" i="11"/>
  <c r="R252" i="11" s="1"/>
  <c r="Q120" i="11"/>
  <c r="R120" i="11" s="1"/>
  <c r="K120" i="11"/>
  <c r="L120" i="11" s="1"/>
  <c r="K177" i="11"/>
  <c r="L177" i="11" s="1"/>
  <c r="Q177" i="11"/>
  <c r="R177" i="11" s="1"/>
  <c r="K161" i="11"/>
  <c r="L161" i="11" s="1"/>
  <c r="Q161" i="11"/>
  <c r="R161" i="11" s="1"/>
  <c r="Q291" i="11"/>
  <c r="R291" i="11" s="1"/>
  <c r="K291" i="11"/>
  <c r="L291" i="11" s="1"/>
  <c r="K134" i="11"/>
  <c r="L134" i="11" s="1"/>
  <c r="Q134" i="11"/>
  <c r="R134" i="11" s="1"/>
  <c r="K286" i="11"/>
  <c r="L286" i="11" s="1"/>
  <c r="Q286" i="11"/>
  <c r="R286" i="11" s="1"/>
  <c r="Q232" i="11"/>
  <c r="R232" i="11" s="1"/>
  <c r="K232" i="11"/>
  <c r="L232" i="11" s="1"/>
  <c r="K209" i="11"/>
  <c r="L209" i="11" s="1"/>
  <c r="Q209" i="11"/>
  <c r="R209" i="11" s="1"/>
  <c r="Q163" i="11"/>
  <c r="R163" i="11" s="1"/>
  <c r="K163" i="11"/>
  <c r="L163" i="11" s="1"/>
  <c r="K87" i="11"/>
  <c r="L87" i="11" s="1"/>
  <c r="Q87" i="11"/>
  <c r="R87" i="11" s="1"/>
  <c r="Q239" i="11"/>
  <c r="R239" i="11" s="1"/>
  <c r="K239" i="11"/>
  <c r="L239" i="11" s="1"/>
  <c r="K195" i="11"/>
  <c r="L195" i="11" s="1"/>
  <c r="Q195" i="11"/>
  <c r="R195" i="11" s="1"/>
  <c r="Q210" i="11"/>
  <c r="R210" i="11" s="1"/>
  <c r="K210" i="11"/>
  <c r="L210" i="11" s="1"/>
  <c r="Q125" i="11"/>
  <c r="R125" i="11" s="1"/>
  <c r="K125" i="11"/>
  <c r="L125" i="11" s="1"/>
  <c r="Q185" i="11"/>
  <c r="R185" i="11" s="1"/>
  <c r="K185" i="11"/>
  <c r="L185" i="11" s="1"/>
  <c r="Q175" i="11"/>
  <c r="R175" i="11" s="1"/>
  <c r="K175" i="11"/>
  <c r="L175" i="11" s="1"/>
  <c r="K99" i="11"/>
  <c r="L99" i="11" s="1"/>
  <c r="Q99" i="11"/>
  <c r="R99" i="11" s="1"/>
  <c r="Q308" i="11"/>
  <c r="R308" i="11" s="1"/>
  <c r="K308" i="11"/>
  <c r="L308" i="11" s="1"/>
  <c r="K285" i="11"/>
  <c r="L285" i="11" s="1"/>
  <c r="Q285" i="11"/>
  <c r="R285" i="11" s="1"/>
  <c r="Q266" i="11"/>
  <c r="R266" i="11" s="1"/>
  <c r="K266" i="11"/>
  <c r="L266" i="11" s="1"/>
  <c r="Q184" i="11"/>
  <c r="R184" i="11" s="1"/>
  <c r="K184" i="11"/>
  <c r="L184" i="11" s="1"/>
  <c r="Q303" i="11"/>
  <c r="R303" i="11" s="1"/>
  <c r="K303" i="11"/>
  <c r="L303" i="11" s="1"/>
  <c r="Q143" i="11"/>
  <c r="R143" i="11" s="1"/>
  <c r="K143" i="11"/>
  <c r="L143" i="11" s="1"/>
  <c r="Q78" i="11"/>
  <c r="R78" i="11" s="1"/>
  <c r="K78" i="11"/>
  <c r="L78" i="11" s="1"/>
  <c r="Q263" i="11"/>
  <c r="R263" i="11" s="1"/>
  <c r="K263" i="11"/>
  <c r="L263" i="11" s="1"/>
  <c r="Q282" i="11"/>
  <c r="R282" i="11" s="1"/>
  <c r="K282" i="11"/>
  <c r="L282" i="11" s="1"/>
  <c r="Q269" i="11"/>
  <c r="R269" i="11" s="1"/>
  <c r="K269" i="11"/>
  <c r="L269" i="11" s="1"/>
  <c r="Q113" i="11"/>
  <c r="R113" i="11" s="1"/>
  <c r="K113" i="11"/>
  <c r="L113" i="11" s="1"/>
  <c r="Q85" i="11"/>
  <c r="R85" i="11" s="1"/>
  <c r="K85" i="11"/>
  <c r="L85" i="11" s="1"/>
  <c r="Q295" i="11"/>
  <c r="R295" i="11" s="1"/>
  <c r="K295" i="11"/>
  <c r="L295" i="11" s="1"/>
  <c r="Q251" i="11"/>
  <c r="R251" i="11" s="1"/>
  <c r="K251" i="11"/>
  <c r="L251" i="11" s="1"/>
  <c r="K203" i="11"/>
  <c r="L203" i="11" s="1"/>
  <c r="Q203" i="11"/>
  <c r="R203" i="11" s="1"/>
  <c r="Q199" i="11"/>
  <c r="R199" i="11" s="1"/>
  <c r="K199" i="11"/>
  <c r="L199" i="11" s="1"/>
  <c r="Q299" i="11"/>
  <c r="R299" i="11" s="1"/>
  <c r="K299" i="11"/>
  <c r="L299" i="11" s="1"/>
  <c r="Q167" i="11"/>
  <c r="R167" i="11" s="1"/>
  <c r="K167" i="11"/>
  <c r="L167" i="11" s="1"/>
  <c r="K254" i="11"/>
  <c r="L254" i="11" s="1"/>
  <c r="Q254" i="11"/>
  <c r="R254" i="11" s="1"/>
  <c r="K271" i="11"/>
  <c r="L271" i="11" s="1"/>
  <c r="Q271" i="11"/>
  <c r="R271" i="11" s="1"/>
  <c r="Q166" i="11"/>
  <c r="R166" i="11" s="1"/>
  <c r="K166" i="11"/>
  <c r="L166" i="11" s="1"/>
  <c r="K292" i="11"/>
  <c r="L292" i="11" s="1"/>
  <c r="Q292" i="11"/>
  <c r="R292" i="11" s="1"/>
  <c r="Q250" i="11"/>
  <c r="R250" i="11" s="1"/>
  <c r="K250" i="11"/>
  <c r="L250" i="11" s="1"/>
  <c r="Q261" i="11"/>
  <c r="R261" i="11" s="1"/>
  <c r="K261" i="11"/>
  <c r="L261" i="11" s="1"/>
  <c r="Q182" i="11"/>
  <c r="R182" i="11" s="1"/>
  <c r="K182" i="11"/>
  <c r="L182" i="11" s="1"/>
  <c r="Q296" i="11"/>
  <c r="R296" i="11" s="1"/>
  <c r="K296" i="11"/>
  <c r="L296" i="11" s="1"/>
  <c r="Q202" i="11"/>
  <c r="R202" i="11" s="1"/>
  <c r="K202" i="11"/>
  <c r="L202" i="11" s="1"/>
  <c r="Q264" i="11"/>
  <c r="R264" i="11" s="1"/>
  <c r="K264" i="11"/>
  <c r="L264" i="11" s="1"/>
  <c r="Q297" i="11"/>
  <c r="R297" i="11" s="1"/>
  <c r="K297" i="11"/>
  <c r="L297" i="11" s="1"/>
  <c r="Q101" i="11"/>
  <c r="R101" i="11" s="1"/>
  <c r="K101" i="11"/>
  <c r="L101" i="11" s="1"/>
  <c r="Q107" i="11"/>
  <c r="R107" i="11" s="1"/>
  <c r="K107" i="11"/>
  <c r="L107" i="11" s="1"/>
  <c r="K153" i="11"/>
  <c r="L153" i="11" s="1"/>
  <c r="Q153" i="11"/>
  <c r="R153" i="11" s="1"/>
  <c r="K140" i="11"/>
  <c r="L140" i="11" s="1"/>
  <c r="Q140" i="11"/>
  <c r="R140" i="11" s="1"/>
  <c r="Q181" i="11"/>
  <c r="R181" i="11" s="1"/>
  <c r="K181" i="11"/>
  <c r="L181" i="11" s="1"/>
  <c r="Q196" i="11"/>
  <c r="R196" i="11" s="1"/>
  <c r="K196" i="11"/>
  <c r="L196" i="11" s="1"/>
  <c r="K137" i="11"/>
  <c r="L137" i="11" s="1"/>
  <c r="Q137" i="11"/>
  <c r="R137" i="11" s="1"/>
  <c r="Q138" i="11"/>
  <c r="R138" i="11" s="1"/>
  <c r="K138" i="11"/>
  <c r="L138" i="11" s="1"/>
  <c r="Q104" i="11"/>
  <c r="R104" i="11" s="1"/>
  <c r="K104" i="11"/>
  <c r="L104" i="11" s="1"/>
  <c r="K79" i="11"/>
  <c r="L79" i="11" s="1"/>
  <c r="Q79" i="11"/>
  <c r="R79" i="11" s="1"/>
  <c r="Q206" i="11"/>
  <c r="R206" i="11" s="1"/>
  <c r="K206" i="11"/>
  <c r="L206" i="11" s="1"/>
  <c r="K108" i="11"/>
  <c r="L108" i="11" s="1"/>
  <c r="Q108" i="11"/>
  <c r="R108" i="11" s="1"/>
  <c r="Q124" i="11"/>
  <c r="R124" i="11" s="1"/>
  <c r="K124" i="11"/>
  <c r="L124" i="11" s="1"/>
  <c r="K139" i="11"/>
  <c r="L139" i="11" s="1"/>
  <c r="Q139" i="11"/>
  <c r="R139" i="11" s="1"/>
  <c r="K225" i="11"/>
  <c r="L225" i="11" s="1"/>
  <c r="Q225" i="11"/>
  <c r="R225" i="11" s="1"/>
  <c r="Q219" i="11"/>
  <c r="R219" i="11" s="1"/>
  <c r="K219" i="11"/>
  <c r="L219" i="11" s="1"/>
  <c r="Q116" i="11"/>
  <c r="R116" i="11" s="1"/>
  <c r="K116" i="11"/>
  <c r="L116" i="11" s="1"/>
  <c r="Q83" i="11"/>
  <c r="R83" i="11" s="1"/>
  <c r="K83" i="11"/>
  <c r="L83" i="11" s="1"/>
  <c r="Q149" i="11"/>
  <c r="R149" i="11" s="1"/>
  <c r="K149" i="11"/>
  <c r="L149" i="11" s="1"/>
  <c r="Q187" i="11"/>
  <c r="R187" i="11" s="1"/>
  <c r="K187" i="11"/>
  <c r="L187" i="11" s="1"/>
  <c r="Q260" i="11"/>
  <c r="R260" i="11" s="1"/>
  <c r="K260" i="11"/>
  <c r="L260" i="11" s="1"/>
  <c r="Q103" i="11"/>
  <c r="R103" i="11" s="1"/>
  <c r="K103" i="11"/>
  <c r="L103" i="11" s="1"/>
  <c r="K280" i="11"/>
  <c r="L280" i="11" s="1"/>
  <c r="Q280" i="11"/>
  <c r="R280" i="11" s="1"/>
  <c r="Q128" i="11"/>
  <c r="R128" i="11" s="1"/>
  <c r="K128" i="11"/>
  <c r="L128" i="11" s="1"/>
  <c r="Q204" i="11"/>
  <c r="R204" i="11" s="1"/>
  <c r="K204" i="11"/>
  <c r="L204" i="11" s="1"/>
  <c r="K275" i="11"/>
  <c r="L275" i="11" s="1"/>
  <c r="Q275" i="11"/>
  <c r="R275" i="11" s="1"/>
  <c r="Q141" i="11"/>
  <c r="R141" i="11" s="1"/>
  <c r="K141" i="11"/>
  <c r="L141" i="11" s="1"/>
  <c r="Q84" i="11"/>
  <c r="R84" i="11" s="1"/>
  <c r="K84" i="11"/>
  <c r="L84" i="11" s="1"/>
  <c r="Q158" i="11"/>
  <c r="R158" i="11" s="1"/>
  <c r="K158" i="11"/>
  <c r="L158" i="11" s="1"/>
  <c r="Q253" i="11"/>
  <c r="R253" i="11" s="1"/>
  <c r="K253" i="11"/>
  <c r="L253" i="11" s="1"/>
  <c r="Q168" i="11"/>
  <c r="R168" i="11" s="1"/>
  <c r="K168" i="11"/>
  <c r="L168" i="11" s="1"/>
  <c r="Q310" i="11"/>
  <c r="R310" i="11" s="1"/>
  <c r="K310" i="11"/>
  <c r="L310" i="11" s="1"/>
  <c r="Q121" i="11"/>
  <c r="R121" i="11" s="1"/>
  <c r="K121" i="11"/>
  <c r="L121" i="11" s="1"/>
  <c r="Q302" i="11"/>
  <c r="R302" i="11" s="1"/>
  <c r="K302" i="11"/>
  <c r="L302" i="11" s="1"/>
  <c r="E170" i="25"/>
  <c r="M170" i="49"/>
  <c r="C169" i="11"/>
  <c r="Q157" i="11"/>
  <c r="R157" i="11" s="1"/>
  <c r="K157" i="11"/>
  <c r="L157" i="11" s="1"/>
  <c r="Q189" i="11"/>
  <c r="R189" i="11" s="1"/>
  <c r="K189" i="11"/>
  <c r="L189" i="11" s="1"/>
  <c r="Q194" i="11"/>
  <c r="R194" i="11" s="1"/>
  <c r="K194" i="11"/>
  <c r="L194" i="11" s="1"/>
  <c r="Q247" i="11"/>
  <c r="R247" i="11" s="1"/>
  <c r="K247" i="11"/>
  <c r="L247" i="11" s="1"/>
  <c r="Q100" i="11"/>
  <c r="R100" i="11" s="1"/>
  <c r="K100" i="11"/>
  <c r="L100" i="11" s="1"/>
  <c r="Q144" i="11"/>
  <c r="R144" i="11" s="1"/>
  <c r="K144" i="11"/>
  <c r="L144" i="11" s="1"/>
  <c r="Q273" i="11"/>
  <c r="R273" i="11" s="1"/>
  <c r="K273" i="11"/>
  <c r="L273" i="11" s="1"/>
  <c r="K246" i="11"/>
  <c r="L246" i="11" s="1"/>
  <c r="Q246" i="11"/>
  <c r="R246" i="11" s="1"/>
  <c r="K93" i="11"/>
  <c r="L93" i="11" s="1"/>
  <c r="Q93" i="11"/>
  <c r="R93" i="11" s="1"/>
  <c r="K216" i="11"/>
  <c r="L216" i="11" s="1"/>
  <c r="Q216" i="11"/>
  <c r="R216" i="11" s="1"/>
  <c r="Q127" i="11"/>
  <c r="R127" i="11" s="1"/>
  <c r="K127" i="11"/>
  <c r="L127" i="11" s="1"/>
  <c r="Q234" i="11"/>
  <c r="R234" i="11" s="1"/>
  <c r="K234" i="11"/>
  <c r="L234" i="11" s="1"/>
  <c r="Q212" i="11"/>
  <c r="R212" i="11" s="1"/>
  <c r="K212" i="11"/>
  <c r="L212" i="11" s="1"/>
  <c r="Q218" i="11"/>
  <c r="R218" i="11" s="1"/>
  <c r="K218" i="11"/>
  <c r="L218" i="11" s="1"/>
  <c r="K95" i="11"/>
  <c r="L95" i="11" s="1"/>
  <c r="Q95" i="11"/>
  <c r="R95" i="11" s="1"/>
  <c r="K119" i="11"/>
  <c r="L119" i="11" s="1"/>
  <c r="Q119" i="11"/>
  <c r="R119" i="11" s="1"/>
  <c r="Q94" i="11"/>
  <c r="R94" i="11" s="1"/>
  <c r="K94" i="11"/>
  <c r="L94" i="11" s="1"/>
  <c r="K155" i="11"/>
  <c r="L155" i="11" s="1"/>
  <c r="Q155" i="11"/>
  <c r="R155" i="11" s="1"/>
  <c r="K198" i="11"/>
  <c r="L198" i="11" s="1"/>
  <c r="Q198" i="11"/>
  <c r="R198" i="11" s="1"/>
  <c r="Q306" i="11"/>
  <c r="R306" i="11" s="1"/>
  <c r="K306" i="11"/>
  <c r="L306" i="11" s="1"/>
  <c r="Q165" i="11"/>
  <c r="R165" i="11" s="1"/>
  <c r="K165" i="11"/>
  <c r="L165" i="11" s="1"/>
  <c r="Q242" i="11"/>
  <c r="R242" i="11" s="1"/>
  <c r="K242" i="11"/>
  <c r="L242" i="11" s="1"/>
  <c r="K150" i="11"/>
  <c r="L150" i="11" s="1"/>
  <c r="Q150" i="11"/>
  <c r="R150" i="11" s="1"/>
  <c r="Q156" i="11"/>
  <c r="R156" i="11" s="1"/>
  <c r="K156" i="11"/>
  <c r="L156" i="11" s="1"/>
  <c r="Q307" i="11"/>
  <c r="R307" i="11" s="1"/>
  <c r="K307" i="11"/>
  <c r="L307" i="11" s="1"/>
  <c r="Q258" i="11"/>
  <c r="R258" i="11" s="1"/>
  <c r="K258" i="11"/>
  <c r="L258" i="11" s="1"/>
  <c r="Q97" i="11"/>
  <c r="R97" i="11" s="1"/>
  <c r="K97" i="11"/>
  <c r="L97" i="11" s="1"/>
  <c r="Q178" i="11"/>
  <c r="R178" i="11" s="1"/>
  <c r="K178" i="11"/>
  <c r="L178" i="11" s="1"/>
  <c r="Q238" i="11"/>
  <c r="R238" i="11" s="1"/>
  <c r="K238" i="11"/>
  <c r="L238" i="11" s="1"/>
  <c r="Q257" i="11"/>
  <c r="R257" i="11" s="1"/>
  <c r="K257" i="11"/>
  <c r="L257" i="11" s="1"/>
  <c r="Q90" i="11"/>
  <c r="R90" i="11" s="1"/>
  <c r="K90" i="11"/>
  <c r="L90" i="11" s="1"/>
  <c r="Q112" i="11"/>
  <c r="R112" i="11" s="1"/>
  <c r="K112" i="11"/>
  <c r="L112" i="11" s="1"/>
  <c r="M8" i="42"/>
  <c r="Y8" i="42" s="1"/>
  <c r="M9" i="42"/>
  <c r="Y9" i="42" s="1"/>
  <c r="M10" i="42"/>
  <c r="Y10" i="42" s="1"/>
  <c r="M11" i="42"/>
  <c r="Y11" i="42" s="1"/>
  <c r="M12" i="42"/>
  <c r="Y12" i="42" s="1"/>
  <c r="M13" i="42"/>
  <c r="Y13" i="42" s="1"/>
  <c r="M14" i="42"/>
  <c r="Y14" i="42" s="1"/>
  <c r="M15" i="42"/>
  <c r="Y15" i="42" s="1"/>
  <c r="M16" i="42"/>
  <c r="Y16" i="42" s="1"/>
  <c r="M17" i="42"/>
  <c r="Y17" i="42" s="1"/>
  <c r="M18" i="42"/>
  <c r="Y18" i="42" s="1"/>
  <c r="M19" i="42"/>
  <c r="Y19" i="42" s="1"/>
  <c r="M20" i="42"/>
  <c r="Y20" i="42" s="1"/>
  <c r="M21" i="42"/>
  <c r="Y21" i="42" s="1"/>
  <c r="M22" i="42"/>
  <c r="Y22" i="42" s="1"/>
  <c r="M23" i="42"/>
  <c r="Y23" i="42" s="1"/>
  <c r="M24" i="42"/>
  <c r="Y24" i="42" s="1"/>
  <c r="M25" i="42"/>
  <c r="Y25" i="42" s="1"/>
  <c r="M26" i="42"/>
  <c r="Y26" i="42" s="1"/>
  <c r="M27" i="42"/>
  <c r="Y27" i="42" s="1"/>
  <c r="M28" i="42"/>
  <c r="Y28" i="42" s="1"/>
  <c r="M29" i="42"/>
  <c r="Y29" i="42" s="1"/>
  <c r="M30" i="42"/>
  <c r="Y30" i="42" s="1"/>
  <c r="M31" i="42"/>
  <c r="Y31" i="42" s="1"/>
  <c r="M32" i="42"/>
  <c r="Y32" i="42" s="1"/>
  <c r="M33" i="42"/>
  <c r="Y33" i="42" s="1"/>
  <c r="M34" i="42"/>
  <c r="Y34" i="42" s="1"/>
  <c r="M35" i="42"/>
  <c r="Y35" i="42" s="1"/>
  <c r="M36" i="42"/>
  <c r="Y36" i="42" s="1"/>
  <c r="M37" i="42"/>
  <c r="Y37" i="42" s="1"/>
  <c r="M38" i="42"/>
  <c r="Y38" i="42" s="1"/>
  <c r="M39" i="42"/>
  <c r="Y39" i="42" s="1"/>
  <c r="M40" i="42"/>
  <c r="Y40" i="42" s="1"/>
  <c r="M41" i="42"/>
  <c r="Y41" i="42" s="1"/>
  <c r="M42" i="42"/>
  <c r="Y42" i="42" s="1"/>
  <c r="M43" i="42"/>
  <c r="Y43" i="42" s="1"/>
  <c r="M44" i="42"/>
  <c r="Y44" i="42" s="1"/>
  <c r="M45" i="42"/>
  <c r="Y45" i="42" s="1"/>
  <c r="M46" i="42"/>
  <c r="Y46" i="42" s="1"/>
  <c r="M47" i="42"/>
  <c r="Y47" i="42" s="1"/>
  <c r="M48" i="42"/>
  <c r="Y48" i="42" s="1"/>
  <c r="M49" i="42"/>
  <c r="Y49" i="42" s="1"/>
  <c r="M50" i="42"/>
  <c r="Y50" i="42" s="1"/>
  <c r="M51" i="42"/>
  <c r="Y51" i="42" s="1"/>
  <c r="M52" i="42"/>
  <c r="Y52" i="42" s="1"/>
  <c r="M53" i="42"/>
  <c r="Y53" i="42" s="1"/>
  <c r="M54" i="42"/>
  <c r="Y54" i="42" s="1"/>
  <c r="M55" i="42"/>
  <c r="Y55" i="42" s="1"/>
  <c r="M56" i="42"/>
  <c r="Y56" i="42" s="1"/>
  <c r="M57" i="42"/>
  <c r="Y57" i="42" s="1"/>
  <c r="M58" i="42"/>
  <c r="Y58" i="42" s="1"/>
  <c r="M59" i="42"/>
  <c r="Y59" i="42" s="1"/>
  <c r="M60" i="42"/>
  <c r="Y60" i="42" s="1"/>
  <c r="M61" i="42"/>
  <c r="Y61" i="42" s="1"/>
  <c r="M62" i="42"/>
  <c r="Y62" i="42" s="1"/>
  <c r="M63" i="42"/>
  <c r="Y63" i="42" s="1"/>
  <c r="M64" i="42"/>
  <c r="Y64" i="42" s="1"/>
  <c r="M65" i="42"/>
  <c r="Y65" i="42" s="1"/>
  <c r="M66" i="42"/>
  <c r="Y66" i="42" s="1"/>
  <c r="M67" i="42"/>
  <c r="Y67" i="42" s="1"/>
  <c r="M69" i="42"/>
  <c r="Y69" i="42" s="1"/>
  <c r="M70" i="42"/>
  <c r="Y70" i="42" s="1"/>
  <c r="M71" i="42"/>
  <c r="Y71" i="42" s="1"/>
  <c r="M72" i="42"/>
  <c r="Y72" i="42" s="1"/>
  <c r="M73" i="42"/>
  <c r="Y73" i="42" s="1"/>
  <c r="M74" i="42"/>
  <c r="Y74" i="42" s="1"/>
  <c r="M75" i="42"/>
  <c r="Y75" i="42" s="1"/>
  <c r="M76" i="42"/>
  <c r="Y76" i="42" s="1"/>
  <c r="M77" i="42"/>
  <c r="Y77" i="42" s="1"/>
  <c r="M78" i="42"/>
  <c r="Y78" i="42" s="1"/>
  <c r="M79" i="42"/>
  <c r="Y79" i="42" s="1"/>
  <c r="M80" i="42"/>
  <c r="Y80" i="42" s="1"/>
  <c r="M81" i="42"/>
  <c r="Y81" i="42" s="1"/>
  <c r="M82" i="42"/>
  <c r="Y82" i="42" s="1"/>
  <c r="M83" i="42"/>
  <c r="Y83" i="42" s="1"/>
  <c r="M84" i="42"/>
  <c r="Y84" i="42" s="1"/>
  <c r="M85" i="42"/>
  <c r="Y85" i="42" s="1"/>
  <c r="M86" i="42"/>
  <c r="Y86" i="42" s="1"/>
  <c r="M87" i="42"/>
  <c r="Y87" i="42" s="1"/>
  <c r="M88" i="42"/>
  <c r="Y88" i="42" s="1"/>
  <c r="M89" i="42"/>
  <c r="Y89" i="42" s="1"/>
  <c r="M90" i="42"/>
  <c r="Y90" i="42" s="1"/>
  <c r="M91" i="42"/>
  <c r="Y91" i="42" s="1"/>
  <c r="M92" i="42"/>
  <c r="Y92" i="42" s="1"/>
  <c r="M93" i="42"/>
  <c r="Y93" i="42" s="1"/>
  <c r="M94" i="42"/>
  <c r="Y94" i="42" s="1"/>
  <c r="M95" i="42"/>
  <c r="Y95" i="42" s="1"/>
  <c r="M96" i="42"/>
  <c r="Y96" i="42" s="1"/>
  <c r="M97" i="42"/>
  <c r="Y97" i="42" s="1"/>
  <c r="M98" i="42"/>
  <c r="Y98" i="42" s="1"/>
  <c r="M99" i="42"/>
  <c r="Y99" i="42" s="1"/>
  <c r="M100" i="42"/>
  <c r="Y100" i="42" s="1"/>
  <c r="M101" i="42"/>
  <c r="Y101" i="42" s="1"/>
  <c r="M102" i="42"/>
  <c r="Y102" i="42" s="1"/>
  <c r="M103" i="42"/>
  <c r="Y103" i="42" s="1"/>
  <c r="M104" i="42"/>
  <c r="Y104" i="42" s="1"/>
  <c r="M105" i="42"/>
  <c r="Y105" i="42" s="1"/>
  <c r="M106" i="42"/>
  <c r="Y106" i="42" s="1"/>
  <c r="M107" i="42"/>
  <c r="Y107" i="42" s="1"/>
  <c r="M108" i="42"/>
  <c r="Y108" i="42" s="1"/>
  <c r="M109" i="42"/>
  <c r="Y109" i="42" s="1"/>
  <c r="M110" i="42"/>
  <c r="Y110" i="42" s="1"/>
  <c r="M111" i="42"/>
  <c r="Y111" i="42" s="1"/>
  <c r="M112" i="42"/>
  <c r="Y112" i="42" s="1"/>
  <c r="M113" i="42"/>
  <c r="Y113" i="42" s="1"/>
  <c r="M114" i="42"/>
  <c r="Y114" i="42" s="1"/>
  <c r="M115" i="42"/>
  <c r="Y115" i="42" s="1"/>
  <c r="M116" i="42"/>
  <c r="Y116" i="42" s="1"/>
  <c r="M117" i="42"/>
  <c r="Y117" i="42" s="1"/>
  <c r="M118" i="42"/>
  <c r="Y118" i="42" s="1"/>
  <c r="M119" i="42"/>
  <c r="Y119" i="42" s="1"/>
  <c r="M120" i="42"/>
  <c r="Y120" i="42" s="1"/>
  <c r="M121" i="42"/>
  <c r="Y121" i="42" s="1"/>
  <c r="M122" i="42"/>
  <c r="Y122" i="42" s="1"/>
  <c r="M123" i="42"/>
  <c r="Y123" i="42" s="1"/>
  <c r="M124" i="42"/>
  <c r="Y124" i="42" s="1"/>
  <c r="M125" i="42"/>
  <c r="Y125" i="42" s="1"/>
  <c r="M126" i="42"/>
  <c r="Y126" i="42" s="1"/>
  <c r="M127" i="42"/>
  <c r="Y127" i="42" s="1"/>
  <c r="M128" i="42"/>
  <c r="Y128" i="42" s="1"/>
  <c r="M129" i="42"/>
  <c r="Y129" i="42" s="1"/>
  <c r="M130" i="42"/>
  <c r="Y130" i="42" s="1"/>
  <c r="M131" i="42"/>
  <c r="Y131" i="42" s="1"/>
  <c r="M132" i="42"/>
  <c r="Y132" i="42" s="1"/>
  <c r="M133" i="42"/>
  <c r="Y133" i="42" s="1"/>
  <c r="M134" i="42"/>
  <c r="Y134" i="42" s="1"/>
  <c r="M135" i="42"/>
  <c r="Y135" i="42" s="1"/>
  <c r="M137" i="42"/>
  <c r="Y137" i="42" s="1"/>
  <c r="M138" i="42"/>
  <c r="Y138" i="42" s="1"/>
  <c r="M139" i="42"/>
  <c r="Y139" i="42" s="1"/>
  <c r="M140" i="42"/>
  <c r="Y140" i="42" s="1"/>
  <c r="M141" i="42"/>
  <c r="Y141" i="42" s="1"/>
  <c r="M142" i="42"/>
  <c r="Y142" i="42" s="1"/>
  <c r="M143" i="42"/>
  <c r="Y143" i="42" s="1"/>
  <c r="M144" i="42"/>
  <c r="Y144" i="42" s="1"/>
  <c r="M145" i="42"/>
  <c r="Y145" i="42" s="1"/>
  <c r="M146" i="42"/>
  <c r="Y146" i="42" s="1"/>
  <c r="M147" i="42"/>
  <c r="Y147" i="42" s="1"/>
  <c r="M148" i="42"/>
  <c r="Y148" i="42" s="1"/>
  <c r="M149" i="42"/>
  <c r="Y149" i="42" s="1"/>
  <c r="M150" i="42"/>
  <c r="Y150" i="42" s="1"/>
  <c r="M151" i="42"/>
  <c r="Y151" i="42" s="1"/>
  <c r="M152" i="42"/>
  <c r="Y152" i="42" s="1"/>
  <c r="M153" i="42"/>
  <c r="Y153" i="42" s="1"/>
  <c r="M154" i="42"/>
  <c r="Y154" i="42" s="1"/>
  <c r="M155" i="42"/>
  <c r="Y155" i="42" s="1"/>
  <c r="M156" i="42"/>
  <c r="Y156" i="42" s="1"/>
  <c r="M157" i="42"/>
  <c r="Y157" i="42" s="1"/>
  <c r="M158" i="42"/>
  <c r="Y158" i="42" s="1"/>
  <c r="M159" i="42"/>
  <c r="Y159" i="42" s="1"/>
  <c r="M160" i="42"/>
  <c r="Y160" i="42" s="1"/>
  <c r="M161" i="42"/>
  <c r="Y161" i="42" s="1"/>
  <c r="M162" i="42"/>
  <c r="Y162" i="42" s="1"/>
  <c r="M163" i="42"/>
  <c r="Y163" i="42" s="1"/>
  <c r="M164" i="42"/>
  <c r="Y164" i="42" s="1"/>
  <c r="M165" i="42"/>
  <c r="Y165" i="42" s="1"/>
  <c r="M166" i="42"/>
  <c r="Y166" i="42" s="1"/>
  <c r="M167" i="42"/>
  <c r="Y167" i="42" s="1"/>
  <c r="M168" i="42"/>
  <c r="Y168" i="42" s="1"/>
  <c r="M169" i="42"/>
  <c r="Y169" i="42" s="1"/>
  <c r="M172" i="42"/>
  <c r="Y172" i="42" s="1"/>
  <c r="M173" i="42"/>
  <c r="Y173" i="42" s="1"/>
  <c r="M174" i="42"/>
  <c r="Y174" i="42" s="1"/>
  <c r="M175" i="42"/>
  <c r="Y175" i="42" s="1"/>
  <c r="M176" i="42"/>
  <c r="Y176" i="42" s="1"/>
  <c r="M177" i="42"/>
  <c r="Y177" i="42" s="1"/>
  <c r="M178" i="42"/>
  <c r="Y178" i="42" s="1"/>
  <c r="M179" i="42"/>
  <c r="Y179" i="42" s="1"/>
  <c r="M180" i="42"/>
  <c r="Y180" i="42" s="1"/>
  <c r="M181" i="42"/>
  <c r="Y181" i="42" s="1"/>
  <c r="M182" i="42"/>
  <c r="Y182" i="42" s="1"/>
  <c r="M183" i="42"/>
  <c r="Y183" i="42" s="1"/>
  <c r="M184" i="42"/>
  <c r="Y184" i="42" s="1"/>
  <c r="M185" i="42"/>
  <c r="Y185" i="42" s="1"/>
  <c r="M186" i="42"/>
  <c r="Y186" i="42" s="1"/>
  <c r="M187" i="42"/>
  <c r="Y187" i="42" s="1"/>
  <c r="M188" i="42"/>
  <c r="Y188" i="42" s="1"/>
  <c r="M189" i="42"/>
  <c r="Y189" i="42" s="1"/>
  <c r="M190" i="42"/>
  <c r="Y190" i="42" s="1"/>
  <c r="M191" i="42"/>
  <c r="Y191" i="42" s="1"/>
  <c r="M192" i="42"/>
  <c r="Y192" i="42" s="1"/>
  <c r="M193" i="42"/>
  <c r="Y193" i="42" s="1"/>
  <c r="M194" i="42"/>
  <c r="Y194" i="42" s="1"/>
  <c r="M195" i="42"/>
  <c r="Y195" i="42" s="1"/>
  <c r="M196" i="42"/>
  <c r="Y196" i="42" s="1"/>
  <c r="M197" i="42"/>
  <c r="Y197" i="42" s="1"/>
  <c r="M198" i="42"/>
  <c r="Y198" i="42" s="1"/>
  <c r="M199" i="42"/>
  <c r="Y199" i="42" s="1"/>
  <c r="M200" i="42"/>
  <c r="Y200" i="42" s="1"/>
  <c r="M201" i="42"/>
  <c r="Y201" i="42" s="1"/>
  <c r="M202" i="42"/>
  <c r="Y202" i="42" s="1"/>
  <c r="M203" i="42"/>
  <c r="Y203" i="42" s="1"/>
  <c r="M204" i="42"/>
  <c r="Y204" i="42" s="1"/>
  <c r="M205" i="42"/>
  <c r="Y205" i="42" s="1"/>
  <c r="M206" i="42"/>
  <c r="Y206" i="42" s="1"/>
  <c r="M207" i="42"/>
  <c r="Y207" i="42" s="1"/>
  <c r="M208" i="42"/>
  <c r="Y208" i="42" s="1"/>
  <c r="M209" i="42"/>
  <c r="Y209" i="42" s="1"/>
  <c r="M210" i="42"/>
  <c r="Y210" i="42" s="1"/>
  <c r="M211" i="42"/>
  <c r="Y211" i="42" s="1"/>
  <c r="M212" i="42"/>
  <c r="Y212" i="42" s="1"/>
  <c r="M213" i="42"/>
  <c r="Y213" i="42" s="1"/>
  <c r="M214" i="42"/>
  <c r="Y214" i="42" s="1"/>
  <c r="M215" i="42"/>
  <c r="Y215" i="42" s="1"/>
  <c r="M216" i="42"/>
  <c r="Y216" i="42" s="1"/>
  <c r="M217" i="42"/>
  <c r="Y217" i="42" s="1"/>
  <c r="M218" i="42"/>
  <c r="Y218" i="42" s="1"/>
  <c r="M219" i="42"/>
  <c r="Y219" i="42" s="1"/>
  <c r="M221" i="42"/>
  <c r="Y221" i="42" s="1"/>
  <c r="M222" i="42"/>
  <c r="Y222" i="42" s="1"/>
  <c r="M223" i="42"/>
  <c r="Y223" i="42" s="1"/>
  <c r="M224" i="42"/>
  <c r="Y224" i="42" s="1"/>
  <c r="M225" i="42"/>
  <c r="Y225" i="42" s="1"/>
  <c r="M226" i="42"/>
  <c r="Y226" i="42" s="1"/>
  <c r="M227" i="42"/>
  <c r="Y227" i="42" s="1"/>
  <c r="M228" i="42"/>
  <c r="Y228" i="42" s="1"/>
  <c r="M229" i="42"/>
  <c r="Y229" i="42" s="1"/>
  <c r="M230" i="42"/>
  <c r="Y230" i="42" s="1"/>
  <c r="M231" i="42"/>
  <c r="Y231" i="42" s="1"/>
  <c r="M232" i="42"/>
  <c r="Y232" i="42" s="1"/>
  <c r="M233" i="42"/>
  <c r="Y233" i="42" s="1"/>
  <c r="M234" i="42"/>
  <c r="Y234" i="42" s="1"/>
  <c r="M235" i="42"/>
  <c r="Y235" i="42" s="1"/>
  <c r="M236" i="42"/>
  <c r="Y236" i="42" s="1"/>
  <c r="M237" i="42"/>
  <c r="Y237" i="42" s="1"/>
  <c r="M238" i="42"/>
  <c r="Y238" i="42" s="1"/>
  <c r="M240" i="42"/>
  <c r="Y240" i="42" s="1"/>
  <c r="M241" i="42"/>
  <c r="Y241" i="42" s="1"/>
  <c r="M242" i="42"/>
  <c r="Y242" i="42" s="1"/>
  <c r="M243" i="42"/>
  <c r="Y243" i="42" s="1"/>
  <c r="M244" i="42"/>
  <c r="Y244" i="42" s="1"/>
  <c r="M247" i="42"/>
  <c r="Y247" i="42" s="1"/>
  <c r="M248" i="42"/>
  <c r="Y248" i="42" s="1"/>
  <c r="M249" i="42"/>
  <c r="Y249" i="42" s="1"/>
  <c r="M250" i="42"/>
  <c r="Y250" i="42" s="1"/>
  <c r="M251" i="42"/>
  <c r="Y251" i="42" s="1"/>
  <c r="M252" i="42"/>
  <c r="Y252" i="42" s="1"/>
  <c r="M253" i="42"/>
  <c r="Y253" i="42" s="1"/>
  <c r="M254" i="42"/>
  <c r="Y254" i="42" s="1"/>
  <c r="M255" i="42"/>
  <c r="Y255" i="42" s="1"/>
  <c r="M256" i="42"/>
  <c r="Y256" i="42" s="1"/>
  <c r="M257" i="42"/>
  <c r="Y257" i="42" s="1"/>
  <c r="M258" i="42"/>
  <c r="Y258" i="42" s="1"/>
  <c r="M259" i="42"/>
  <c r="Y259" i="42" s="1"/>
  <c r="M260" i="42"/>
  <c r="Y260" i="42" s="1"/>
  <c r="M261" i="42"/>
  <c r="Y261" i="42" s="1"/>
  <c r="M263" i="42"/>
  <c r="Y263" i="42" s="1"/>
  <c r="M264" i="42"/>
  <c r="Y264" i="42" s="1"/>
  <c r="M265" i="42"/>
  <c r="Y265" i="42" s="1"/>
  <c r="M266" i="42"/>
  <c r="Y266" i="42" s="1"/>
  <c r="M267" i="42"/>
  <c r="Y267" i="42" s="1"/>
  <c r="M268" i="42"/>
  <c r="Y268" i="42" s="1"/>
  <c r="M269" i="42"/>
  <c r="Y269" i="42" s="1"/>
  <c r="M270" i="42"/>
  <c r="Y270" i="42" s="1"/>
  <c r="M271" i="42"/>
  <c r="Y271" i="42" s="1"/>
  <c r="M272" i="42"/>
  <c r="Y272" i="42" s="1"/>
  <c r="M273" i="42"/>
  <c r="Y273" i="42" s="1"/>
  <c r="M275" i="42"/>
  <c r="Y275" i="42" s="1"/>
  <c r="M276" i="42"/>
  <c r="Y276" i="42" s="1"/>
  <c r="M277" i="42"/>
  <c r="Y277" i="42" s="1"/>
  <c r="M278" i="42"/>
  <c r="Y278" i="42" s="1"/>
  <c r="M279" i="42"/>
  <c r="Y279" i="42" s="1"/>
  <c r="M280" i="42"/>
  <c r="Y280" i="42" s="1"/>
  <c r="M281" i="42"/>
  <c r="Y281" i="42" s="1"/>
  <c r="M282" i="42"/>
  <c r="Y282" i="42" s="1"/>
  <c r="M283" i="42"/>
  <c r="Y283" i="42" s="1"/>
  <c r="M284" i="42"/>
  <c r="Y284" i="42" s="1"/>
  <c r="M285" i="42"/>
  <c r="Y285" i="42" s="1"/>
  <c r="M286" i="42"/>
  <c r="Y286" i="42" s="1"/>
  <c r="M287" i="42"/>
  <c r="Y287" i="42" s="1"/>
  <c r="M288" i="42"/>
  <c r="Y288" i="42" s="1"/>
  <c r="M289" i="42"/>
  <c r="Y289" i="42" s="1"/>
  <c r="M290" i="42"/>
  <c r="Y290" i="42" s="1"/>
  <c r="M291" i="42"/>
  <c r="Y291" i="42" s="1"/>
  <c r="M292" i="42"/>
  <c r="Y292" i="42" s="1"/>
  <c r="M293" i="42"/>
  <c r="Y293" i="42" s="1"/>
  <c r="M294" i="42"/>
  <c r="Y294" i="42" s="1"/>
  <c r="M295" i="42"/>
  <c r="Y295" i="42" s="1"/>
  <c r="M296" i="42"/>
  <c r="Y296" i="42" s="1"/>
  <c r="M297" i="42"/>
  <c r="Y297" i="42" s="1"/>
  <c r="M298" i="42"/>
  <c r="Y298" i="42" s="1"/>
  <c r="M299" i="42"/>
  <c r="Y299" i="42" s="1"/>
  <c r="M300" i="42"/>
  <c r="Y300" i="42" s="1"/>
  <c r="M301" i="42"/>
  <c r="Y301" i="42" s="1"/>
  <c r="M302" i="42"/>
  <c r="Y302" i="42" s="1"/>
  <c r="M303" i="42"/>
  <c r="Y303" i="42" s="1"/>
  <c r="M304" i="42"/>
  <c r="Y304" i="42" s="1"/>
  <c r="M305" i="42"/>
  <c r="Y305" i="42" s="1"/>
  <c r="M306" i="42"/>
  <c r="Y306" i="42" s="1"/>
  <c r="M307" i="42"/>
  <c r="Y307" i="42" s="1"/>
  <c r="M308" i="42"/>
  <c r="Y308" i="42" s="1"/>
  <c r="M309" i="42"/>
  <c r="Y309" i="42" s="1"/>
  <c r="M310" i="42"/>
  <c r="Y310" i="42" s="1"/>
  <c r="M311" i="42"/>
  <c r="Y311" i="42" s="1"/>
  <c r="M312" i="42"/>
  <c r="Y312" i="42" s="1"/>
  <c r="M313" i="42"/>
  <c r="Y313" i="42" s="1"/>
  <c r="M314" i="42"/>
  <c r="Y314" i="42" s="1"/>
  <c r="M315" i="42"/>
  <c r="Y315" i="42" s="1"/>
  <c r="Q169" i="11" l="1"/>
  <c r="R169" i="11" s="1"/>
  <c r="K169" i="11"/>
  <c r="L169" i="11" s="1"/>
  <c r="Q243" i="11"/>
  <c r="R243" i="11" s="1"/>
  <c r="K243" i="11"/>
  <c r="L243" i="11" s="1"/>
  <c r="M136" i="42"/>
  <c r="Y136" i="42" s="1"/>
  <c r="B6" i="48" l="1"/>
  <c r="D65" i="40" l="1"/>
  <c r="D66" i="40" s="1"/>
  <c r="F64" i="40" s="1"/>
  <c r="F65" i="40" s="1"/>
  <c r="F66" i="40" s="1"/>
  <c r="H64" i="40" s="1"/>
  <c r="H65" i="40" s="1"/>
  <c r="B65" i="40" s="1"/>
  <c r="B29" i="40" l="1"/>
  <c r="M7" i="42" l="1"/>
  <c r="Y7" i="42" s="1"/>
  <c r="M262" i="42" l="1"/>
  <c r="Y262" i="42" s="1"/>
  <c r="M68" i="42" l="1"/>
  <c r="Y68" i="42" s="1"/>
  <c r="I5" i="13" l="1"/>
  <c r="Q7" i="19" l="1"/>
  <c r="AA6" i="19"/>
  <c r="S6" i="19"/>
  <c r="B59" i="40" l="1"/>
  <c r="K14" i="49" l="1"/>
  <c r="K112" i="49"/>
  <c r="K114" i="49"/>
  <c r="K117" i="49"/>
  <c r="K119" i="49"/>
  <c r="K120" i="49"/>
  <c r="K121" i="49"/>
  <c r="K122" i="49"/>
  <c r="K124" i="49"/>
  <c r="K126" i="49"/>
  <c r="K127" i="49"/>
  <c r="K128" i="49"/>
  <c r="K129" i="49"/>
  <c r="K130" i="49"/>
  <c r="K131" i="49"/>
  <c r="K134" i="49"/>
  <c r="K135" i="49"/>
  <c r="K137" i="49"/>
  <c r="K144" i="49"/>
  <c r="K149" i="49"/>
  <c r="K150" i="49"/>
  <c r="K151" i="49"/>
  <c r="K154" i="49"/>
  <c r="K155" i="49"/>
  <c r="K156" i="49"/>
  <c r="K158" i="49"/>
  <c r="K191" i="49"/>
  <c r="K202" i="49"/>
  <c r="K203" i="49"/>
  <c r="K224" i="49"/>
  <c r="K275" i="49"/>
  <c r="K276" i="49"/>
  <c r="K277" i="49"/>
  <c r="K278" i="49"/>
  <c r="K279" i="49"/>
  <c r="K280" i="49"/>
  <c r="K281" i="49"/>
  <c r="K282" i="49"/>
  <c r="K283" i="49"/>
  <c r="K284" i="49"/>
  <c r="K296" i="49"/>
  <c r="K305" i="49"/>
  <c r="K313" i="49"/>
  <c r="K7" i="49"/>
  <c r="K6" i="49"/>
  <c r="I5" i="49"/>
  <c r="A2" i="49"/>
  <c r="C315" i="49"/>
  <c r="A7" i="49"/>
  <c r="B7" i="49"/>
  <c r="A8" i="49"/>
  <c r="B8" i="49"/>
  <c r="A9" i="49"/>
  <c r="B9" i="49"/>
  <c r="A10" i="49"/>
  <c r="B10" i="49"/>
  <c r="A11" i="49"/>
  <c r="B11" i="49"/>
  <c r="A12" i="49"/>
  <c r="B12" i="49"/>
  <c r="A13" i="49"/>
  <c r="B13" i="49"/>
  <c r="A14" i="49"/>
  <c r="B14" i="49"/>
  <c r="A15" i="49"/>
  <c r="B15" i="49"/>
  <c r="A16" i="49"/>
  <c r="B16" i="49"/>
  <c r="A17" i="49"/>
  <c r="B17" i="49"/>
  <c r="A18" i="49"/>
  <c r="B18" i="49"/>
  <c r="A19" i="49"/>
  <c r="B19" i="49"/>
  <c r="A20" i="49"/>
  <c r="B20" i="49"/>
  <c r="A21" i="49"/>
  <c r="B21" i="49"/>
  <c r="A22" i="49"/>
  <c r="B22" i="49"/>
  <c r="A23" i="49"/>
  <c r="B23" i="49"/>
  <c r="A24" i="49"/>
  <c r="B24" i="49"/>
  <c r="A25" i="49"/>
  <c r="B25" i="49"/>
  <c r="A26" i="49"/>
  <c r="B26" i="49"/>
  <c r="A27" i="49"/>
  <c r="B27" i="49"/>
  <c r="A28" i="49"/>
  <c r="B28" i="49"/>
  <c r="A29" i="49"/>
  <c r="B29" i="49"/>
  <c r="A30" i="49"/>
  <c r="B30" i="49"/>
  <c r="A31" i="49"/>
  <c r="B31" i="49"/>
  <c r="A32" i="49"/>
  <c r="B32" i="49"/>
  <c r="A33" i="49"/>
  <c r="B33" i="49"/>
  <c r="A34" i="49"/>
  <c r="B34" i="49"/>
  <c r="A35" i="49"/>
  <c r="B35" i="49"/>
  <c r="A36" i="49"/>
  <c r="B36" i="49"/>
  <c r="A37" i="49"/>
  <c r="B37" i="49"/>
  <c r="A38" i="49"/>
  <c r="B38" i="49"/>
  <c r="A39" i="49"/>
  <c r="B39" i="49"/>
  <c r="A40" i="49"/>
  <c r="B40" i="49"/>
  <c r="A41" i="49"/>
  <c r="B41" i="49"/>
  <c r="A42" i="49"/>
  <c r="B42" i="49"/>
  <c r="A43" i="49"/>
  <c r="B43" i="49"/>
  <c r="A44" i="49"/>
  <c r="B44" i="49"/>
  <c r="A45" i="49"/>
  <c r="B45" i="49"/>
  <c r="A46" i="49"/>
  <c r="B46" i="49"/>
  <c r="A47" i="49"/>
  <c r="B47" i="49"/>
  <c r="A48" i="49"/>
  <c r="B48" i="49"/>
  <c r="A49" i="49"/>
  <c r="B49" i="49"/>
  <c r="A50" i="49"/>
  <c r="B50" i="49"/>
  <c r="A51" i="49"/>
  <c r="B51" i="49"/>
  <c r="A52" i="49"/>
  <c r="B52" i="49"/>
  <c r="A53" i="49"/>
  <c r="B53" i="49"/>
  <c r="A54" i="49"/>
  <c r="B54" i="49"/>
  <c r="A55" i="49"/>
  <c r="B55" i="49"/>
  <c r="A56" i="49"/>
  <c r="B56" i="49"/>
  <c r="A57" i="49"/>
  <c r="B57" i="49"/>
  <c r="A58" i="49"/>
  <c r="B58" i="49"/>
  <c r="A59" i="49"/>
  <c r="B59" i="49"/>
  <c r="A60" i="49"/>
  <c r="B60" i="49"/>
  <c r="A61" i="49"/>
  <c r="B61" i="49"/>
  <c r="A62" i="49"/>
  <c r="B62" i="49"/>
  <c r="A63" i="49"/>
  <c r="B63" i="49"/>
  <c r="A64" i="49"/>
  <c r="B64" i="49"/>
  <c r="A65" i="49"/>
  <c r="B65" i="49"/>
  <c r="A66" i="49"/>
  <c r="B66" i="49"/>
  <c r="A67" i="49"/>
  <c r="B67" i="49"/>
  <c r="A68" i="49"/>
  <c r="B68" i="49"/>
  <c r="A69" i="49"/>
  <c r="B69" i="49"/>
  <c r="A70" i="49"/>
  <c r="B70" i="49"/>
  <c r="A71" i="49"/>
  <c r="B71" i="49"/>
  <c r="A72" i="49"/>
  <c r="B72" i="49"/>
  <c r="A73" i="49"/>
  <c r="B73" i="49"/>
  <c r="A74" i="49"/>
  <c r="B74" i="49"/>
  <c r="A75" i="49"/>
  <c r="B75" i="49"/>
  <c r="A76" i="49"/>
  <c r="B76" i="49"/>
  <c r="A77" i="49"/>
  <c r="B77" i="49"/>
  <c r="A78" i="49"/>
  <c r="B78" i="49"/>
  <c r="A79" i="49"/>
  <c r="B79" i="49"/>
  <c r="A80" i="49"/>
  <c r="B80" i="49"/>
  <c r="A81" i="49"/>
  <c r="B81" i="49"/>
  <c r="A82" i="49"/>
  <c r="B82" i="49"/>
  <c r="A83" i="49"/>
  <c r="B83" i="49"/>
  <c r="A84" i="49"/>
  <c r="B84" i="49"/>
  <c r="A85" i="49"/>
  <c r="B85" i="49"/>
  <c r="A86" i="49"/>
  <c r="B86" i="49"/>
  <c r="A87" i="49"/>
  <c r="B87" i="49"/>
  <c r="A88" i="49"/>
  <c r="B88" i="49"/>
  <c r="A89" i="49"/>
  <c r="B89" i="49"/>
  <c r="A90" i="49"/>
  <c r="B90" i="49"/>
  <c r="A91" i="49"/>
  <c r="B91" i="49"/>
  <c r="A92" i="49"/>
  <c r="B92" i="49"/>
  <c r="A93" i="49"/>
  <c r="B93" i="49"/>
  <c r="A94" i="49"/>
  <c r="B94" i="49"/>
  <c r="A95" i="49"/>
  <c r="B95" i="49"/>
  <c r="A96" i="49"/>
  <c r="B96" i="49"/>
  <c r="A97" i="49"/>
  <c r="B97" i="49"/>
  <c r="A98" i="49"/>
  <c r="B98" i="49"/>
  <c r="A99" i="49"/>
  <c r="B99" i="49"/>
  <c r="A100" i="49"/>
  <c r="B100" i="49"/>
  <c r="A101" i="49"/>
  <c r="B101" i="49"/>
  <c r="A102" i="49"/>
  <c r="B102" i="49"/>
  <c r="A103" i="49"/>
  <c r="B103" i="49"/>
  <c r="A104" i="49"/>
  <c r="B104" i="49"/>
  <c r="A105" i="49"/>
  <c r="B105" i="49"/>
  <c r="A106" i="49"/>
  <c r="B106" i="49"/>
  <c r="A107" i="49"/>
  <c r="B107" i="49"/>
  <c r="A108" i="49"/>
  <c r="B108" i="49"/>
  <c r="A109" i="49"/>
  <c r="B109" i="49"/>
  <c r="A110" i="49"/>
  <c r="B110" i="49"/>
  <c r="A111" i="49"/>
  <c r="B111" i="49"/>
  <c r="A112" i="49"/>
  <c r="B112" i="49"/>
  <c r="A113" i="49"/>
  <c r="B113" i="49"/>
  <c r="A114" i="49"/>
  <c r="B114" i="49"/>
  <c r="A115" i="49"/>
  <c r="B115" i="49"/>
  <c r="A116" i="49"/>
  <c r="B116" i="49"/>
  <c r="A117" i="49"/>
  <c r="B117" i="49"/>
  <c r="A118" i="49"/>
  <c r="B118" i="49"/>
  <c r="A119" i="49"/>
  <c r="B119" i="49"/>
  <c r="A120" i="49"/>
  <c r="B120" i="49"/>
  <c r="A121" i="49"/>
  <c r="B121" i="49"/>
  <c r="A122" i="49"/>
  <c r="B122" i="49"/>
  <c r="A123" i="49"/>
  <c r="B123" i="49"/>
  <c r="A124" i="49"/>
  <c r="B124" i="49"/>
  <c r="A125" i="49"/>
  <c r="B125" i="49"/>
  <c r="A126" i="49"/>
  <c r="B126" i="49"/>
  <c r="A127" i="49"/>
  <c r="B127" i="49"/>
  <c r="A128" i="49"/>
  <c r="B128" i="49"/>
  <c r="A129" i="49"/>
  <c r="B129" i="49"/>
  <c r="A130" i="49"/>
  <c r="B130" i="49"/>
  <c r="A131" i="49"/>
  <c r="B131" i="49"/>
  <c r="A132" i="49"/>
  <c r="B132" i="49"/>
  <c r="A133" i="49"/>
  <c r="B133" i="49"/>
  <c r="A134" i="49"/>
  <c r="B134" i="49"/>
  <c r="A135" i="49"/>
  <c r="B135" i="49"/>
  <c r="A136" i="49"/>
  <c r="B136" i="49"/>
  <c r="A137" i="49"/>
  <c r="B137" i="49"/>
  <c r="A138" i="49"/>
  <c r="B138" i="49"/>
  <c r="A139" i="49"/>
  <c r="B139" i="49"/>
  <c r="A140" i="49"/>
  <c r="B140" i="49"/>
  <c r="A141" i="49"/>
  <c r="B141" i="49"/>
  <c r="A142" i="49"/>
  <c r="B142" i="49"/>
  <c r="A143" i="49"/>
  <c r="B143" i="49"/>
  <c r="A144" i="49"/>
  <c r="B144" i="49"/>
  <c r="A145" i="49"/>
  <c r="B145" i="49"/>
  <c r="A146" i="49"/>
  <c r="B146" i="49"/>
  <c r="A147" i="49"/>
  <c r="B147" i="49"/>
  <c r="A148" i="49"/>
  <c r="B148" i="49"/>
  <c r="A149" i="49"/>
  <c r="B149" i="49"/>
  <c r="A150" i="49"/>
  <c r="B150" i="49"/>
  <c r="A151" i="49"/>
  <c r="B151" i="49"/>
  <c r="A152" i="49"/>
  <c r="B152" i="49"/>
  <c r="A153" i="49"/>
  <c r="B153" i="49"/>
  <c r="A154" i="49"/>
  <c r="B154" i="49"/>
  <c r="A155" i="49"/>
  <c r="B155" i="49"/>
  <c r="A156" i="49"/>
  <c r="B156" i="49"/>
  <c r="A157" i="49"/>
  <c r="B157" i="49"/>
  <c r="A158" i="49"/>
  <c r="B158" i="49"/>
  <c r="A159" i="49"/>
  <c r="B159" i="49"/>
  <c r="A160" i="49"/>
  <c r="B160" i="49"/>
  <c r="A161" i="49"/>
  <c r="B161" i="49"/>
  <c r="A162" i="49"/>
  <c r="B162" i="49"/>
  <c r="A163" i="49"/>
  <c r="B163" i="49"/>
  <c r="A164" i="49"/>
  <c r="B164" i="49"/>
  <c r="A165" i="49"/>
  <c r="B165" i="49"/>
  <c r="A166" i="49"/>
  <c r="B166" i="49"/>
  <c r="A167" i="49"/>
  <c r="B167" i="49"/>
  <c r="A168" i="49"/>
  <c r="B168" i="49"/>
  <c r="A169" i="49"/>
  <c r="B169" i="49"/>
  <c r="A171" i="49"/>
  <c r="B171" i="49"/>
  <c r="A172" i="49"/>
  <c r="B172" i="49"/>
  <c r="A173" i="49"/>
  <c r="B173" i="49"/>
  <c r="A174" i="49"/>
  <c r="B174" i="49"/>
  <c r="A175" i="49"/>
  <c r="B175" i="49"/>
  <c r="A176" i="49"/>
  <c r="B176" i="49"/>
  <c r="A177" i="49"/>
  <c r="B177" i="49"/>
  <c r="A178" i="49"/>
  <c r="B178" i="49"/>
  <c r="A179" i="49"/>
  <c r="B179" i="49"/>
  <c r="A180" i="49"/>
  <c r="B180" i="49"/>
  <c r="A181" i="49"/>
  <c r="B181" i="49"/>
  <c r="A182" i="49"/>
  <c r="B182" i="49"/>
  <c r="A183" i="49"/>
  <c r="B183" i="49"/>
  <c r="A184" i="49"/>
  <c r="B184" i="49"/>
  <c r="A185" i="49"/>
  <c r="B185" i="49"/>
  <c r="A186" i="49"/>
  <c r="B186" i="49"/>
  <c r="A187" i="49"/>
  <c r="B187" i="49"/>
  <c r="A188" i="49"/>
  <c r="B188" i="49"/>
  <c r="A189" i="49"/>
  <c r="B189" i="49"/>
  <c r="A190" i="49"/>
  <c r="B190" i="49"/>
  <c r="A191" i="49"/>
  <c r="B191" i="49"/>
  <c r="A192" i="49"/>
  <c r="B192" i="49"/>
  <c r="A193" i="49"/>
  <c r="B193" i="49"/>
  <c r="A194" i="49"/>
  <c r="B194" i="49"/>
  <c r="A195" i="49"/>
  <c r="B195" i="49"/>
  <c r="A196" i="49"/>
  <c r="B196" i="49"/>
  <c r="A197" i="49"/>
  <c r="B197" i="49"/>
  <c r="A198" i="49"/>
  <c r="B198" i="49"/>
  <c r="A199" i="49"/>
  <c r="B199" i="49"/>
  <c r="A200" i="49"/>
  <c r="B200" i="49"/>
  <c r="A201" i="49"/>
  <c r="B201" i="49"/>
  <c r="A202" i="49"/>
  <c r="B202" i="49"/>
  <c r="A203" i="49"/>
  <c r="B203" i="49"/>
  <c r="A204" i="49"/>
  <c r="B204" i="49"/>
  <c r="A205" i="49"/>
  <c r="B205" i="49"/>
  <c r="A206" i="49"/>
  <c r="B206" i="49"/>
  <c r="A207" i="49"/>
  <c r="B207" i="49"/>
  <c r="A208" i="49"/>
  <c r="B208" i="49"/>
  <c r="A209" i="49"/>
  <c r="B209" i="49"/>
  <c r="A210" i="49"/>
  <c r="B210" i="49"/>
  <c r="A211" i="49"/>
  <c r="B211" i="49"/>
  <c r="A212" i="49"/>
  <c r="B212" i="49"/>
  <c r="A213" i="49"/>
  <c r="B213" i="49"/>
  <c r="A214" i="49"/>
  <c r="B214" i="49"/>
  <c r="A215" i="49"/>
  <c r="B215" i="49"/>
  <c r="A216" i="49"/>
  <c r="B216" i="49"/>
  <c r="A217" i="49"/>
  <c r="B217" i="49"/>
  <c r="A218" i="49"/>
  <c r="B218" i="49"/>
  <c r="A220" i="49"/>
  <c r="B220" i="49"/>
  <c r="A221" i="49"/>
  <c r="B221" i="49"/>
  <c r="A222" i="49"/>
  <c r="B222" i="49"/>
  <c r="A223" i="49"/>
  <c r="B223" i="49"/>
  <c r="A224" i="49"/>
  <c r="B224" i="49"/>
  <c r="A225" i="49"/>
  <c r="B225" i="49"/>
  <c r="A226" i="49"/>
  <c r="B226" i="49"/>
  <c r="A227" i="49"/>
  <c r="B227" i="49"/>
  <c r="A228" i="49"/>
  <c r="B228" i="49"/>
  <c r="A229" i="49"/>
  <c r="B229" i="49"/>
  <c r="A230" i="49"/>
  <c r="B230" i="49"/>
  <c r="A231" i="49"/>
  <c r="B231" i="49"/>
  <c r="A232" i="49"/>
  <c r="B232" i="49"/>
  <c r="A233" i="49"/>
  <c r="B233" i="49"/>
  <c r="A234" i="49"/>
  <c r="B234" i="49"/>
  <c r="A235" i="49"/>
  <c r="B235" i="49"/>
  <c r="A236" i="49"/>
  <c r="B236" i="49"/>
  <c r="A237" i="49"/>
  <c r="B237" i="49"/>
  <c r="A238" i="49"/>
  <c r="B238" i="49"/>
  <c r="A239" i="49"/>
  <c r="B239" i="49"/>
  <c r="A240" i="49"/>
  <c r="B240" i="49"/>
  <c r="A241" i="49"/>
  <c r="B241" i="49"/>
  <c r="A242" i="49"/>
  <c r="B242" i="49"/>
  <c r="B243" i="49"/>
  <c r="B245" i="49"/>
  <c r="B246" i="49"/>
  <c r="B247" i="49"/>
  <c r="A248" i="49"/>
  <c r="B248" i="49"/>
  <c r="A249" i="49"/>
  <c r="B249" i="49"/>
  <c r="A250" i="49"/>
  <c r="B250" i="49"/>
  <c r="A251" i="49"/>
  <c r="B251" i="49"/>
  <c r="A252" i="49"/>
  <c r="B252" i="49"/>
  <c r="A253" i="49"/>
  <c r="B253" i="49"/>
  <c r="A254" i="49"/>
  <c r="B254" i="49"/>
  <c r="A255" i="49"/>
  <c r="B255" i="49"/>
  <c r="A256" i="49"/>
  <c r="B256" i="49"/>
  <c r="A257" i="49"/>
  <c r="B257" i="49"/>
  <c r="A258" i="49"/>
  <c r="B258" i="49"/>
  <c r="A259" i="49"/>
  <c r="B259" i="49"/>
  <c r="A260" i="49"/>
  <c r="B260" i="49"/>
  <c r="A261" i="49"/>
  <c r="B261" i="49"/>
  <c r="A262" i="49"/>
  <c r="B262" i="49"/>
  <c r="A263" i="49"/>
  <c r="B263" i="49"/>
  <c r="A264" i="49"/>
  <c r="B264" i="49"/>
  <c r="A265" i="49"/>
  <c r="B265" i="49"/>
  <c r="A266" i="49"/>
  <c r="B266" i="49"/>
  <c r="A267" i="49"/>
  <c r="B267" i="49"/>
  <c r="A268" i="49"/>
  <c r="B268" i="49"/>
  <c r="A269" i="49"/>
  <c r="B269" i="49"/>
  <c r="A270" i="49"/>
  <c r="B270" i="49"/>
  <c r="A271" i="49"/>
  <c r="B271" i="49"/>
  <c r="A272" i="49"/>
  <c r="B272" i="49"/>
  <c r="A273" i="49"/>
  <c r="B273" i="49"/>
  <c r="A274" i="49"/>
  <c r="B274" i="49"/>
  <c r="A275" i="49"/>
  <c r="B275" i="49"/>
  <c r="A276" i="49"/>
  <c r="B276" i="49"/>
  <c r="A277" i="49"/>
  <c r="B277" i="49"/>
  <c r="A278" i="49"/>
  <c r="B278" i="49"/>
  <c r="A279" i="49"/>
  <c r="B279" i="49"/>
  <c r="A280" i="49"/>
  <c r="B280" i="49"/>
  <c r="A281" i="49"/>
  <c r="B281" i="49"/>
  <c r="A282" i="49"/>
  <c r="B282" i="49"/>
  <c r="A283" i="49"/>
  <c r="B283" i="49"/>
  <c r="A284" i="49"/>
  <c r="B284" i="49"/>
  <c r="A285" i="49"/>
  <c r="B285" i="49"/>
  <c r="A286" i="49"/>
  <c r="B286" i="49"/>
  <c r="A287" i="49"/>
  <c r="B287" i="49"/>
  <c r="A288" i="49"/>
  <c r="B288" i="49"/>
  <c r="A289" i="49"/>
  <c r="B289" i="49"/>
  <c r="A290" i="49"/>
  <c r="B290" i="49"/>
  <c r="A291" i="49"/>
  <c r="B291" i="49"/>
  <c r="A292" i="49"/>
  <c r="B292" i="49"/>
  <c r="A293" i="49"/>
  <c r="B293" i="49"/>
  <c r="A294" i="49"/>
  <c r="B294" i="49"/>
  <c r="A295" i="49"/>
  <c r="B295" i="49"/>
  <c r="A296" i="49"/>
  <c r="B296" i="49"/>
  <c r="A297" i="49"/>
  <c r="B297" i="49"/>
  <c r="A298" i="49"/>
  <c r="B298" i="49"/>
  <c r="A299" i="49"/>
  <c r="B299" i="49"/>
  <c r="A300" i="49"/>
  <c r="B300" i="49"/>
  <c r="A301" i="49"/>
  <c r="B301" i="49"/>
  <c r="A302" i="49"/>
  <c r="B302" i="49"/>
  <c r="A303" i="49"/>
  <c r="B303" i="49"/>
  <c r="A304" i="49"/>
  <c r="B304" i="49"/>
  <c r="A305" i="49"/>
  <c r="B305" i="49"/>
  <c r="A306" i="49"/>
  <c r="B306" i="49"/>
  <c r="A307" i="49"/>
  <c r="B307" i="49"/>
  <c r="A308" i="49"/>
  <c r="B308" i="49"/>
  <c r="A309" i="49"/>
  <c r="B309" i="49"/>
  <c r="A310" i="49"/>
  <c r="B310" i="49"/>
  <c r="A311" i="49"/>
  <c r="B311" i="49"/>
  <c r="A312" i="49"/>
  <c r="B312" i="49"/>
  <c r="A313" i="49"/>
  <c r="B313" i="49"/>
  <c r="A314" i="49"/>
  <c r="B314" i="49"/>
  <c r="B6" i="49"/>
  <c r="A6" i="49"/>
  <c r="I170" i="49" l="1"/>
  <c r="I244" i="49"/>
  <c r="I219" i="49"/>
  <c r="B315" i="49"/>
  <c r="B7" i="48"/>
  <c r="B8" i="48" l="1"/>
  <c r="B9" i="48"/>
  <c r="F8" i="48"/>
  <c r="C8" i="34"/>
  <c r="U6" i="19" l="1"/>
  <c r="C29" i="40" l="1"/>
  <c r="A2" i="25"/>
  <c r="J5" i="13"/>
  <c r="A7" i="13"/>
  <c r="B7" i="13"/>
  <c r="A8" i="13"/>
  <c r="B8" i="13"/>
  <c r="A9" i="13"/>
  <c r="B9" i="13"/>
  <c r="A10" i="13"/>
  <c r="B10" i="13"/>
  <c r="A11" i="13"/>
  <c r="B11" i="13"/>
  <c r="A12" i="13"/>
  <c r="B12" i="13"/>
  <c r="A13" i="13"/>
  <c r="B13" i="13"/>
  <c r="A14" i="13"/>
  <c r="B14" i="13"/>
  <c r="A15" i="13"/>
  <c r="B15" i="13"/>
  <c r="A16" i="13"/>
  <c r="B16" i="13"/>
  <c r="A17" i="13"/>
  <c r="B17" i="13"/>
  <c r="A18" i="13"/>
  <c r="B18" i="13"/>
  <c r="A19" i="13"/>
  <c r="B19" i="13"/>
  <c r="A20" i="13"/>
  <c r="B20" i="13"/>
  <c r="A21" i="13"/>
  <c r="B21" i="13"/>
  <c r="A22" i="13"/>
  <c r="B22" i="13"/>
  <c r="A23" i="13"/>
  <c r="B23" i="13"/>
  <c r="A24" i="13"/>
  <c r="B24" i="13"/>
  <c r="A25" i="13"/>
  <c r="B25" i="13"/>
  <c r="A26" i="13"/>
  <c r="B26" i="13"/>
  <c r="A27" i="13"/>
  <c r="B27" i="13"/>
  <c r="A28" i="13"/>
  <c r="B28" i="13"/>
  <c r="A29" i="13"/>
  <c r="B29" i="13"/>
  <c r="A30" i="13"/>
  <c r="B30" i="13"/>
  <c r="A31" i="13"/>
  <c r="B31" i="13"/>
  <c r="A32" i="13"/>
  <c r="B32" i="13"/>
  <c r="A33" i="13"/>
  <c r="B33" i="13"/>
  <c r="A34" i="13"/>
  <c r="B34" i="13"/>
  <c r="A35" i="13"/>
  <c r="B35" i="13"/>
  <c r="A36" i="13"/>
  <c r="B36" i="13"/>
  <c r="A37" i="13"/>
  <c r="B37" i="13"/>
  <c r="A38" i="13"/>
  <c r="B38" i="13"/>
  <c r="A39" i="13"/>
  <c r="B39" i="13"/>
  <c r="A40" i="13"/>
  <c r="B40" i="13"/>
  <c r="A41" i="13"/>
  <c r="B41" i="13"/>
  <c r="A42" i="13"/>
  <c r="B42" i="13"/>
  <c r="A43" i="13"/>
  <c r="B43" i="13"/>
  <c r="A44" i="13"/>
  <c r="B44" i="13"/>
  <c r="A45" i="13"/>
  <c r="B45" i="13"/>
  <c r="A46" i="13"/>
  <c r="B46" i="13"/>
  <c r="A47" i="13"/>
  <c r="B47" i="13"/>
  <c r="A48" i="13"/>
  <c r="B48" i="13"/>
  <c r="A49" i="13"/>
  <c r="B49" i="13"/>
  <c r="A50" i="13"/>
  <c r="B50" i="13"/>
  <c r="A51" i="13"/>
  <c r="B51" i="13"/>
  <c r="A52" i="13"/>
  <c r="B52" i="13"/>
  <c r="A53" i="13"/>
  <c r="B53" i="13"/>
  <c r="A54" i="13"/>
  <c r="B54" i="13"/>
  <c r="A55" i="13"/>
  <c r="B55" i="13"/>
  <c r="A56" i="13"/>
  <c r="B56" i="13"/>
  <c r="A57" i="13"/>
  <c r="B57" i="13"/>
  <c r="A58" i="13"/>
  <c r="B58" i="13"/>
  <c r="A59" i="13"/>
  <c r="B59" i="13"/>
  <c r="A60" i="13"/>
  <c r="B60" i="13"/>
  <c r="A61" i="13"/>
  <c r="B61" i="13"/>
  <c r="A62" i="13"/>
  <c r="B62" i="13"/>
  <c r="A63" i="13"/>
  <c r="B63" i="13"/>
  <c r="A64" i="13"/>
  <c r="B64" i="13"/>
  <c r="A65" i="13"/>
  <c r="B65" i="13"/>
  <c r="A66" i="13"/>
  <c r="B66" i="13"/>
  <c r="A67" i="13"/>
  <c r="B67" i="13"/>
  <c r="A68" i="13"/>
  <c r="B68" i="13"/>
  <c r="A69" i="13"/>
  <c r="B69" i="13"/>
  <c r="A70" i="13"/>
  <c r="B70" i="13"/>
  <c r="A71" i="13"/>
  <c r="B71" i="13"/>
  <c r="A72" i="13"/>
  <c r="B72" i="13"/>
  <c r="A73" i="13"/>
  <c r="B73" i="13"/>
  <c r="A74" i="13"/>
  <c r="B74" i="13"/>
  <c r="A75" i="13"/>
  <c r="B75" i="13"/>
  <c r="A76" i="13"/>
  <c r="B76" i="13"/>
  <c r="A77" i="13"/>
  <c r="B77" i="13"/>
  <c r="A78" i="13"/>
  <c r="B78" i="13"/>
  <c r="A79" i="13"/>
  <c r="B79" i="13"/>
  <c r="A80" i="13"/>
  <c r="B80" i="13"/>
  <c r="A81" i="13"/>
  <c r="B81" i="13"/>
  <c r="A82" i="13"/>
  <c r="B82" i="13"/>
  <c r="A83" i="13"/>
  <c r="B83" i="13"/>
  <c r="A84" i="13"/>
  <c r="B84" i="13"/>
  <c r="A85" i="13"/>
  <c r="B85" i="13"/>
  <c r="A86" i="13"/>
  <c r="B86" i="13"/>
  <c r="A87" i="13"/>
  <c r="B87" i="13"/>
  <c r="A88" i="13"/>
  <c r="B88" i="13"/>
  <c r="A89" i="13"/>
  <c r="B89" i="13"/>
  <c r="A90" i="13"/>
  <c r="B90" i="13"/>
  <c r="A91" i="13"/>
  <c r="B91" i="13"/>
  <c r="A92" i="13"/>
  <c r="B92" i="13"/>
  <c r="A93" i="13"/>
  <c r="B93" i="13"/>
  <c r="A94" i="13"/>
  <c r="B94" i="13"/>
  <c r="A95" i="13"/>
  <c r="B95" i="13"/>
  <c r="A96" i="13"/>
  <c r="B96" i="13"/>
  <c r="A97" i="13"/>
  <c r="B97" i="13"/>
  <c r="A98" i="13"/>
  <c r="B98" i="13"/>
  <c r="A99" i="13"/>
  <c r="B99" i="13"/>
  <c r="A100" i="13"/>
  <c r="B100" i="13"/>
  <c r="A101" i="13"/>
  <c r="B101" i="13"/>
  <c r="A102" i="13"/>
  <c r="B102" i="13"/>
  <c r="A103" i="13"/>
  <c r="B103" i="13"/>
  <c r="A104" i="13"/>
  <c r="B104" i="13"/>
  <c r="A105" i="13"/>
  <c r="B105" i="13"/>
  <c r="A106" i="13"/>
  <c r="B106" i="13"/>
  <c r="A107" i="13"/>
  <c r="B107" i="13"/>
  <c r="A108" i="13"/>
  <c r="B108" i="13"/>
  <c r="A109" i="13"/>
  <c r="B109" i="13"/>
  <c r="A110" i="13"/>
  <c r="B110" i="13"/>
  <c r="A111" i="13"/>
  <c r="B111" i="13"/>
  <c r="A112" i="13"/>
  <c r="B112" i="13"/>
  <c r="A113" i="13"/>
  <c r="B113" i="13"/>
  <c r="A114" i="13"/>
  <c r="B114" i="13"/>
  <c r="A115" i="13"/>
  <c r="B115" i="13"/>
  <c r="A116" i="13"/>
  <c r="B116" i="13"/>
  <c r="A117" i="13"/>
  <c r="B117" i="13"/>
  <c r="A118" i="13"/>
  <c r="B118" i="13"/>
  <c r="A119" i="13"/>
  <c r="B119" i="13"/>
  <c r="A120" i="13"/>
  <c r="B120" i="13"/>
  <c r="A121" i="13"/>
  <c r="B121" i="13"/>
  <c r="A122" i="13"/>
  <c r="B122" i="13"/>
  <c r="A123" i="13"/>
  <c r="B123" i="13"/>
  <c r="A124" i="13"/>
  <c r="B124" i="13"/>
  <c r="A125" i="13"/>
  <c r="B125" i="13"/>
  <c r="A126" i="13"/>
  <c r="B126" i="13"/>
  <c r="A127" i="13"/>
  <c r="B127" i="13"/>
  <c r="A128" i="13"/>
  <c r="B128" i="13"/>
  <c r="A129" i="13"/>
  <c r="B129" i="13"/>
  <c r="A130" i="13"/>
  <c r="B130" i="13"/>
  <c r="A131" i="13"/>
  <c r="B131" i="13"/>
  <c r="A132" i="13"/>
  <c r="B132" i="13"/>
  <c r="A133" i="13"/>
  <c r="B133" i="13"/>
  <c r="A134" i="13"/>
  <c r="B134" i="13"/>
  <c r="A135" i="13"/>
  <c r="B135" i="13"/>
  <c r="A136" i="13"/>
  <c r="B136" i="13"/>
  <c r="A137" i="13"/>
  <c r="B137" i="13"/>
  <c r="A138" i="13"/>
  <c r="B138" i="13"/>
  <c r="A139" i="13"/>
  <c r="B139" i="13"/>
  <c r="A140" i="13"/>
  <c r="B140" i="13"/>
  <c r="A141" i="13"/>
  <c r="B141" i="13"/>
  <c r="A142" i="13"/>
  <c r="B142" i="13"/>
  <c r="A143" i="13"/>
  <c r="B143" i="13"/>
  <c r="A144" i="13"/>
  <c r="B144" i="13"/>
  <c r="A145" i="13"/>
  <c r="B145" i="13"/>
  <c r="A146" i="13"/>
  <c r="B146" i="13"/>
  <c r="A147" i="13"/>
  <c r="B147" i="13"/>
  <c r="A148" i="13"/>
  <c r="B148" i="13"/>
  <c r="A149" i="13"/>
  <c r="B149" i="13"/>
  <c r="A150" i="13"/>
  <c r="B150" i="13"/>
  <c r="A151" i="13"/>
  <c r="B151" i="13"/>
  <c r="A152" i="13"/>
  <c r="B152" i="13"/>
  <c r="A153" i="13"/>
  <c r="B153" i="13"/>
  <c r="A154" i="13"/>
  <c r="B154" i="13"/>
  <c r="A155" i="13"/>
  <c r="B155" i="13"/>
  <c r="A156" i="13"/>
  <c r="B156" i="13"/>
  <c r="A157" i="13"/>
  <c r="B157" i="13"/>
  <c r="A158" i="13"/>
  <c r="B158" i="13"/>
  <c r="A159" i="13"/>
  <c r="B159" i="13"/>
  <c r="A160" i="13"/>
  <c r="B160" i="13"/>
  <c r="A161" i="13"/>
  <c r="B161" i="13"/>
  <c r="A162" i="13"/>
  <c r="B162" i="13"/>
  <c r="A163" i="13"/>
  <c r="B163" i="13"/>
  <c r="A164" i="13"/>
  <c r="B164" i="13"/>
  <c r="A165" i="13"/>
  <c r="B165" i="13"/>
  <c r="A166" i="13"/>
  <c r="B166" i="13"/>
  <c r="A167" i="13"/>
  <c r="B167" i="13"/>
  <c r="A168" i="13"/>
  <c r="B168" i="13"/>
  <c r="A169" i="13"/>
  <c r="B169" i="13"/>
  <c r="A171" i="13"/>
  <c r="B171" i="13"/>
  <c r="A172" i="13"/>
  <c r="B172" i="13"/>
  <c r="A173" i="13"/>
  <c r="B173" i="13"/>
  <c r="A174" i="13"/>
  <c r="B174" i="13"/>
  <c r="A175" i="13"/>
  <c r="B175" i="13"/>
  <c r="A176" i="13"/>
  <c r="B176" i="13"/>
  <c r="A177" i="13"/>
  <c r="B177" i="13"/>
  <c r="A178" i="13"/>
  <c r="B178" i="13"/>
  <c r="A179" i="13"/>
  <c r="B179" i="13"/>
  <c r="A180" i="13"/>
  <c r="B180" i="13"/>
  <c r="A181" i="13"/>
  <c r="B181" i="13"/>
  <c r="A182" i="13"/>
  <c r="B182" i="13"/>
  <c r="A183" i="13"/>
  <c r="B183" i="13"/>
  <c r="A184" i="13"/>
  <c r="B184" i="13"/>
  <c r="A185" i="13"/>
  <c r="B185" i="13"/>
  <c r="A186" i="13"/>
  <c r="B186" i="13"/>
  <c r="A187" i="13"/>
  <c r="B187" i="13"/>
  <c r="A188" i="13"/>
  <c r="B188" i="13"/>
  <c r="A189" i="13"/>
  <c r="B189" i="13"/>
  <c r="A190" i="13"/>
  <c r="B190" i="13"/>
  <c r="A191" i="13"/>
  <c r="B191" i="13"/>
  <c r="A192" i="13"/>
  <c r="B192" i="13"/>
  <c r="A193" i="13"/>
  <c r="B193" i="13"/>
  <c r="A194" i="13"/>
  <c r="B194" i="13"/>
  <c r="A195" i="13"/>
  <c r="B195" i="13"/>
  <c r="A196" i="13"/>
  <c r="B196" i="13"/>
  <c r="A197" i="13"/>
  <c r="B197" i="13"/>
  <c r="A198" i="13"/>
  <c r="B198" i="13"/>
  <c r="A199" i="13"/>
  <c r="B199" i="13"/>
  <c r="A200" i="13"/>
  <c r="B200" i="13"/>
  <c r="A201" i="13"/>
  <c r="B201" i="13"/>
  <c r="A202" i="13"/>
  <c r="B202" i="13"/>
  <c r="A203" i="13"/>
  <c r="B203" i="13"/>
  <c r="A204" i="13"/>
  <c r="B204" i="13"/>
  <c r="A205" i="13"/>
  <c r="B205" i="13"/>
  <c r="A206" i="13"/>
  <c r="B206" i="13"/>
  <c r="A207" i="13"/>
  <c r="B207" i="13"/>
  <c r="A208" i="13"/>
  <c r="B208" i="13"/>
  <c r="A209" i="13"/>
  <c r="B209" i="13"/>
  <c r="A210" i="13"/>
  <c r="B210" i="13"/>
  <c r="A211" i="13"/>
  <c r="B211" i="13"/>
  <c r="A212" i="13"/>
  <c r="B212" i="13"/>
  <c r="A213" i="13"/>
  <c r="B213" i="13"/>
  <c r="A214" i="13"/>
  <c r="B214" i="13"/>
  <c r="A215" i="13"/>
  <c r="B215" i="13"/>
  <c r="A216" i="13"/>
  <c r="B216" i="13"/>
  <c r="A217" i="13"/>
  <c r="B217" i="13"/>
  <c r="A218" i="13"/>
  <c r="B218" i="13"/>
  <c r="A220" i="13"/>
  <c r="B220" i="13"/>
  <c r="A221" i="13"/>
  <c r="B221" i="13"/>
  <c r="A222" i="13"/>
  <c r="B222" i="13"/>
  <c r="A223" i="13"/>
  <c r="B223" i="13"/>
  <c r="A224" i="13"/>
  <c r="B224" i="13"/>
  <c r="A225" i="13"/>
  <c r="B225" i="13"/>
  <c r="A226" i="13"/>
  <c r="B226" i="13"/>
  <c r="A227" i="13"/>
  <c r="B227" i="13"/>
  <c r="A228" i="13"/>
  <c r="B228" i="13"/>
  <c r="A229" i="13"/>
  <c r="B229" i="13"/>
  <c r="A230" i="13"/>
  <c r="B230" i="13"/>
  <c r="A231" i="13"/>
  <c r="B231" i="13"/>
  <c r="A232" i="13"/>
  <c r="B232" i="13"/>
  <c r="A233" i="13"/>
  <c r="B233" i="13"/>
  <c r="A234" i="13"/>
  <c r="B234" i="13"/>
  <c r="A235" i="13"/>
  <c r="B235" i="13"/>
  <c r="A236" i="13"/>
  <c r="B236" i="13"/>
  <c r="A237" i="13"/>
  <c r="B237" i="13"/>
  <c r="A238" i="13"/>
  <c r="B238" i="13"/>
  <c r="A239" i="13"/>
  <c r="B239" i="13"/>
  <c r="A240" i="13"/>
  <c r="B240" i="13"/>
  <c r="A241" i="13"/>
  <c r="B241" i="13"/>
  <c r="A242" i="13"/>
  <c r="B242" i="13"/>
  <c r="A243" i="13"/>
  <c r="B243" i="13"/>
  <c r="A245" i="13"/>
  <c r="B245" i="13"/>
  <c r="A246" i="13"/>
  <c r="B246" i="13"/>
  <c r="A247" i="13"/>
  <c r="B247" i="13"/>
  <c r="A248" i="13"/>
  <c r="B248" i="13"/>
  <c r="A249" i="13"/>
  <c r="B249" i="13"/>
  <c r="A250" i="13"/>
  <c r="B250" i="13"/>
  <c r="A251" i="13"/>
  <c r="B251" i="13"/>
  <c r="A252" i="13"/>
  <c r="B252" i="13"/>
  <c r="A253" i="13"/>
  <c r="B253" i="13"/>
  <c r="A254" i="13"/>
  <c r="B254" i="13"/>
  <c r="A255" i="13"/>
  <c r="B255" i="13"/>
  <c r="A256" i="13"/>
  <c r="B256" i="13"/>
  <c r="A257" i="13"/>
  <c r="B257" i="13"/>
  <c r="A258" i="13"/>
  <c r="B258" i="13"/>
  <c r="A259" i="13"/>
  <c r="B259" i="13"/>
  <c r="A260" i="13"/>
  <c r="B260" i="13"/>
  <c r="A261" i="13"/>
  <c r="B261" i="13"/>
  <c r="A262" i="13"/>
  <c r="B262" i="13"/>
  <c r="A263" i="13"/>
  <c r="B263" i="13"/>
  <c r="A264" i="13"/>
  <c r="B264" i="13"/>
  <c r="A265" i="13"/>
  <c r="B265" i="13"/>
  <c r="A266" i="13"/>
  <c r="B266" i="13"/>
  <c r="A267" i="13"/>
  <c r="B267" i="13"/>
  <c r="A268" i="13"/>
  <c r="B268" i="13"/>
  <c r="A269" i="13"/>
  <c r="B269" i="13"/>
  <c r="A270" i="13"/>
  <c r="B270" i="13"/>
  <c r="A271" i="13"/>
  <c r="B271" i="13"/>
  <c r="A272" i="13"/>
  <c r="B272" i="13"/>
  <c r="A273" i="13"/>
  <c r="B273" i="13"/>
  <c r="A274" i="13"/>
  <c r="B274" i="13"/>
  <c r="A275" i="13"/>
  <c r="B275" i="13"/>
  <c r="A276" i="13"/>
  <c r="B276" i="13"/>
  <c r="A277" i="13"/>
  <c r="B277" i="13"/>
  <c r="A278" i="13"/>
  <c r="B278" i="13"/>
  <c r="A279" i="13"/>
  <c r="B279" i="13"/>
  <c r="A280" i="13"/>
  <c r="B280" i="13"/>
  <c r="A281" i="13"/>
  <c r="B281" i="13"/>
  <c r="A282" i="13"/>
  <c r="B282" i="13"/>
  <c r="A283" i="13"/>
  <c r="B283" i="13"/>
  <c r="A284" i="13"/>
  <c r="B284" i="13"/>
  <c r="A285" i="13"/>
  <c r="B285" i="13"/>
  <c r="A286" i="13"/>
  <c r="B286" i="13"/>
  <c r="A287" i="13"/>
  <c r="B287" i="13"/>
  <c r="A288" i="13"/>
  <c r="B288" i="13"/>
  <c r="A289" i="13"/>
  <c r="B289" i="13"/>
  <c r="A290" i="13"/>
  <c r="B290" i="13"/>
  <c r="A291" i="13"/>
  <c r="B291" i="13"/>
  <c r="A292" i="13"/>
  <c r="B292" i="13"/>
  <c r="A293" i="13"/>
  <c r="B293" i="13"/>
  <c r="A294" i="13"/>
  <c r="B294" i="13"/>
  <c r="A295" i="13"/>
  <c r="B295" i="13"/>
  <c r="A296" i="13"/>
  <c r="B296" i="13"/>
  <c r="A297" i="13"/>
  <c r="B297" i="13"/>
  <c r="A298" i="13"/>
  <c r="B298" i="13"/>
  <c r="A299" i="13"/>
  <c r="B299" i="13"/>
  <c r="A300" i="13"/>
  <c r="B300" i="13"/>
  <c r="A301" i="13"/>
  <c r="B301" i="13"/>
  <c r="A302" i="13"/>
  <c r="B302" i="13"/>
  <c r="A303" i="13"/>
  <c r="B303" i="13"/>
  <c r="A304" i="13"/>
  <c r="B304" i="13"/>
  <c r="A305" i="13"/>
  <c r="B305" i="13"/>
  <c r="A306" i="13"/>
  <c r="B306" i="13"/>
  <c r="A307" i="13"/>
  <c r="B307" i="13"/>
  <c r="A308" i="13"/>
  <c r="B308" i="13"/>
  <c r="A309" i="13"/>
  <c r="B309" i="13"/>
  <c r="A310" i="13"/>
  <c r="B310" i="13"/>
  <c r="A311" i="13"/>
  <c r="B311" i="13"/>
  <c r="A312" i="13"/>
  <c r="B312" i="13"/>
  <c r="A313" i="13"/>
  <c r="B313" i="13"/>
  <c r="A314" i="13"/>
  <c r="B314" i="13"/>
  <c r="B6" i="13"/>
  <c r="A6" i="13"/>
  <c r="B5" i="39"/>
  <c r="A5" i="39"/>
  <c r="B5" i="12"/>
  <c r="A5" i="12"/>
  <c r="P314" i="11"/>
  <c r="I314" i="11"/>
  <c r="H314" i="11"/>
  <c r="G314" i="11"/>
  <c r="D16" i="34"/>
  <c r="B16" i="34"/>
  <c r="A16" i="34"/>
  <c r="C5" i="37"/>
  <c r="B5" i="37"/>
  <c r="A5" i="37"/>
  <c r="C8" i="36"/>
  <c r="B8" i="36"/>
  <c r="A8" i="36"/>
  <c r="C11" i="9"/>
  <c r="C320" i="9" s="1"/>
  <c r="B11" i="9"/>
  <c r="A11" i="9"/>
  <c r="D325" i="34" l="1"/>
  <c r="B314" i="37"/>
  <c r="C314" i="37"/>
  <c r="C317" i="36"/>
  <c r="B317" i="36"/>
  <c r="B314" i="12"/>
  <c r="B314" i="39"/>
  <c r="B315" i="13"/>
  <c r="B325" i="34"/>
  <c r="B320" i="9"/>
  <c r="T183" i="13" l="1"/>
  <c r="T155" i="13"/>
  <c r="T224" i="13"/>
  <c r="T33" i="13"/>
  <c r="T97" i="13"/>
  <c r="T23" i="13"/>
  <c r="T39" i="13"/>
  <c r="T55" i="13"/>
  <c r="T63" i="13"/>
  <c r="T101" i="13"/>
  <c r="T103" i="13"/>
  <c r="T107" i="13"/>
  <c r="T109" i="13"/>
  <c r="T117" i="13"/>
  <c r="T123" i="13"/>
  <c r="T125" i="13"/>
  <c r="T135" i="13"/>
  <c r="T137" i="13"/>
  <c r="T143" i="13"/>
  <c r="T145" i="13"/>
  <c r="T147" i="13"/>
  <c r="T151" i="13"/>
  <c r="T153" i="13"/>
  <c r="T159" i="13"/>
  <c r="T161" i="13"/>
  <c r="T163" i="13"/>
  <c r="T172" i="13"/>
  <c r="T188" i="13"/>
  <c r="T192" i="13"/>
  <c r="T204" i="13"/>
  <c r="T210" i="13"/>
  <c r="T218" i="13"/>
  <c r="T221" i="13"/>
  <c r="T223" i="13"/>
  <c r="T229" i="13"/>
  <c r="T254" i="13"/>
  <c r="T256" i="13"/>
  <c r="T264" i="13"/>
  <c r="T266" i="13"/>
  <c r="T270" i="13"/>
  <c r="T272" i="13"/>
  <c r="T274" i="13"/>
  <c r="T282" i="13"/>
  <c r="T314" i="13"/>
  <c r="E315" i="13"/>
  <c r="T18" i="13"/>
  <c r="T28" i="13"/>
  <c r="T30" i="13"/>
  <c r="T32" i="13"/>
  <c r="T36" i="13"/>
  <c r="T44" i="13"/>
  <c r="T70" i="13"/>
  <c r="T78" i="13"/>
  <c r="T80" i="13"/>
  <c r="T82" i="13"/>
  <c r="T84" i="13"/>
  <c r="T88" i="13"/>
  <c r="T90" i="13"/>
  <c r="T92" i="13"/>
  <c r="T96" i="13"/>
  <c r="T98" i="13"/>
  <c r="T100" i="13"/>
  <c r="T112" i="13"/>
  <c r="T116" i="13"/>
  <c r="T118" i="13"/>
  <c r="T120" i="13"/>
  <c r="T124" i="13"/>
  <c r="T126" i="13"/>
  <c r="T128" i="13"/>
  <c r="T132" i="13"/>
  <c r="T140" i="13"/>
  <c r="T156" i="13"/>
  <c r="T160" i="13"/>
  <c r="T209" i="13"/>
  <c r="T213" i="13"/>
  <c r="T217" i="13"/>
  <c r="T226" i="13"/>
  <c r="T242" i="13"/>
  <c r="T247" i="13"/>
  <c r="T251" i="13"/>
  <c r="T255" i="13"/>
  <c r="T259" i="13"/>
  <c r="T261" i="13"/>
  <c r="T279" i="13"/>
  <c r="T283" i="13"/>
  <c r="T285" i="13"/>
  <c r="T287" i="13"/>
  <c r="T303" i="13"/>
  <c r="T307" i="13"/>
  <c r="T309" i="13"/>
  <c r="T311" i="13"/>
  <c r="T29" i="13"/>
  <c r="T41" i="13"/>
  <c r="T43" i="13"/>
  <c r="T47" i="13"/>
  <c r="T81" i="13"/>
  <c r="T91" i="13"/>
  <c r="T49" i="13"/>
  <c r="T53" i="13"/>
  <c r="T59" i="13"/>
  <c r="T61" i="13"/>
  <c r="T75" i="13"/>
  <c r="T165" i="13"/>
  <c r="T167" i="13"/>
  <c r="T169" i="13"/>
  <c r="T176" i="13"/>
  <c r="T178" i="13"/>
  <c r="T182" i="13"/>
  <c r="T184" i="13"/>
  <c r="T186" i="13"/>
  <c r="T190" i="13"/>
  <c r="T194" i="13"/>
  <c r="T198" i="13"/>
  <c r="T208" i="13"/>
  <c r="T212" i="13"/>
  <c r="T233" i="13"/>
  <c r="T237" i="13"/>
  <c r="T239" i="13"/>
  <c r="T243" i="13"/>
  <c r="T248" i="13"/>
  <c r="T252" i="13"/>
  <c r="T276" i="13"/>
  <c r="T280" i="13"/>
  <c r="T288" i="13"/>
  <c r="T304" i="13"/>
  <c r="T308" i="13"/>
  <c r="F315" i="13"/>
  <c r="T8" i="13"/>
  <c r="T12" i="13"/>
  <c r="T20" i="13"/>
  <c r="T26" i="13"/>
  <c r="T38" i="13"/>
  <c r="T42" i="13"/>
  <c r="T46" i="13"/>
  <c r="T48" i="13"/>
  <c r="T56" i="13"/>
  <c r="T64" i="13"/>
  <c r="T102" i="13"/>
  <c r="T104" i="13"/>
  <c r="T106" i="13"/>
  <c r="T108" i="13"/>
  <c r="T134" i="13"/>
  <c r="T138" i="13"/>
  <c r="T142" i="13"/>
  <c r="T146" i="13"/>
  <c r="T148" i="13"/>
  <c r="T150" i="13"/>
  <c r="T154" i="13"/>
  <c r="T158" i="13"/>
  <c r="T162" i="13"/>
  <c r="T168" i="13"/>
  <c r="T173" i="13"/>
  <c r="T175" i="13"/>
  <c r="T177" i="13"/>
  <c r="T185" i="13"/>
  <c r="T193" i="13"/>
  <c r="T201" i="13"/>
  <c r="T207" i="13"/>
  <c r="T211" i="13"/>
  <c r="T222" i="13"/>
  <c r="T228" i="13"/>
  <c r="T232" i="13"/>
  <c r="T236" i="13"/>
  <c r="T263" i="13"/>
  <c r="T265" i="13"/>
  <c r="T269" i="13"/>
  <c r="T271" i="13"/>
  <c r="T273" i="13"/>
  <c r="T291" i="13"/>
  <c r="T293" i="13"/>
  <c r="T295" i="13"/>
  <c r="T297" i="13"/>
  <c r="T299" i="13"/>
  <c r="T301" i="13"/>
  <c r="T19" i="13"/>
  <c r="T17" i="13"/>
  <c r="T25" i="13"/>
  <c r="T51" i="13"/>
  <c r="T57" i="13"/>
  <c r="T67" i="13"/>
  <c r="T71" i="13"/>
  <c r="T73" i="13"/>
  <c r="T79" i="13"/>
  <c r="T85" i="13"/>
  <c r="T89" i="13"/>
  <c r="T105" i="13"/>
  <c r="T113" i="13"/>
  <c r="T121" i="13"/>
  <c r="T129" i="13"/>
  <c r="T139" i="13"/>
  <c r="T180" i="13"/>
  <c r="T196" i="13"/>
  <c r="T200" i="13"/>
  <c r="T202" i="13"/>
  <c r="T206" i="13"/>
  <c r="T227" i="13"/>
  <c r="T231" i="13"/>
  <c r="T235" i="13"/>
  <c r="T241" i="13"/>
  <c r="T246" i="13"/>
  <c r="T250" i="13"/>
  <c r="T268" i="13"/>
  <c r="T278" i="13"/>
  <c r="T292" i="13"/>
  <c r="T294" i="13"/>
  <c r="T296" i="13"/>
  <c r="T298" i="13"/>
  <c r="T300" i="13"/>
  <c r="T302" i="13"/>
  <c r="T306" i="13"/>
  <c r="T312" i="13"/>
  <c r="T6" i="13"/>
  <c r="G315" i="13"/>
  <c r="T16" i="13"/>
  <c r="T22" i="13"/>
  <c r="T40" i="13"/>
  <c r="T50" i="13"/>
  <c r="T52" i="13"/>
  <c r="T54" i="13"/>
  <c r="T58" i="13"/>
  <c r="T60" i="13"/>
  <c r="T62" i="13"/>
  <c r="T66" i="13"/>
  <c r="T74" i="13"/>
  <c r="T110" i="13"/>
  <c r="T136" i="13"/>
  <c r="T144" i="13"/>
  <c r="T152" i="13"/>
  <c r="T164" i="13"/>
  <c r="T166" i="13"/>
  <c r="T179" i="13"/>
  <c r="T181" i="13"/>
  <c r="T187" i="13"/>
  <c r="T189" i="13"/>
  <c r="T191" i="13"/>
  <c r="T195" i="13"/>
  <c r="T197" i="13"/>
  <c r="T203" i="13"/>
  <c r="T205" i="13"/>
  <c r="T230" i="13"/>
  <c r="T234" i="13"/>
  <c r="T238" i="13"/>
  <c r="T249" i="13"/>
  <c r="T257" i="13"/>
  <c r="T267" i="13"/>
  <c r="T275" i="13"/>
  <c r="T277" i="13"/>
  <c r="T281" i="13"/>
  <c r="T289" i="13"/>
  <c r="T9" i="13"/>
  <c r="T13" i="13"/>
  <c r="T21" i="13"/>
  <c r="T65" i="13"/>
  <c r="T69" i="13"/>
  <c r="T77" i="13"/>
  <c r="T7" i="13"/>
  <c r="T11" i="13"/>
  <c r="T15" i="13"/>
  <c r="T27" i="13"/>
  <c r="T31" i="13"/>
  <c r="T35" i="13"/>
  <c r="T37" i="13"/>
  <c r="T45" i="13"/>
  <c r="T83" i="13"/>
  <c r="T87" i="13"/>
  <c r="T93" i="13"/>
  <c r="T95" i="13"/>
  <c r="T99" i="13"/>
  <c r="T111" i="13"/>
  <c r="T115" i="13"/>
  <c r="T119" i="13"/>
  <c r="T127" i="13"/>
  <c r="T131" i="13"/>
  <c r="T133" i="13"/>
  <c r="T141" i="13"/>
  <c r="T149" i="13"/>
  <c r="T157" i="13"/>
  <c r="T174" i="13"/>
  <c r="T214" i="13"/>
  <c r="T216" i="13"/>
  <c r="T225" i="13"/>
  <c r="T258" i="13"/>
  <c r="T260" i="13"/>
  <c r="T262" i="13"/>
  <c r="T284" i="13"/>
  <c r="T286" i="13"/>
  <c r="T290" i="13"/>
  <c r="T310" i="13"/>
  <c r="D315" i="13"/>
  <c r="I315" i="13"/>
  <c r="B57" i="40" s="1"/>
  <c r="T10" i="13"/>
  <c r="T14" i="13"/>
  <c r="T24" i="13"/>
  <c r="T34" i="13"/>
  <c r="T68" i="13"/>
  <c r="T72" i="13"/>
  <c r="T76" i="13"/>
  <c r="T86" i="13"/>
  <c r="T94" i="13"/>
  <c r="T114" i="13"/>
  <c r="T122" i="13"/>
  <c r="T130" i="13"/>
  <c r="T171" i="13"/>
  <c r="T199" i="13"/>
  <c r="T215" i="13"/>
  <c r="T220" i="13"/>
  <c r="T240" i="13"/>
  <c r="T245" i="13"/>
  <c r="T253" i="13"/>
  <c r="T305" i="13"/>
  <c r="T313" i="13"/>
  <c r="G3" i="33"/>
  <c r="G4" i="33"/>
  <c r="H315" i="13" l="1"/>
  <c r="K6" i="13"/>
  <c r="C4" i="32"/>
  <c r="B5" i="33"/>
  <c r="A5" i="33"/>
  <c r="B5" i="32"/>
  <c r="B314" i="32" s="1"/>
  <c r="A5" i="32"/>
  <c r="B7" i="19"/>
  <c r="A7" i="19"/>
  <c r="A2" i="19"/>
  <c r="A2" i="42"/>
  <c r="O7" i="19"/>
  <c r="R316" i="42"/>
  <c r="Q316" i="42"/>
  <c r="P316" i="42"/>
  <c r="O316" i="42"/>
  <c r="B316" i="42"/>
  <c r="B316" i="19" l="1"/>
  <c r="B314" i="33"/>
  <c r="E4" i="37" l="1"/>
  <c r="E7" i="36"/>
  <c r="D29" i="40"/>
  <c r="F7" i="36" s="1"/>
  <c r="E29" i="40"/>
  <c r="G7" i="36" s="1"/>
  <c r="F29" i="40"/>
  <c r="H7" i="36" s="1"/>
  <c r="G29" i="40"/>
  <c r="I7" i="36" s="1"/>
  <c r="H29" i="40"/>
  <c r="J7" i="36" s="1"/>
  <c r="D7" i="36"/>
  <c r="C4" i="9" l="1"/>
  <c r="N316" i="19"/>
  <c r="C7" i="19"/>
  <c r="D7" i="19"/>
  <c r="E7" i="19"/>
  <c r="F7" i="19"/>
  <c r="E11" i="49"/>
  <c r="E15" i="49"/>
  <c r="E19" i="49"/>
  <c r="E23" i="49"/>
  <c r="E24" i="49"/>
  <c r="E27" i="49"/>
  <c r="E28" i="49"/>
  <c r="E31" i="49"/>
  <c r="E35" i="49"/>
  <c r="E39" i="49"/>
  <c r="E43" i="49"/>
  <c r="E55" i="49"/>
  <c r="E63" i="49"/>
  <c r="E67" i="49"/>
  <c r="E71" i="49"/>
  <c r="E75" i="49"/>
  <c r="E79" i="49"/>
  <c r="E83" i="49"/>
  <c r="E86" i="49"/>
  <c r="E87" i="49"/>
  <c r="E91" i="49"/>
  <c r="E95" i="49"/>
  <c r="E96" i="49"/>
  <c r="E99" i="49"/>
  <c r="E103" i="49"/>
  <c r="E107" i="49"/>
  <c r="E111" i="49"/>
  <c r="E115" i="49"/>
  <c r="E118" i="49"/>
  <c r="E119" i="49"/>
  <c r="E120" i="49"/>
  <c r="E121" i="49"/>
  <c r="E123" i="49"/>
  <c r="E127" i="49"/>
  <c r="E128" i="49"/>
  <c r="E131" i="49"/>
  <c r="E132" i="49"/>
  <c r="E134" i="49"/>
  <c r="E136" i="49"/>
  <c r="E139" i="49"/>
  <c r="E142" i="49"/>
  <c r="E143" i="49"/>
  <c r="E146" i="49"/>
  <c r="E149" i="49"/>
  <c r="E152" i="49"/>
  <c r="E168" i="49"/>
  <c r="E171" i="49"/>
  <c r="E173" i="49"/>
  <c r="E180" i="49"/>
  <c r="E183" i="49"/>
  <c r="E195" i="49"/>
  <c r="E196" i="49"/>
  <c r="E197" i="49"/>
  <c r="E199" i="49"/>
  <c r="E215" i="49"/>
  <c r="E220" i="49"/>
  <c r="E221" i="49"/>
  <c r="E222" i="49"/>
  <c r="E227" i="49"/>
  <c r="E229" i="49"/>
  <c r="E234" i="49"/>
  <c r="E239" i="49"/>
  <c r="E242" i="49"/>
  <c r="E243" i="49"/>
  <c r="E245" i="49"/>
  <c r="E246" i="49"/>
  <c r="E256" i="49"/>
  <c r="E257" i="49"/>
  <c r="E261" i="49"/>
  <c r="E269" i="49"/>
  <c r="E270" i="49"/>
  <c r="E276" i="49"/>
  <c r="E288" i="49"/>
  <c r="E289" i="49"/>
  <c r="E293" i="49"/>
  <c r="E296" i="49"/>
  <c r="E297" i="49"/>
  <c r="E301" i="49"/>
  <c r="E304" i="49"/>
  <c r="E312" i="49"/>
  <c r="E313" i="49"/>
  <c r="D4" i="32"/>
  <c r="AA7" i="19"/>
  <c r="D6" i="49" s="1"/>
  <c r="D7" i="49"/>
  <c r="D8" i="49"/>
  <c r="D9" i="49"/>
  <c r="D10" i="49"/>
  <c r="D11" i="49"/>
  <c r="D12" i="49"/>
  <c r="D13" i="49"/>
  <c r="D14" i="49"/>
  <c r="D15" i="49"/>
  <c r="D16" i="49"/>
  <c r="D17" i="49"/>
  <c r="D18" i="49"/>
  <c r="D19" i="49"/>
  <c r="D20" i="49"/>
  <c r="D21" i="49"/>
  <c r="D22" i="49"/>
  <c r="D23" i="49"/>
  <c r="D24" i="49"/>
  <c r="D25" i="49"/>
  <c r="D26" i="49"/>
  <c r="D27" i="49"/>
  <c r="D28" i="49"/>
  <c r="D29" i="49"/>
  <c r="D30" i="49"/>
  <c r="D31" i="49"/>
  <c r="D32" i="49"/>
  <c r="D33" i="49"/>
  <c r="D34" i="49"/>
  <c r="D35" i="49"/>
  <c r="D36" i="49"/>
  <c r="D37" i="49"/>
  <c r="D38" i="49"/>
  <c r="D39" i="49"/>
  <c r="D40" i="49"/>
  <c r="D41" i="49"/>
  <c r="D42" i="49"/>
  <c r="D43" i="49"/>
  <c r="D44" i="49"/>
  <c r="D45" i="49"/>
  <c r="D46" i="49"/>
  <c r="D47" i="49"/>
  <c r="D48" i="49"/>
  <c r="D49" i="49"/>
  <c r="D50" i="49"/>
  <c r="D51" i="49"/>
  <c r="D52" i="49"/>
  <c r="D53" i="49"/>
  <c r="D54" i="49"/>
  <c r="D55" i="49"/>
  <c r="D56" i="49"/>
  <c r="D57" i="49"/>
  <c r="D58" i="49"/>
  <c r="D59" i="49"/>
  <c r="D60" i="49"/>
  <c r="D61" i="49"/>
  <c r="D62" i="49"/>
  <c r="D63" i="49"/>
  <c r="D64" i="49"/>
  <c r="D65" i="49"/>
  <c r="D66" i="49"/>
  <c r="D67" i="49"/>
  <c r="D68" i="49"/>
  <c r="D69" i="49"/>
  <c r="D70" i="49"/>
  <c r="D71" i="49"/>
  <c r="D72" i="49"/>
  <c r="D73" i="49"/>
  <c r="D74" i="49"/>
  <c r="D75" i="49"/>
  <c r="D76" i="49"/>
  <c r="D77" i="49"/>
  <c r="D78" i="49"/>
  <c r="D79" i="49"/>
  <c r="D80" i="49"/>
  <c r="D81" i="49"/>
  <c r="D82" i="49"/>
  <c r="D83" i="49"/>
  <c r="D84" i="49"/>
  <c r="D85" i="49"/>
  <c r="D86" i="49"/>
  <c r="D87" i="49"/>
  <c r="D88" i="49"/>
  <c r="D89" i="49"/>
  <c r="D90" i="49"/>
  <c r="D91" i="49"/>
  <c r="D92" i="49"/>
  <c r="D93" i="49"/>
  <c r="D94" i="49"/>
  <c r="D95" i="49"/>
  <c r="D96" i="49"/>
  <c r="D97" i="49"/>
  <c r="D98" i="49"/>
  <c r="D99" i="49"/>
  <c r="D100" i="49"/>
  <c r="D101" i="49"/>
  <c r="D102" i="49"/>
  <c r="D103" i="49"/>
  <c r="D104" i="49"/>
  <c r="D105" i="49"/>
  <c r="D106" i="49"/>
  <c r="D107" i="49"/>
  <c r="D108" i="49"/>
  <c r="D109" i="49"/>
  <c r="D110" i="49"/>
  <c r="D111" i="49"/>
  <c r="D112" i="49"/>
  <c r="D113" i="49"/>
  <c r="D114" i="49"/>
  <c r="D115" i="49"/>
  <c r="D116" i="49"/>
  <c r="D117" i="49"/>
  <c r="D118" i="49"/>
  <c r="D119" i="49"/>
  <c r="D120" i="49"/>
  <c r="D121" i="49"/>
  <c r="D122" i="49"/>
  <c r="D123" i="49"/>
  <c r="D124" i="49"/>
  <c r="D125" i="49"/>
  <c r="D126" i="49"/>
  <c r="D127" i="49"/>
  <c r="D128" i="49"/>
  <c r="D129" i="49"/>
  <c r="D130" i="49"/>
  <c r="D131" i="49"/>
  <c r="D132" i="49"/>
  <c r="D133" i="49"/>
  <c r="D134" i="49"/>
  <c r="D135" i="49"/>
  <c r="D136" i="49"/>
  <c r="D137" i="49"/>
  <c r="D138" i="49"/>
  <c r="D139" i="49"/>
  <c r="D140" i="49"/>
  <c r="D141" i="49"/>
  <c r="D142" i="49"/>
  <c r="D143" i="49"/>
  <c r="D144" i="49"/>
  <c r="D145" i="49"/>
  <c r="D146" i="49"/>
  <c r="D147" i="49"/>
  <c r="D148" i="49"/>
  <c r="D149" i="49"/>
  <c r="D150" i="49"/>
  <c r="D151" i="49"/>
  <c r="D152" i="49"/>
  <c r="D153" i="49"/>
  <c r="D154" i="49"/>
  <c r="D155" i="49"/>
  <c r="D156" i="49"/>
  <c r="D157" i="49"/>
  <c r="D158" i="49"/>
  <c r="D159" i="49"/>
  <c r="D160" i="49"/>
  <c r="D161" i="49"/>
  <c r="D162" i="49"/>
  <c r="D163" i="49"/>
  <c r="D164" i="49"/>
  <c r="D165" i="49"/>
  <c r="D166" i="49"/>
  <c r="D167" i="49"/>
  <c r="D168" i="49"/>
  <c r="D169" i="49"/>
  <c r="D171" i="49"/>
  <c r="D172" i="49"/>
  <c r="D173" i="49"/>
  <c r="D174" i="49"/>
  <c r="D175" i="49"/>
  <c r="D176" i="49"/>
  <c r="D177" i="49"/>
  <c r="D178" i="49"/>
  <c r="D179" i="49"/>
  <c r="D180" i="49"/>
  <c r="D181" i="49"/>
  <c r="D182" i="49"/>
  <c r="D183" i="49"/>
  <c r="D184" i="49"/>
  <c r="D185" i="49"/>
  <c r="D186" i="49"/>
  <c r="D187" i="49"/>
  <c r="D188" i="49"/>
  <c r="D189" i="49"/>
  <c r="D190" i="49"/>
  <c r="D191" i="49"/>
  <c r="D192" i="49"/>
  <c r="D193" i="49"/>
  <c r="D194" i="49"/>
  <c r="D195" i="49"/>
  <c r="D196" i="49"/>
  <c r="D197" i="49"/>
  <c r="D198" i="49"/>
  <c r="D199" i="49"/>
  <c r="D200" i="49"/>
  <c r="D201" i="49"/>
  <c r="D202" i="49"/>
  <c r="D203" i="49"/>
  <c r="D204" i="49"/>
  <c r="D205" i="49"/>
  <c r="D206" i="49"/>
  <c r="D207" i="49"/>
  <c r="D208" i="49"/>
  <c r="D209" i="49"/>
  <c r="D210" i="49"/>
  <c r="D211" i="49"/>
  <c r="D212" i="49"/>
  <c r="D213" i="49"/>
  <c r="D214" i="49"/>
  <c r="D215" i="49"/>
  <c r="D216" i="49"/>
  <c r="D217" i="49"/>
  <c r="D218" i="49"/>
  <c r="D220" i="49"/>
  <c r="D221" i="49"/>
  <c r="D222" i="49"/>
  <c r="D223" i="49"/>
  <c r="D224" i="49"/>
  <c r="D225" i="49"/>
  <c r="D226" i="49"/>
  <c r="D227" i="49"/>
  <c r="D228" i="49"/>
  <c r="D229" i="49"/>
  <c r="D230" i="49"/>
  <c r="D231" i="49"/>
  <c r="D232" i="49"/>
  <c r="D233" i="49"/>
  <c r="D234" i="49"/>
  <c r="D235" i="49"/>
  <c r="D236" i="49"/>
  <c r="D237" i="49"/>
  <c r="D238" i="49"/>
  <c r="D239" i="49"/>
  <c r="D240" i="49"/>
  <c r="D241" i="49"/>
  <c r="D242" i="49"/>
  <c r="D243" i="49"/>
  <c r="D245" i="49"/>
  <c r="D246" i="49"/>
  <c r="D247" i="49"/>
  <c r="D248" i="49"/>
  <c r="D249" i="49"/>
  <c r="D250" i="49"/>
  <c r="D251" i="49"/>
  <c r="D252" i="49"/>
  <c r="D253" i="49"/>
  <c r="D254" i="49"/>
  <c r="D255" i="49"/>
  <c r="D256" i="49"/>
  <c r="D257" i="49"/>
  <c r="D258" i="49"/>
  <c r="D259" i="49"/>
  <c r="D260" i="49"/>
  <c r="D261" i="49"/>
  <c r="D262" i="49"/>
  <c r="D263" i="49"/>
  <c r="D264" i="49"/>
  <c r="D265" i="49"/>
  <c r="D266" i="49"/>
  <c r="D267" i="49"/>
  <c r="D268" i="49"/>
  <c r="D269" i="49"/>
  <c r="D270" i="49"/>
  <c r="D271" i="49"/>
  <c r="D272" i="49"/>
  <c r="D273" i="49"/>
  <c r="D274" i="49"/>
  <c r="D275" i="49"/>
  <c r="D276" i="49"/>
  <c r="D277" i="49"/>
  <c r="D278" i="49"/>
  <c r="D279" i="49"/>
  <c r="D280" i="49"/>
  <c r="D281" i="49"/>
  <c r="D282" i="49"/>
  <c r="D283" i="49"/>
  <c r="D284" i="49"/>
  <c r="D285" i="49"/>
  <c r="D286" i="49"/>
  <c r="D287" i="49"/>
  <c r="D288" i="49"/>
  <c r="D289" i="49"/>
  <c r="D290" i="49"/>
  <c r="D291" i="49"/>
  <c r="D292" i="49"/>
  <c r="D293" i="49"/>
  <c r="D294" i="49"/>
  <c r="D295" i="49"/>
  <c r="D296" i="49"/>
  <c r="D297" i="49"/>
  <c r="D298" i="49"/>
  <c r="D299" i="49"/>
  <c r="D300" i="49"/>
  <c r="D301" i="49"/>
  <c r="D302" i="49"/>
  <c r="D303" i="49"/>
  <c r="D304" i="49"/>
  <c r="D305" i="49"/>
  <c r="D306" i="49"/>
  <c r="D307" i="49"/>
  <c r="D308" i="49"/>
  <c r="D309" i="49"/>
  <c r="D310" i="49"/>
  <c r="D311" i="49"/>
  <c r="D312" i="49"/>
  <c r="D313" i="49"/>
  <c r="D314" i="49"/>
  <c r="E4" i="36"/>
  <c r="G4" i="36"/>
  <c r="I4" i="36"/>
  <c r="H4" i="36"/>
  <c r="G5" i="36"/>
  <c r="C6" i="34"/>
  <c r="D4" i="36"/>
  <c r="D5" i="36"/>
  <c r="E5" i="36"/>
  <c r="F4" i="36"/>
  <c r="F5" i="36"/>
  <c r="H5" i="36"/>
  <c r="J4" i="36"/>
  <c r="I5" i="36"/>
  <c r="I4" i="39"/>
  <c r="A6" i="25"/>
  <c r="B6" i="25"/>
  <c r="D14" i="36" l="1"/>
  <c r="D18" i="36"/>
  <c r="D28" i="36"/>
  <c r="D29" i="36"/>
  <c r="D12" i="36"/>
  <c r="D13" i="36"/>
  <c r="D9" i="36"/>
  <c r="D10" i="36"/>
  <c r="D16" i="36"/>
  <c r="D22" i="36"/>
  <c r="D30" i="36"/>
  <c r="D34" i="36"/>
  <c r="D41" i="36"/>
  <c r="D42" i="36"/>
  <c r="D25" i="36"/>
  <c r="D44" i="36"/>
  <c r="D49" i="36"/>
  <c r="D50" i="36"/>
  <c r="D60" i="36"/>
  <c r="D63" i="36"/>
  <c r="D64" i="36"/>
  <c r="D68" i="36"/>
  <c r="D72" i="36"/>
  <c r="D79" i="36"/>
  <c r="D82" i="36"/>
  <c r="D83" i="36"/>
  <c r="D103" i="36"/>
  <c r="D117" i="36"/>
  <c r="D118" i="36"/>
  <c r="D123" i="36"/>
  <c r="D137" i="36"/>
  <c r="D143" i="36"/>
  <c r="D146" i="36"/>
  <c r="D147" i="36"/>
  <c r="D148" i="36"/>
  <c r="D158" i="36"/>
  <c r="D163" i="36"/>
  <c r="D164" i="36"/>
  <c r="D174" i="36"/>
  <c r="D179" i="36"/>
  <c r="D180" i="36"/>
  <c r="D190" i="36"/>
  <c r="D195" i="36"/>
  <c r="D196" i="36"/>
  <c r="D20" i="36"/>
  <c r="D26" i="36"/>
  <c r="D36" i="36"/>
  <c r="D46" i="36"/>
  <c r="D48" i="36"/>
  <c r="D54" i="36"/>
  <c r="D66" i="36"/>
  <c r="D67" i="36"/>
  <c r="D87" i="36"/>
  <c r="D101" i="36"/>
  <c r="D102" i="36"/>
  <c r="D107" i="36"/>
  <c r="D121" i="36"/>
  <c r="D127" i="36"/>
  <c r="D130" i="36"/>
  <c r="D131" i="36"/>
  <c r="D154" i="36"/>
  <c r="D159" i="36"/>
  <c r="D160" i="36"/>
  <c r="D170" i="36"/>
  <c r="D175" i="36"/>
  <c r="D176" i="36"/>
  <c r="D186" i="36"/>
  <c r="D191" i="36"/>
  <c r="D192" i="36"/>
  <c r="D32" i="36"/>
  <c r="D70" i="36"/>
  <c r="D114" i="36"/>
  <c r="D133" i="36"/>
  <c r="D139" i="36"/>
  <c r="D150" i="36"/>
  <c r="D155" i="36"/>
  <c r="D172" i="36"/>
  <c r="D182" i="36"/>
  <c r="D187" i="36"/>
  <c r="D214" i="36"/>
  <c r="D224" i="36"/>
  <c r="D230" i="36"/>
  <c r="D240" i="36"/>
  <c r="D246" i="36"/>
  <c r="D256" i="36"/>
  <c r="D262" i="36"/>
  <c r="D272" i="36"/>
  <c r="D278" i="36"/>
  <c r="D57" i="36"/>
  <c r="D85" i="36"/>
  <c r="D89" i="36"/>
  <c r="D98" i="36"/>
  <c r="D111" i="36"/>
  <c r="D151" i="36"/>
  <c r="D168" i="36"/>
  <c r="D178" i="36"/>
  <c r="D183" i="36"/>
  <c r="D200" i="36"/>
  <c r="D210" i="36"/>
  <c r="D215" i="36"/>
  <c r="D216" i="36"/>
  <c r="D222" i="36"/>
  <c r="D223" i="36"/>
  <c r="D227" i="36"/>
  <c r="D232" i="36"/>
  <c r="D238" i="36"/>
  <c r="D239" i="36"/>
  <c r="D243" i="36"/>
  <c r="D248" i="36"/>
  <c r="D254" i="36"/>
  <c r="D255" i="36"/>
  <c r="D259" i="36"/>
  <c r="D264" i="36"/>
  <c r="D270" i="36"/>
  <c r="D271" i="36"/>
  <c r="D275" i="36"/>
  <c r="D280" i="36"/>
  <c r="D76" i="36"/>
  <c r="D91" i="36"/>
  <c r="D95" i="36"/>
  <c r="D105" i="36"/>
  <c r="D115" i="36"/>
  <c r="D119" i="36"/>
  <c r="D134" i="36"/>
  <c r="D156" i="36"/>
  <c r="D166" i="36"/>
  <c r="D171" i="36"/>
  <c r="D188" i="36"/>
  <c r="D198" i="36"/>
  <c r="D202" i="36"/>
  <c r="D204" i="36"/>
  <c r="D206" i="36"/>
  <c r="D211" i="36"/>
  <c r="D212" i="36"/>
  <c r="D226" i="36"/>
  <c r="D242" i="36"/>
  <c r="D258" i="36"/>
  <c r="D274" i="36"/>
  <c r="D38" i="36"/>
  <c r="D45" i="36"/>
  <c r="D86" i="36"/>
  <c r="D99" i="36"/>
  <c r="D135" i="36"/>
  <c r="D152" i="36"/>
  <c r="D162" i="36"/>
  <c r="D167" i="36"/>
  <c r="D184" i="36"/>
  <c r="D194" i="36"/>
  <c r="D199" i="36"/>
  <c r="D203" i="36"/>
  <c r="D207" i="36"/>
  <c r="D208" i="36"/>
  <c r="D219" i="36"/>
  <c r="D220" i="36"/>
  <c r="D228" i="36"/>
  <c r="D235" i="36"/>
  <c r="D236" i="36"/>
  <c r="D244" i="36"/>
  <c r="D251" i="36"/>
  <c r="D252" i="36"/>
  <c r="D260" i="36"/>
  <c r="D267" i="36"/>
  <c r="D268" i="36"/>
  <c r="D276" i="36"/>
  <c r="D283" i="36"/>
  <c r="D284" i="36"/>
  <c r="D294" i="36"/>
  <c r="D300" i="36"/>
  <c r="D316" i="36"/>
  <c r="D287" i="36"/>
  <c r="D290" i="36"/>
  <c r="D292" i="36"/>
  <c r="D293" i="36"/>
  <c r="D296" i="36"/>
  <c r="D297" i="36"/>
  <c r="D302" i="36"/>
  <c r="D309" i="36"/>
  <c r="D310" i="36"/>
  <c r="D312" i="36"/>
  <c r="D313" i="36"/>
  <c r="D288" i="36"/>
  <c r="D289" i="36"/>
  <c r="D298" i="36"/>
  <c r="D306" i="36"/>
  <c r="D314" i="36"/>
  <c r="D286" i="36"/>
  <c r="D305" i="36"/>
  <c r="D308" i="36"/>
  <c r="D299" i="36"/>
  <c r="D247" i="36"/>
  <c r="D304" i="36"/>
  <c r="D285" i="36"/>
  <c r="D269" i="36"/>
  <c r="D253" i="36"/>
  <c r="D237" i="36"/>
  <c r="D221" i="36"/>
  <c r="D129" i="36"/>
  <c r="D71" i="36"/>
  <c r="D261" i="36"/>
  <c r="D142" i="36"/>
  <c r="D78" i="36"/>
  <c r="D307" i="36"/>
  <c r="D263" i="36"/>
  <c r="D125" i="36"/>
  <c r="D249" i="36"/>
  <c r="D233" i="36"/>
  <c r="D217" i="36"/>
  <c r="D213" i="36"/>
  <c r="D197" i="36"/>
  <c r="D181" i="36"/>
  <c r="D157" i="36"/>
  <c r="D122" i="36"/>
  <c r="D315" i="36"/>
  <c r="D291" i="36"/>
  <c r="D93" i="36"/>
  <c r="D281" i="36"/>
  <c r="D265" i="36"/>
  <c r="D209" i="36"/>
  <c r="D193" i="36"/>
  <c r="D177" i="36"/>
  <c r="D165" i="36"/>
  <c r="D153" i="36"/>
  <c r="D132" i="36"/>
  <c r="D106" i="36"/>
  <c r="D90" i="36"/>
  <c r="D55" i="36"/>
  <c r="D145" i="36"/>
  <c r="D277" i="36"/>
  <c r="D94" i="36"/>
  <c r="D62" i="36"/>
  <c r="D231" i="36"/>
  <c r="D303" i="36"/>
  <c r="D65" i="36"/>
  <c r="D229" i="36"/>
  <c r="D109" i="36"/>
  <c r="D201" i="36"/>
  <c r="D189" i="36"/>
  <c r="D173" i="36"/>
  <c r="D149" i="36"/>
  <c r="D33" i="36"/>
  <c r="D279" i="36"/>
  <c r="D141" i="36"/>
  <c r="D77" i="36"/>
  <c r="D205" i="36"/>
  <c r="D185" i="36"/>
  <c r="D169" i="36"/>
  <c r="D161" i="36"/>
  <c r="D138" i="36"/>
  <c r="D116" i="36"/>
  <c r="D100" i="36"/>
  <c r="D84" i="36"/>
  <c r="D311" i="36"/>
  <c r="D301" i="36"/>
  <c r="D295" i="36"/>
  <c r="D282" i="36"/>
  <c r="D266" i="36"/>
  <c r="D250" i="36"/>
  <c r="D234" i="36"/>
  <c r="D218" i="36"/>
  <c r="D113" i="36"/>
  <c r="D97" i="36"/>
  <c r="D81" i="36"/>
  <c r="D39" i="36"/>
  <c r="D245" i="36"/>
  <c r="D110" i="36"/>
  <c r="D273" i="36"/>
  <c r="D241" i="36"/>
  <c r="D58" i="36"/>
  <c r="D92" i="36"/>
  <c r="D59" i="36"/>
  <c r="D120" i="36"/>
  <c r="D88" i="36"/>
  <c r="D61" i="36"/>
  <c r="D73" i="36"/>
  <c r="D43" i="36"/>
  <c r="D11" i="36"/>
  <c r="D69" i="36"/>
  <c r="D21" i="36"/>
  <c r="D35" i="36"/>
  <c r="D47" i="36"/>
  <c r="D15" i="36"/>
  <c r="D126" i="36"/>
  <c r="D108" i="36"/>
  <c r="D56" i="36"/>
  <c r="D24" i="36"/>
  <c r="D37" i="36"/>
  <c r="D51" i="36"/>
  <c r="D17" i="36"/>
  <c r="D257" i="36"/>
  <c r="D225" i="36"/>
  <c r="D144" i="36"/>
  <c r="D128" i="36"/>
  <c r="D112" i="36"/>
  <c r="D96" i="36"/>
  <c r="D80" i="36"/>
  <c r="D74" i="36"/>
  <c r="D124" i="36"/>
  <c r="D75" i="36"/>
  <c r="D136" i="36"/>
  <c r="D104" i="36"/>
  <c r="D23" i="36"/>
  <c r="D53" i="36"/>
  <c r="D27" i="36"/>
  <c r="D31" i="36"/>
  <c r="D52" i="36"/>
  <c r="D140" i="36"/>
  <c r="D40" i="36"/>
  <c r="D19" i="36"/>
  <c r="G11" i="36"/>
  <c r="G15" i="36"/>
  <c r="G24" i="36"/>
  <c r="G26" i="36"/>
  <c r="G10" i="36"/>
  <c r="G28" i="36"/>
  <c r="G12" i="36"/>
  <c r="G14" i="36"/>
  <c r="G18" i="36"/>
  <c r="G25" i="36"/>
  <c r="G27" i="36"/>
  <c r="G31" i="36"/>
  <c r="G38" i="36"/>
  <c r="G54" i="36"/>
  <c r="G62" i="36"/>
  <c r="G69" i="36"/>
  <c r="G81" i="36"/>
  <c r="G85" i="36"/>
  <c r="G87" i="36"/>
  <c r="G104" i="36"/>
  <c r="G107" i="36"/>
  <c r="G114" i="36"/>
  <c r="G116" i="36"/>
  <c r="G126" i="36"/>
  <c r="G127" i="36"/>
  <c r="G131" i="36"/>
  <c r="G145" i="36"/>
  <c r="G155" i="36"/>
  <c r="G160" i="36"/>
  <c r="G162" i="36"/>
  <c r="G171" i="36"/>
  <c r="G176" i="36"/>
  <c r="G178" i="36"/>
  <c r="G187" i="36"/>
  <c r="G192" i="36"/>
  <c r="G194" i="36"/>
  <c r="G203" i="36"/>
  <c r="G21" i="36"/>
  <c r="G22" i="36"/>
  <c r="G37" i="36"/>
  <c r="G40" i="36"/>
  <c r="G42" i="36"/>
  <c r="G44" i="36"/>
  <c r="G53" i="36"/>
  <c r="G57" i="36"/>
  <c r="G76" i="36"/>
  <c r="G88" i="36"/>
  <c r="G91" i="36"/>
  <c r="G98" i="36"/>
  <c r="G100" i="36"/>
  <c r="G110" i="36"/>
  <c r="G111" i="36"/>
  <c r="G115" i="36"/>
  <c r="G129" i="36"/>
  <c r="G133" i="36"/>
  <c r="G135" i="36"/>
  <c r="G151" i="36"/>
  <c r="G156" i="36"/>
  <c r="G158" i="36"/>
  <c r="G167" i="36"/>
  <c r="G172" i="36"/>
  <c r="G174" i="36"/>
  <c r="G183" i="36"/>
  <c r="G188" i="36"/>
  <c r="G190" i="36"/>
  <c r="G199" i="36"/>
  <c r="G30" i="36"/>
  <c r="G46" i="36"/>
  <c r="G63" i="36"/>
  <c r="G78" i="36"/>
  <c r="G83" i="36"/>
  <c r="G99" i="36"/>
  <c r="G113" i="36"/>
  <c r="G117" i="36"/>
  <c r="G132" i="36"/>
  <c r="G146" i="36"/>
  <c r="G152" i="36"/>
  <c r="G154" i="36"/>
  <c r="G159" i="36"/>
  <c r="G184" i="36"/>
  <c r="G186" i="36"/>
  <c r="G191" i="36"/>
  <c r="G204" i="36"/>
  <c r="G211" i="36"/>
  <c r="G216" i="36"/>
  <c r="G225" i="36"/>
  <c r="G232" i="36"/>
  <c r="G241" i="36"/>
  <c r="G248" i="36"/>
  <c r="G257" i="36"/>
  <c r="G264" i="36"/>
  <c r="G273" i="36"/>
  <c r="G280" i="36"/>
  <c r="G34" i="36"/>
  <c r="G47" i="36"/>
  <c r="G56" i="36"/>
  <c r="G68" i="36"/>
  <c r="G72" i="36"/>
  <c r="G79" i="36"/>
  <c r="G84" i="36"/>
  <c r="G94" i="36"/>
  <c r="G97" i="36"/>
  <c r="G101" i="36"/>
  <c r="G120" i="36"/>
  <c r="G130" i="36"/>
  <c r="G139" i="36"/>
  <c r="G147" i="36"/>
  <c r="G150" i="36"/>
  <c r="G164" i="36"/>
  <c r="G179" i="36"/>
  <c r="G182" i="36"/>
  <c r="G196" i="36"/>
  <c r="G207" i="36"/>
  <c r="G212" i="36"/>
  <c r="G214" i="36"/>
  <c r="G219" i="36"/>
  <c r="G235" i="36"/>
  <c r="G251" i="36"/>
  <c r="G267" i="36"/>
  <c r="G43" i="36"/>
  <c r="G50" i="36"/>
  <c r="G59" i="36"/>
  <c r="G64" i="36"/>
  <c r="G75" i="36"/>
  <c r="G82" i="36"/>
  <c r="G123" i="36"/>
  <c r="G136" i="36"/>
  <c r="G142" i="36"/>
  <c r="G168" i="36"/>
  <c r="G170" i="36"/>
  <c r="G175" i="36"/>
  <c r="G200" i="36"/>
  <c r="G208" i="36"/>
  <c r="G210" i="36"/>
  <c r="G220" i="36"/>
  <c r="G228" i="36"/>
  <c r="G236" i="36"/>
  <c r="G244" i="36"/>
  <c r="G252" i="36"/>
  <c r="G260" i="36"/>
  <c r="G268" i="36"/>
  <c r="G276" i="36"/>
  <c r="G284" i="36"/>
  <c r="G41" i="36"/>
  <c r="G60" i="36"/>
  <c r="G66" i="36"/>
  <c r="G95" i="36"/>
  <c r="G103" i="36"/>
  <c r="G119" i="36"/>
  <c r="G143" i="36"/>
  <c r="G148" i="36"/>
  <c r="G163" i="36"/>
  <c r="G166" i="36"/>
  <c r="G180" i="36"/>
  <c r="G195" i="36"/>
  <c r="G198" i="36"/>
  <c r="G202" i="36"/>
  <c r="G206" i="36"/>
  <c r="G215" i="36"/>
  <c r="G222" i="36"/>
  <c r="G224" i="36"/>
  <c r="G238" i="36"/>
  <c r="G240" i="36"/>
  <c r="G254" i="36"/>
  <c r="G256" i="36"/>
  <c r="G270" i="36"/>
  <c r="G272" i="36"/>
  <c r="G286" i="36"/>
  <c r="G290" i="36"/>
  <c r="G293" i="36"/>
  <c r="G283" i="36"/>
  <c r="G289" i="36"/>
  <c r="G295" i="36"/>
  <c r="G302" i="36"/>
  <c r="G308" i="36"/>
  <c r="G310" i="36"/>
  <c r="G311" i="36"/>
  <c r="G298" i="36"/>
  <c r="G305" i="36"/>
  <c r="G306" i="36"/>
  <c r="G314" i="36"/>
  <c r="G294" i="36"/>
  <c r="G299" i="36"/>
  <c r="G315" i="36"/>
  <c r="G296" i="36"/>
  <c r="G309" i="36"/>
  <c r="G312" i="36"/>
  <c r="G282" i="36"/>
  <c r="G250" i="36"/>
  <c r="G221" i="36"/>
  <c r="G125" i="36"/>
  <c r="G301" i="36"/>
  <c r="G249" i="36"/>
  <c r="G233" i="36"/>
  <c r="G217" i="36"/>
  <c r="G122" i="36"/>
  <c r="G278" i="36"/>
  <c r="G275" i="36"/>
  <c r="G230" i="36"/>
  <c r="G227" i="36"/>
  <c r="G65" i="36"/>
  <c r="G33" i="36"/>
  <c r="G93" i="36"/>
  <c r="G281" i="36"/>
  <c r="G265" i="36"/>
  <c r="G106" i="36"/>
  <c r="G90" i="36"/>
  <c r="G55" i="36"/>
  <c r="G300" i="36"/>
  <c r="G285" i="36"/>
  <c r="G234" i="36"/>
  <c r="G269" i="36"/>
  <c r="G304" i="36"/>
  <c r="G213" i="36"/>
  <c r="G197" i="36"/>
  <c r="G181" i="36"/>
  <c r="G157" i="36"/>
  <c r="G303" i="36"/>
  <c r="G262" i="36"/>
  <c r="G259" i="36"/>
  <c r="G209" i="36"/>
  <c r="G193" i="36"/>
  <c r="G177" i="36"/>
  <c r="G165" i="36"/>
  <c r="G153" i="36"/>
  <c r="G292" i="36"/>
  <c r="G52" i="36"/>
  <c r="G291" i="36"/>
  <c r="G297" i="36"/>
  <c r="G266" i="36"/>
  <c r="G218" i="36"/>
  <c r="G253" i="36"/>
  <c r="G109" i="36"/>
  <c r="G246" i="36"/>
  <c r="G243" i="36"/>
  <c r="G141" i="36"/>
  <c r="G77" i="36"/>
  <c r="G138" i="36"/>
  <c r="G39" i="36"/>
  <c r="G316" i="36"/>
  <c r="G237" i="36"/>
  <c r="G307" i="36"/>
  <c r="G201" i="36"/>
  <c r="G189" i="36"/>
  <c r="G173" i="36"/>
  <c r="G149" i="36"/>
  <c r="G9" i="36"/>
  <c r="G313" i="36"/>
  <c r="G205" i="36"/>
  <c r="G185" i="36"/>
  <c r="G169" i="36"/>
  <c r="G161" i="36"/>
  <c r="G288" i="36"/>
  <c r="G279" i="36"/>
  <c r="G263" i="36"/>
  <c r="G247" i="36"/>
  <c r="G231" i="36"/>
  <c r="G71" i="36"/>
  <c r="G287" i="36"/>
  <c r="G255" i="36"/>
  <c r="G223" i="36"/>
  <c r="G20" i="36"/>
  <c r="G134" i="36"/>
  <c r="G102" i="36"/>
  <c r="G29" i="36"/>
  <c r="G277" i="36"/>
  <c r="G258" i="36"/>
  <c r="G245" i="36"/>
  <c r="G226" i="36"/>
  <c r="G144" i="36"/>
  <c r="G128" i="36"/>
  <c r="G112" i="36"/>
  <c r="G96" i="36"/>
  <c r="G80" i="36"/>
  <c r="G74" i="36"/>
  <c r="G137" i="36"/>
  <c r="G124" i="36"/>
  <c r="G105" i="36"/>
  <c r="G92" i="36"/>
  <c r="G23" i="36"/>
  <c r="G73" i="36"/>
  <c r="G51" i="36"/>
  <c r="G32" i="36"/>
  <c r="G19" i="36"/>
  <c r="G271" i="36"/>
  <c r="G239" i="36"/>
  <c r="G49" i="36"/>
  <c r="G118" i="36"/>
  <c r="G86" i="36"/>
  <c r="G67" i="36"/>
  <c r="G45" i="36"/>
  <c r="G13" i="36"/>
  <c r="G17" i="36"/>
  <c r="G274" i="36"/>
  <c r="G261" i="36"/>
  <c r="G242" i="36"/>
  <c r="G229" i="36"/>
  <c r="G58" i="36"/>
  <c r="G140" i="36"/>
  <c r="G121" i="36"/>
  <c r="G108" i="36"/>
  <c r="G89" i="36"/>
  <c r="G61" i="36"/>
  <c r="G36" i="36"/>
  <c r="G70" i="36"/>
  <c r="G48" i="36"/>
  <c r="G35" i="36"/>
  <c r="G16" i="36"/>
  <c r="H18" i="32"/>
  <c r="H30" i="32"/>
  <c r="H61" i="32"/>
  <c r="H105" i="32"/>
  <c r="H151" i="32"/>
  <c r="H203" i="32"/>
  <c r="H235" i="32"/>
  <c r="H59" i="32"/>
  <c r="H103" i="32"/>
  <c r="H165" i="32"/>
  <c r="H215" i="32"/>
  <c r="H251" i="32"/>
  <c r="H63" i="32"/>
  <c r="H145" i="32"/>
  <c r="H227" i="32"/>
  <c r="H279" i="32"/>
  <c r="H25" i="32"/>
  <c r="H57" i="32"/>
  <c r="H141" i="32"/>
  <c r="H239" i="32"/>
  <c r="H14" i="32"/>
  <c r="H55" i="32"/>
  <c r="H163" i="32"/>
  <c r="H205" i="32"/>
  <c r="H291" i="32"/>
  <c r="H310" i="32"/>
  <c r="H65" i="32"/>
  <c r="H109" i="32"/>
  <c r="H201" i="32"/>
  <c r="H312" i="32"/>
  <c r="H269" i="32"/>
  <c r="H111" i="32"/>
  <c r="H274" i="32"/>
  <c r="H40" i="32"/>
  <c r="H90" i="32"/>
  <c r="H122" i="32"/>
  <c r="H249" i="32"/>
  <c r="H38" i="32"/>
  <c r="H264" i="32"/>
  <c r="H292" i="32"/>
  <c r="H214" i="32"/>
  <c r="H241" i="32"/>
  <c r="H190" i="32"/>
  <c r="H248" i="32"/>
  <c r="H29" i="32"/>
  <c r="H262" i="32"/>
  <c r="H98" i="32"/>
  <c r="H268" i="32"/>
  <c r="H74" i="32"/>
  <c r="H143" i="32"/>
  <c r="H186" i="32"/>
  <c r="H252" i="32"/>
  <c r="H52" i="32"/>
  <c r="H261" i="32"/>
  <c r="H202" i="32"/>
  <c r="H276" i="32"/>
  <c r="H56" i="32"/>
  <c r="H245" i="32"/>
  <c r="H100" i="32"/>
  <c r="H233" i="32"/>
  <c r="H196" i="32"/>
  <c r="H102" i="32"/>
  <c r="H72" i="32"/>
  <c r="H27" i="32"/>
  <c r="H152" i="32"/>
  <c r="H224" i="32"/>
  <c r="H160" i="32"/>
  <c r="H144" i="32"/>
  <c r="H11" i="32"/>
  <c r="H164" i="32"/>
  <c r="H132" i="32"/>
  <c r="H80" i="32"/>
  <c r="H15" i="32"/>
  <c r="H204" i="32"/>
  <c r="H200" i="32"/>
  <c r="H212" i="32"/>
  <c r="H124" i="32"/>
  <c r="H20" i="32"/>
  <c r="H32" i="32"/>
  <c r="H71" i="32"/>
  <c r="H129" i="32"/>
  <c r="H159" i="32"/>
  <c r="H213" i="32"/>
  <c r="H17" i="32"/>
  <c r="H69" i="32"/>
  <c r="H125" i="32"/>
  <c r="H169" i="32"/>
  <c r="H219" i="32"/>
  <c r="H259" i="32"/>
  <c r="H83" i="32"/>
  <c r="H147" i="32"/>
  <c r="H243" i="32"/>
  <c r="H287" i="32"/>
  <c r="H34" i="32"/>
  <c r="H99" i="32"/>
  <c r="H189" i="32"/>
  <c r="H255" i="32"/>
  <c r="H16" i="32"/>
  <c r="H97" i="32"/>
  <c r="H171" i="32"/>
  <c r="H267" i="32"/>
  <c r="H299" i="32"/>
  <c r="H12" i="32"/>
  <c r="H67" i="32"/>
  <c r="H155" i="32"/>
  <c r="H302" i="32"/>
  <c r="H301" i="32"/>
  <c r="H218" i="32"/>
  <c r="H22" i="32"/>
  <c r="H265" i="32"/>
  <c r="H305" i="32"/>
  <c r="H244" i="32"/>
  <c r="H94" i="32"/>
  <c r="H232" i="32"/>
  <c r="H296" i="32"/>
  <c r="H198" i="32"/>
  <c r="H282" i="32"/>
  <c r="H138" i="32"/>
  <c r="H158" i="32"/>
  <c r="H154" i="32"/>
  <c r="H194" i="32"/>
  <c r="H294" i="32"/>
  <c r="H134" i="32"/>
  <c r="H300" i="32"/>
  <c r="H237" i="32"/>
  <c r="H313" i="32"/>
  <c r="H46" i="32"/>
  <c r="H146" i="32"/>
  <c r="H234" i="32"/>
  <c r="H293" i="32"/>
  <c r="H107" i="32"/>
  <c r="H54" i="32"/>
  <c r="H266" i="32"/>
  <c r="H253" i="32"/>
  <c r="H228" i="32"/>
  <c r="H50" i="32"/>
  <c r="H170" i="32"/>
  <c r="H175" i="32"/>
  <c r="H128" i="32"/>
  <c r="H37" i="32"/>
  <c r="H23" i="32"/>
  <c r="H220" i="32"/>
  <c r="H211" i="32"/>
  <c r="H223" i="32"/>
  <c r="H92" i="32"/>
  <c r="H35" i="32"/>
  <c r="H104" i="32"/>
  <c r="H101" i="32"/>
  <c r="H21" i="32"/>
  <c r="H7" i="32"/>
  <c r="H172" i="32"/>
  <c r="H184" i="32"/>
  <c r="H191" i="32"/>
  <c r="H84" i="32"/>
  <c r="H26" i="32"/>
  <c r="H45" i="32"/>
  <c r="H81" i="32"/>
  <c r="H133" i="32"/>
  <c r="H177" i="32"/>
  <c r="H217" i="32"/>
  <c r="H43" i="32"/>
  <c r="H79" i="32"/>
  <c r="H131" i="32"/>
  <c r="H173" i="32"/>
  <c r="H231" i="32"/>
  <c r="H8" i="32"/>
  <c r="H89" i="32"/>
  <c r="H167" i="32"/>
  <c r="H263" i="32"/>
  <c r="H295" i="32"/>
  <c r="H36" i="32"/>
  <c r="H117" i="32"/>
  <c r="H209" i="32"/>
  <c r="H306" i="32"/>
  <c r="H33" i="32"/>
  <c r="H113" i="32"/>
  <c r="H185" i="32"/>
  <c r="H275" i="32"/>
  <c r="H303" i="32"/>
  <c r="H24" i="32"/>
  <c r="H85" i="32"/>
  <c r="H181" i="32"/>
  <c r="H308" i="32"/>
  <c r="H288" i="32"/>
  <c r="H106" i="32"/>
  <c r="H297" i="32"/>
  <c r="H222" i="32"/>
  <c r="H242" i="32"/>
  <c r="H210" i="32"/>
  <c r="H42" i="32"/>
  <c r="H166" i="32"/>
  <c r="H286" i="32"/>
  <c r="H309" i="32"/>
  <c r="H273" i="32"/>
  <c r="H78" i="32"/>
  <c r="H62" i="32"/>
  <c r="H118" i="32"/>
  <c r="H127" i="32"/>
  <c r="H285" i="32"/>
  <c r="H86" i="32"/>
  <c r="H290" i="32"/>
  <c r="H206" i="32"/>
  <c r="H254" i="32"/>
  <c r="H246" i="32"/>
  <c r="H114" i="32"/>
  <c r="H174" i="32"/>
  <c r="H280" i="32"/>
  <c r="H64" i="32"/>
  <c r="H298" i="32"/>
  <c r="H236" i="32"/>
  <c r="H226" i="32"/>
  <c r="H182" i="32"/>
  <c r="H260" i="32"/>
  <c r="H44" i="32"/>
  <c r="H148" i="32"/>
  <c r="H140" i="32"/>
  <c r="H73" i="32"/>
  <c r="H19" i="32"/>
  <c r="H188" i="32"/>
  <c r="H195" i="32"/>
  <c r="H180" i="32"/>
  <c r="H76" i="32"/>
  <c r="H75" i="32"/>
  <c r="H157" i="32"/>
  <c r="H108" i="32"/>
  <c r="H77" i="32"/>
  <c r="H176" i="32"/>
  <c r="H136" i="32"/>
  <c r="H168" i="32"/>
  <c r="H116" i="32"/>
  <c r="H70" i="32"/>
  <c r="H28" i="32"/>
  <c r="H53" i="32"/>
  <c r="H95" i="32"/>
  <c r="H137" i="32"/>
  <c r="H199" i="32"/>
  <c r="H221" i="32"/>
  <c r="H51" i="32"/>
  <c r="H93" i="32"/>
  <c r="H135" i="32"/>
  <c r="H193" i="32"/>
  <c r="H247" i="32"/>
  <c r="H47" i="32"/>
  <c r="H121" i="32"/>
  <c r="H197" i="32"/>
  <c r="H271" i="32"/>
  <c r="H307" i="32"/>
  <c r="H41" i="32"/>
  <c r="H119" i="32"/>
  <c r="H225" i="32"/>
  <c r="H9" i="32"/>
  <c r="H39" i="32"/>
  <c r="H115" i="32"/>
  <c r="H187" i="32"/>
  <c r="H283" i="32"/>
  <c r="H311" i="32"/>
  <c r="H49" i="32"/>
  <c r="H91" i="32"/>
  <c r="H183" i="32"/>
  <c r="H304" i="32"/>
  <c r="H278" i="32"/>
  <c r="H48" i="32"/>
  <c r="H284" i="32"/>
  <c r="H139" i="32"/>
  <c r="H178" i="32"/>
  <c r="H162" i="32"/>
  <c r="H258" i="32"/>
  <c r="H82" i="32"/>
  <c r="H277" i="32"/>
  <c r="H110" i="32"/>
  <c r="H238" i="32"/>
  <c r="H256" i="32"/>
  <c r="H230" i="32"/>
  <c r="H257" i="32"/>
  <c r="H60" i="32"/>
  <c r="H272" i="32"/>
  <c r="H13" i="32"/>
  <c r="H281" i="32"/>
  <c r="H130" i="32"/>
  <c r="H240" i="32"/>
  <c r="H229" i="32"/>
  <c r="H58" i="32"/>
  <c r="H126" i="32"/>
  <c r="H270" i="32"/>
  <c r="H6" i="32"/>
  <c r="H289" i="32"/>
  <c r="H150" i="32"/>
  <c r="H142" i="32"/>
  <c r="H123" i="32"/>
  <c r="H250" i="32"/>
  <c r="H87" i="32"/>
  <c r="H153" i="32"/>
  <c r="H88" i="32"/>
  <c r="H31" i="32"/>
  <c r="H208" i="32"/>
  <c r="H156" i="32"/>
  <c r="H179" i="32"/>
  <c r="H161" i="32"/>
  <c r="H68" i="32"/>
  <c r="H207" i="32"/>
  <c r="H149" i="32"/>
  <c r="H96" i="32"/>
  <c r="H66" i="32"/>
  <c r="H120" i="32"/>
  <c r="H216" i="32"/>
  <c r="H192" i="32"/>
  <c r="H112" i="32"/>
  <c r="H10" i="32"/>
  <c r="I13" i="36"/>
  <c r="I19" i="36"/>
  <c r="I27" i="36"/>
  <c r="I30" i="36"/>
  <c r="I31" i="36"/>
  <c r="I34" i="36"/>
  <c r="I11" i="36"/>
  <c r="I14" i="36"/>
  <c r="I15" i="36"/>
  <c r="I26" i="36"/>
  <c r="I10" i="36"/>
  <c r="I22" i="36"/>
  <c r="I29" i="36"/>
  <c r="I35" i="36"/>
  <c r="I41" i="36"/>
  <c r="I43" i="36"/>
  <c r="I47" i="36"/>
  <c r="I51" i="36"/>
  <c r="I63" i="36"/>
  <c r="I67" i="36"/>
  <c r="I73" i="36"/>
  <c r="I82" i="36"/>
  <c r="I95" i="36"/>
  <c r="I99" i="36"/>
  <c r="I102" i="36"/>
  <c r="I119" i="36"/>
  <c r="I120" i="36"/>
  <c r="I122" i="36"/>
  <c r="I124" i="36"/>
  <c r="I128" i="36"/>
  <c r="I139" i="36"/>
  <c r="I146" i="36"/>
  <c r="I147" i="36"/>
  <c r="I152" i="36"/>
  <c r="I163" i="36"/>
  <c r="I168" i="36"/>
  <c r="I179" i="36"/>
  <c r="I184" i="36"/>
  <c r="I195" i="36"/>
  <c r="I200" i="36"/>
  <c r="I18" i="36"/>
  <c r="I25" i="36"/>
  <c r="I45" i="36"/>
  <c r="I46" i="36"/>
  <c r="I50" i="36"/>
  <c r="I60" i="36"/>
  <c r="I64" i="36"/>
  <c r="I68" i="36"/>
  <c r="I69" i="36"/>
  <c r="I72" i="36"/>
  <c r="I79" i="36"/>
  <c r="I83" i="36"/>
  <c r="I86" i="36"/>
  <c r="I103" i="36"/>
  <c r="I104" i="36"/>
  <c r="I106" i="36"/>
  <c r="I108" i="36"/>
  <c r="I112" i="36"/>
  <c r="I123" i="36"/>
  <c r="I130" i="36"/>
  <c r="I143" i="36"/>
  <c r="I148" i="36"/>
  <c r="I159" i="36"/>
  <c r="I164" i="36"/>
  <c r="I175" i="36"/>
  <c r="I180" i="36"/>
  <c r="I191" i="36"/>
  <c r="I196" i="36"/>
  <c r="I54" i="36"/>
  <c r="I88" i="36"/>
  <c r="I96" i="36"/>
  <c r="I107" i="36"/>
  <c r="I111" i="36"/>
  <c r="I127" i="36"/>
  <c r="I138" i="36"/>
  <c r="I171" i="36"/>
  <c r="I176" i="36"/>
  <c r="I208" i="36"/>
  <c r="I220" i="36"/>
  <c r="I223" i="36"/>
  <c r="I228" i="36"/>
  <c r="I236" i="36"/>
  <c r="I239" i="36"/>
  <c r="I244" i="36"/>
  <c r="I252" i="36"/>
  <c r="I255" i="36"/>
  <c r="I260" i="36"/>
  <c r="I268" i="36"/>
  <c r="I271" i="36"/>
  <c r="I276" i="36"/>
  <c r="I38" i="36"/>
  <c r="I42" i="36"/>
  <c r="I61" i="36"/>
  <c r="I76" i="36"/>
  <c r="I91" i="36"/>
  <c r="I92" i="36"/>
  <c r="I115" i="36"/>
  <c r="I144" i="36"/>
  <c r="I156" i="36"/>
  <c r="I167" i="36"/>
  <c r="I188" i="36"/>
  <c r="I199" i="36"/>
  <c r="I215" i="36"/>
  <c r="I221" i="36"/>
  <c r="I224" i="36"/>
  <c r="I225" i="36"/>
  <c r="I237" i="36"/>
  <c r="I240" i="36"/>
  <c r="I241" i="36"/>
  <c r="I253" i="36"/>
  <c r="I256" i="36"/>
  <c r="I257" i="36"/>
  <c r="I269" i="36"/>
  <c r="I272" i="36"/>
  <c r="I273" i="36"/>
  <c r="I87" i="36"/>
  <c r="I90" i="36"/>
  <c r="I114" i="36"/>
  <c r="I118" i="36"/>
  <c r="I135" i="36"/>
  <c r="I155" i="36"/>
  <c r="I160" i="36"/>
  <c r="I187" i="36"/>
  <c r="I192" i="36"/>
  <c r="I203" i="36"/>
  <c r="I204" i="36"/>
  <c r="I211" i="36"/>
  <c r="I216" i="36"/>
  <c r="I232" i="36"/>
  <c r="I248" i="36"/>
  <c r="I264" i="36"/>
  <c r="I280" i="36"/>
  <c r="I57" i="36"/>
  <c r="I80" i="36"/>
  <c r="I98" i="36"/>
  <c r="I131" i="36"/>
  <c r="I134" i="36"/>
  <c r="I136" i="36"/>
  <c r="I140" i="36"/>
  <c r="I151" i="36"/>
  <c r="I172" i="36"/>
  <c r="I183" i="36"/>
  <c r="I207" i="36"/>
  <c r="I212" i="36"/>
  <c r="I219" i="36"/>
  <c r="I227" i="36"/>
  <c r="I229" i="36"/>
  <c r="I235" i="36"/>
  <c r="I243" i="36"/>
  <c r="I245" i="36"/>
  <c r="I251" i="36"/>
  <c r="I259" i="36"/>
  <c r="I261" i="36"/>
  <c r="I267" i="36"/>
  <c r="I275" i="36"/>
  <c r="I277" i="36"/>
  <c r="I283" i="36"/>
  <c r="I293" i="36"/>
  <c r="I294" i="36"/>
  <c r="I289" i="36"/>
  <c r="I290" i="36"/>
  <c r="I295" i="36"/>
  <c r="I309" i="36"/>
  <c r="I311" i="36"/>
  <c r="I284" i="36"/>
  <c r="I287" i="36"/>
  <c r="I297" i="36"/>
  <c r="I302" i="36"/>
  <c r="I310" i="36"/>
  <c r="I313" i="36"/>
  <c r="I285" i="36"/>
  <c r="I298" i="36"/>
  <c r="I299" i="36"/>
  <c r="I306" i="36"/>
  <c r="I314" i="36"/>
  <c r="I315" i="36"/>
  <c r="I304" i="36"/>
  <c r="I109" i="36"/>
  <c r="I292" i="36"/>
  <c r="I213" i="36"/>
  <c r="I197" i="36"/>
  <c r="I181" i="36"/>
  <c r="I157" i="36"/>
  <c r="I9" i="36"/>
  <c r="I246" i="36"/>
  <c r="I307" i="36"/>
  <c r="I291" i="36"/>
  <c r="I279" i="36"/>
  <c r="I141" i="36"/>
  <c r="I77" i="36"/>
  <c r="I303" i="36"/>
  <c r="I209" i="36"/>
  <c r="I193" i="36"/>
  <c r="I177" i="36"/>
  <c r="I165" i="36"/>
  <c r="I153" i="36"/>
  <c r="I116" i="36"/>
  <c r="I100" i="36"/>
  <c r="I84" i="36"/>
  <c r="I145" i="36"/>
  <c r="I39" i="36"/>
  <c r="I274" i="36"/>
  <c r="I206" i="36"/>
  <c r="I194" i="36"/>
  <c r="I182" i="36"/>
  <c r="I170" i="36"/>
  <c r="I126" i="36"/>
  <c r="I62" i="36"/>
  <c r="I312" i="36"/>
  <c r="I247" i="36"/>
  <c r="I55" i="36"/>
  <c r="I226" i="36"/>
  <c r="I190" i="36"/>
  <c r="I178" i="36"/>
  <c r="I166" i="36"/>
  <c r="I154" i="36"/>
  <c r="I142" i="36"/>
  <c r="I78" i="36"/>
  <c r="I263" i="36"/>
  <c r="I125" i="36"/>
  <c r="I288" i="36"/>
  <c r="I201" i="36"/>
  <c r="I189" i="36"/>
  <c r="I173" i="36"/>
  <c r="I149" i="36"/>
  <c r="I278" i="36"/>
  <c r="I230" i="36"/>
  <c r="I33" i="36"/>
  <c r="I93" i="36"/>
  <c r="I316" i="36"/>
  <c r="I300" i="36"/>
  <c r="I205" i="36"/>
  <c r="I185" i="36"/>
  <c r="I169" i="36"/>
  <c r="I161" i="36"/>
  <c r="I132" i="36"/>
  <c r="I308" i="36"/>
  <c r="I301" i="36"/>
  <c r="I282" i="36"/>
  <c r="I281" i="36"/>
  <c r="I266" i="36"/>
  <c r="I265" i="36"/>
  <c r="I250" i="36"/>
  <c r="I249" i="36"/>
  <c r="I234" i="36"/>
  <c r="I233" i="36"/>
  <c r="I218" i="36"/>
  <c r="I217" i="36"/>
  <c r="I113" i="36"/>
  <c r="I97" i="36"/>
  <c r="I81" i="36"/>
  <c r="I71" i="36"/>
  <c r="I242" i="36"/>
  <c r="I214" i="36"/>
  <c r="I202" i="36"/>
  <c r="I231" i="36"/>
  <c r="I305" i="36"/>
  <c r="I296" i="36"/>
  <c r="I262" i="36"/>
  <c r="I65" i="36"/>
  <c r="I129" i="36"/>
  <c r="I258" i="36"/>
  <c r="I210" i="36"/>
  <c r="I198" i="36"/>
  <c r="I186" i="36"/>
  <c r="I94" i="36"/>
  <c r="I270" i="36"/>
  <c r="I238" i="36"/>
  <c r="I105" i="36"/>
  <c r="I49" i="36"/>
  <c r="I117" i="36"/>
  <c r="I85" i="36"/>
  <c r="I56" i="36"/>
  <c r="I24" i="36"/>
  <c r="I66" i="36"/>
  <c r="I48" i="36"/>
  <c r="I44" i="36"/>
  <c r="I12" i="36"/>
  <c r="I158" i="36"/>
  <c r="I110" i="36"/>
  <c r="I52" i="36"/>
  <c r="I17" i="36"/>
  <c r="I58" i="36"/>
  <c r="I121" i="36"/>
  <c r="I59" i="36"/>
  <c r="I36" i="36"/>
  <c r="I21" i="36"/>
  <c r="I174" i="36"/>
  <c r="I162" i="36"/>
  <c r="I150" i="36"/>
  <c r="I286" i="36"/>
  <c r="I254" i="36"/>
  <c r="I222" i="36"/>
  <c r="I137" i="36"/>
  <c r="I20" i="36"/>
  <c r="I133" i="36"/>
  <c r="I101" i="36"/>
  <c r="I40" i="36"/>
  <c r="I37" i="36"/>
  <c r="I16" i="36"/>
  <c r="I28" i="36"/>
  <c r="I74" i="36"/>
  <c r="I89" i="36"/>
  <c r="I75" i="36"/>
  <c r="I23" i="36"/>
  <c r="I70" i="36"/>
  <c r="I53" i="36"/>
  <c r="I32" i="36"/>
  <c r="J10" i="36"/>
  <c r="J22" i="36"/>
  <c r="J23" i="36"/>
  <c r="J28" i="36"/>
  <c r="J32" i="36"/>
  <c r="J35" i="36"/>
  <c r="J12" i="36"/>
  <c r="J16" i="36"/>
  <c r="J14" i="36"/>
  <c r="J15" i="36"/>
  <c r="J18" i="36"/>
  <c r="J26" i="36"/>
  <c r="J38" i="36"/>
  <c r="J46" i="36"/>
  <c r="J30" i="36"/>
  <c r="J34" i="36"/>
  <c r="J48" i="36"/>
  <c r="J57" i="36"/>
  <c r="J61" i="36"/>
  <c r="J76" i="36"/>
  <c r="J80" i="36"/>
  <c r="J91" i="36"/>
  <c r="J111" i="36"/>
  <c r="J115" i="36"/>
  <c r="J117" i="36"/>
  <c r="J121" i="36"/>
  <c r="J135" i="36"/>
  <c r="J136" i="36"/>
  <c r="J140" i="36"/>
  <c r="J144" i="36"/>
  <c r="J156" i="36"/>
  <c r="J172" i="36"/>
  <c r="J188" i="36"/>
  <c r="J204" i="36"/>
  <c r="J19" i="36"/>
  <c r="J47" i="36"/>
  <c r="J51" i="36"/>
  <c r="J66" i="36"/>
  <c r="J70" i="36"/>
  <c r="J73" i="36"/>
  <c r="J74" i="36"/>
  <c r="J95" i="36"/>
  <c r="J99" i="36"/>
  <c r="J101" i="36"/>
  <c r="J105" i="36"/>
  <c r="J119" i="36"/>
  <c r="J120" i="36"/>
  <c r="J124" i="36"/>
  <c r="J128" i="36"/>
  <c r="J139" i="36"/>
  <c r="J152" i="36"/>
  <c r="J168" i="36"/>
  <c r="J184" i="36"/>
  <c r="J200" i="36"/>
  <c r="J31" i="36"/>
  <c r="J60" i="36"/>
  <c r="J69" i="36"/>
  <c r="J103" i="36"/>
  <c r="J112" i="36"/>
  <c r="J131" i="36"/>
  <c r="J137" i="36"/>
  <c r="J143" i="36"/>
  <c r="J148" i="36"/>
  <c r="J180" i="36"/>
  <c r="J212" i="36"/>
  <c r="J229" i="36"/>
  <c r="J245" i="36"/>
  <c r="J261" i="36"/>
  <c r="J277" i="36"/>
  <c r="J54" i="36"/>
  <c r="J83" i="36"/>
  <c r="J88" i="36"/>
  <c r="J96" i="36"/>
  <c r="J107" i="36"/>
  <c r="J127" i="36"/>
  <c r="J176" i="36"/>
  <c r="J208" i="36"/>
  <c r="J220" i="36"/>
  <c r="J222" i="36"/>
  <c r="J226" i="36"/>
  <c r="J228" i="36"/>
  <c r="J236" i="36"/>
  <c r="J238" i="36"/>
  <c r="J242" i="36"/>
  <c r="J244" i="36"/>
  <c r="J252" i="36"/>
  <c r="J254" i="36"/>
  <c r="J258" i="36"/>
  <c r="J260" i="36"/>
  <c r="J268" i="36"/>
  <c r="J270" i="36"/>
  <c r="J274" i="36"/>
  <c r="J276" i="36"/>
  <c r="J42" i="36"/>
  <c r="J68" i="36"/>
  <c r="J72" i="36"/>
  <c r="J79" i="36"/>
  <c r="J89" i="36"/>
  <c r="J92" i="36"/>
  <c r="J104" i="36"/>
  <c r="J108" i="36"/>
  <c r="J133" i="36"/>
  <c r="J164" i="36"/>
  <c r="J196" i="36"/>
  <c r="J224" i="36"/>
  <c r="J225" i="36"/>
  <c r="J230" i="36"/>
  <c r="J240" i="36"/>
  <c r="J241" i="36"/>
  <c r="J246" i="36"/>
  <c r="J256" i="36"/>
  <c r="J257" i="36"/>
  <c r="J262" i="36"/>
  <c r="J272" i="36"/>
  <c r="J273" i="36"/>
  <c r="J278" i="36"/>
  <c r="J44" i="36"/>
  <c r="J50" i="36"/>
  <c r="J64" i="36"/>
  <c r="J85" i="36"/>
  <c r="J87" i="36"/>
  <c r="J123" i="36"/>
  <c r="J160" i="36"/>
  <c r="J192" i="36"/>
  <c r="J216" i="36"/>
  <c r="J232" i="36"/>
  <c r="J248" i="36"/>
  <c r="J264" i="36"/>
  <c r="J280" i="36"/>
  <c r="J294" i="36"/>
  <c r="J298" i="36"/>
  <c r="J299" i="36"/>
  <c r="J303" i="36"/>
  <c r="J306" i="36"/>
  <c r="J314" i="36"/>
  <c r="J315" i="36"/>
  <c r="J286" i="36"/>
  <c r="J296" i="36"/>
  <c r="J300" i="36"/>
  <c r="J312" i="36"/>
  <c r="J290" i="36"/>
  <c r="J316" i="36"/>
  <c r="J284" i="36"/>
  <c r="J302" i="36"/>
  <c r="J310" i="36"/>
  <c r="J263" i="36"/>
  <c r="J288" i="36"/>
  <c r="J201" i="36"/>
  <c r="J189" i="36"/>
  <c r="J173" i="36"/>
  <c r="J149" i="36"/>
  <c r="J309" i="36"/>
  <c r="J295" i="36"/>
  <c r="J243" i="36"/>
  <c r="J297" i="36"/>
  <c r="J205" i="36"/>
  <c r="J185" i="36"/>
  <c r="J169" i="36"/>
  <c r="J161" i="36"/>
  <c r="J138" i="36"/>
  <c r="J132" i="36"/>
  <c r="J282" i="36"/>
  <c r="J266" i="36"/>
  <c r="J250" i="36"/>
  <c r="J234" i="36"/>
  <c r="J218" i="36"/>
  <c r="J125" i="36"/>
  <c r="J113" i="36"/>
  <c r="J97" i="36"/>
  <c r="J81" i="36"/>
  <c r="J239" i="36"/>
  <c r="J214" i="36"/>
  <c r="J202" i="36"/>
  <c r="J174" i="36"/>
  <c r="J162" i="36"/>
  <c r="J150" i="36"/>
  <c r="J94" i="36"/>
  <c r="J52" i="36"/>
  <c r="J281" i="36"/>
  <c r="J58" i="36"/>
  <c r="J231" i="36"/>
  <c r="J308" i="36"/>
  <c r="J217" i="36"/>
  <c r="J65" i="36"/>
  <c r="J141" i="36"/>
  <c r="J129" i="36"/>
  <c r="J71" i="36"/>
  <c r="J39" i="36"/>
  <c r="J255" i="36"/>
  <c r="J210" i="36"/>
  <c r="J198" i="36"/>
  <c r="J186" i="36"/>
  <c r="J158" i="36"/>
  <c r="J110" i="36"/>
  <c r="J301" i="36"/>
  <c r="J313" i="36"/>
  <c r="J292" i="36"/>
  <c r="J213" i="36"/>
  <c r="J197" i="36"/>
  <c r="J181" i="36"/>
  <c r="J157" i="36"/>
  <c r="J122" i="36"/>
  <c r="J9" i="36"/>
  <c r="J311" i="36"/>
  <c r="J293" i="36"/>
  <c r="J275" i="36"/>
  <c r="J249" i="36"/>
  <c r="J227" i="36"/>
  <c r="J33" i="36"/>
  <c r="J279" i="36"/>
  <c r="J209" i="36"/>
  <c r="J193" i="36"/>
  <c r="J177" i="36"/>
  <c r="J165" i="36"/>
  <c r="J153" i="36"/>
  <c r="J116" i="36"/>
  <c r="J106" i="36"/>
  <c r="J100" i="36"/>
  <c r="J90" i="36"/>
  <c r="J84" i="36"/>
  <c r="J305" i="36"/>
  <c r="J145" i="36"/>
  <c r="J271" i="36"/>
  <c r="J206" i="36"/>
  <c r="J194" i="36"/>
  <c r="J182" i="36"/>
  <c r="J265" i="36"/>
  <c r="J291" i="36"/>
  <c r="J259" i="36"/>
  <c r="J233" i="36"/>
  <c r="J247" i="36"/>
  <c r="J55" i="36"/>
  <c r="J307" i="36"/>
  <c r="J304" i="36"/>
  <c r="J285" i="36"/>
  <c r="J269" i="36"/>
  <c r="J253" i="36"/>
  <c r="J237" i="36"/>
  <c r="J221" i="36"/>
  <c r="J109" i="36"/>
  <c r="J93" i="36"/>
  <c r="J77" i="36"/>
  <c r="J287" i="36"/>
  <c r="J223" i="36"/>
  <c r="J190" i="36"/>
  <c r="J126" i="36"/>
  <c r="J283" i="36"/>
  <c r="J251" i="36"/>
  <c r="J219" i="36"/>
  <c r="J134" i="36"/>
  <c r="J49" i="36"/>
  <c r="J211" i="36"/>
  <c r="J195" i="36"/>
  <c r="J179" i="36"/>
  <c r="J163" i="36"/>
  <c r="J147" i="36"/>
  <c r="J130" i="36"/>
  <c r="J98" i="36"/>
  <c r="J40" i="36"/>
  <c r="J37" i="36"/>
  <c r="J13" i="36"/>
  <c r="J25" i="36"/>
  <c r="J178" i="36"/>
  <c r="J166" i="36"/>
  <c r="J154" i="36"/>
  <c r="J142" i="36"/>
  <c r="J17" i="36"/>
  <c r="J86" i="36"/>
  <c r="J75" i="36"/>
  <c r="J207" i="36"/>
  <c r="J191" i="36"/>
  <c r="J175" i="36"/>
  <c r="J159" i="36"/>
  <c r="J36" i="36"/>
  <c r="J67" i="36"/>
  <c r="J53" i="36"/>
  <c r="J27" i="36"/>
  <c r="J29" i="36"/>
  <c r="J170" i="36"/>
  <c r="J62" i="36"/>
  <c r="J267" i="36"/>
  <c r="J235" i="36"/>
  <c r="J102" i="36"/>
  <c r="J20" i="36"/>
  <c r="J203" i="36"/>
  <c r="J187" i="36"/>
  <c r="J171" i="36"/>
  <c r="J155" i="36"/>
  <c r="J146" i="36"/>
  <c r="J114" i="36"/>
  <c r="J82" i="36"/>
  <c r="J56" i="36"/>
  <c r="J24" i="36"/>
  <c r="J63" i="36"/>
  <c r="J45" i="36"/>
  <c r="J41" i="36"/>
  <c r="J78" i="36"/>
  <c r="J289" i="36"/>
  <c r="J118" i="36"/>
  <c r="J59" i="36"/>
  <c r="J215" i="36"/>
  <c r="J199" i="36"/>
  <c r="J183" i="36"/>
  <c r="J167" i="36"/>
  <c r="J151" i="36"/>
  <c r="J43" i="36"/>
  <c r="J11" i="36"/>
  <c r="J21" i="36"/>
  <c r="E30" i="36"/>
  <c r="E34" i="36"/>
  <c r="E14" i="36"/>
  <c r="E18" i="36"/>
  <c r="E13" i="36"/>
  <c r="E15" i="36"/>
  <c r="E19" i="36"/>
  <c r="E25" i="36"/>
  <c r="E26" i="36"/>
  <c r="E10" i="36"/>
  <c r="E22" i="36"/>
  <c r="E45" i="36"/>
  <c r="E31" i="36"/>
  <c r="E35" i="36"/>
  <c r="E53" i="36"/>
  <c r="E57" i="36"/>
  <c r="E92" i="36"/>
  <c r="E95" i="36"/>
  <c r="E98" i="36"/>
  <c r="E99" i="36"/>
  <c r="E112" i="36"/>
  <c r="E119" i="36"/>
  <c r="E134" i="36"/>
  <c r="E136" i="36"/>
  <c r="E139" i="36"/>
  <c r="E151" i="36"/>
  <c r="E152" i="36"/>
  <c r="E167" i="36"/>
  <c r="E168" i="36"/>
  <c r="E183" i="36"/>
  <c r="E184" i="36"/>
  <c r="E199" i="36"/>
  <c r="E200" i="36"/>
  <c r="E29" i="36"/>
  <c r="E41" i="36"/>
  <c r="E47" i="36"/>
  <c r="E50" i="36"/>
  <c r="E60" i="36"/>
  <c r="E63" i="36"/>
  <c r="E64" i="36"/>
  <c r="E68" i="36"/>
  <c r="E72" i="36"/>
  <c r="E75" i="36"/>
  <c r="E79" i="36"/>
  <c r="E82" i="36"/>
  <c r="E83" i="36"/>
  <c r="E96" i="36"/>
  <c r="E103" i="36"/>
  <c r="E118" i="36"/>
  <c r="E120" i="36"/>
  <c r="E123" i="36"/>
  <c r="E140" i="36"/>
  <c r="E143" i="36"/>
  <c r="E146" i="36"/>
  <c r="E147" i="36"/>
  <c r="E148" i="36"/>
  <c r="E163" i="36"/>
  <c r="E164" i="36"/>
  <c r="E179" i="36"/>
  <c r="E180" i="36"/>
  <c r="E195" i="36"/>
  <c r="E196" i="36"/>
  <c r="E38" i="36"/>
  <c r="E42" i="36"/>
  <c r="E61" i="36"/>
  <c r="E86" i="36"/>
  <c r="E87" i="36"/>
  <c r="E104" i="36"/>
  <c r="E130" i="36"/>
  <c r="E135" i="36"/>
  <c r="E144" i="36"/>
  <c r="E160" i="36"/>
  <c r="E192" i="36"/>
  <c r="E203" i="36"/>
  <c r="E207" i="36"/>
  <c r="E208" i="36"/>
  <c r="E219" i="36"/>
  <c r="E220" i="36"/>
  <c r="E228" i="36"/>
  <c r="E235" i="36"/>
  <c r="E236" i="36"/>
  <c r="E244" i="36"/>
  <c r="E251" i="36"/>
  <c r="E252" i="36"/>
  <c r="E260" i="36"/>
  <c r="E267" i="36"/>
  <c r="E268" i="36"/>
  <c r="E276" i="36"/>
  <c r="E283" i="36"/>
  <c r="E102" i="36"/>
  <c r="E108" i="36"/>
  <c r="E114" i="36"/>
  <c r="E128" i="36"/>
  <c r="E131" i="36"/>
  <c r="E155" i="36"/>
  <c r="E172" i="36"/>
  <c r="E175" i="36"/>
  <c r="E187" i="36"/>
  <c r="E224" i="36"/>
  <c r="E229" i="36"/>
  <c r="E240" i="36"/>
  <c r="E245" i="36"/>
  <c r="E256" i="36"/>
  <c r="E261" i="36"/>
  <c r="E272" i="36"/>
  <c r="E277" i="36"/>
  <c r="E54" i="36"/>
  <c r="E69" i="36"/>
  <c r="E73" i="36"/>
  <c r="E80" i="36"/>
  <c r="E107" i="36"/>
  <c r="E111" i="36"/>
  <c r="E127" i="36"/>
  <c r="E176" i="36"/>
  <c r="E215" i="36"/>
  <c r="E216" i="36"/>
  <c r="E223" i="36"/>
  <c r="E225" i="36"/>
  <c r="E232" i="36"/>
  <c r="E239" i="36"/>
  <c r="E241" i="36"/>
  <c r="E248" i="36"/>
  <c r="E255" i="36"/>
  <c r="E257" i="36"/>
  <c r="E264" i="36"/>
  <c r="E271" i="36"/>
  <c r="E273" i="36"/>
  <c r="E280" i="36"/>
  <c r="E287" i="36"/>
  <c r="E46" i="36"/>
  <c r="E51" i="36"/>
  <c r="E67" i="36"/>
  <c r="E76" i="36"/>
  <c r="E88" i="36"/>
  <c r="E91" i="36"/>
  <c r="E115" i="36"/>
  <c r="E124" i="36"/>
  <c r="E156" i="36"/>
  <c r="E159" i="36"/>
  <c r="E171" i="36"/>
  <c r="E188" i="36"/>
  <c r="E191" i="36"/>
  <c r="E204" i="36"/>
  <c r="E211" i="36"/>
  <c r="E212" i="36"/>
  <c r="E217" i="36"/>
  <c r="E233" i="36"/>
  <c r="E249" i="36"/>
  <c r="E265" i="36"/>
  <c r="E281" i="36"/>
  <c r="E284" i="36"/>
  <c r="E299" i="36"/>
  <c r="E305" i="36"/>
  <c r="E315" i="36"/>
  <c r="E294" i="36"/>
  <c r="E290" i="36"/>
  <c r="E293" i="36"/>
  <c r="E302" i="36"/>
  <c r="E309" i="36"/>
  <c r="E310" i="36"/>
  <c r="E289" i="36"/>
  <c r="E298" i="36"/>
  <c r="E303" i="36"/>
  <c r="E306" i="36"/>
  <c r="E314" i="36"/>
  <c r="E231" i="36"/>
  <c r="E312" i="36"/>
  <c r="E259" i="36"/>
  <c r="E65" i="36"/>
  <c r="E307" i="36"/>
  <c r="E226" i="36"/>
  <c r="E190" i="36"/>
  <c r="E178" i="36"/>
  <c r="E166" i="36"/>
  <c r="E154" i="36"/>
  <c r="E110" i="36"/>
  <c r="E125" i="36"/>
  <c r="E288" i="36"/>
  <c r="E201" i="36"/>
  <c r="E189" i="36"/>
  <c r="E173" i="36"/>
  <c r="E149" i="36"/>
  <c r="E278" i="36"/>
  <c r="E243" i="36"/>
  <c r="E230" i="36"/>
  <c r="E279" i="36"/>
  <c r="E93" i="36"/>
  <c r="E316" i="36"/>
  <c r="E300" i="36"/>
  <c r="E205" i="36"/>
  <c r="E185" i="36"/>
  <c r="E169" i="36"/>
  <c r="E161" i="36"/>
  <c r="E138" i="36"/>
  <c r="E116" i="36"/>
  <c r="E100" i="36"/>
  <c r="E84" i="36"/>
  <c r="E308" i="36"/>
  <c r="E282" i="36"/>
  <c r="E266" i="36"/>
  <c r="E250" i="36"/>
  <c r="E234" i="36"/>
  <c r="E218" i="36"/>
  <c r="E113" i="36"/>
  <c r="E97" i="36"/>
  <c r="E81" i="36"/>
  <c r="E242" i="36"/>
  <c r="E214" i="36"/>
  <c r="E202" i="36"/>
  <c r="E174" i="36"/>
  <c r="E162" i="36"/>
  <c r="E150" i="36"/>
  <c r="E126" i="36"/>
  <c r="E295" i="36"/>
  <c r="E296" i="36"/>
  <c r="E262" i="36"/>
  <c r="E247" i="36"/>
  <c r="E55" i="36"/>
  <c r="E313" i="36"/>
  <c r="E297" i="36"/>
  <c r="E285" i="36"/>
  <c r="E269" i="36"/>
  <c r="E253" i="36"/>
  <c r="E237" i="36"/>
  <c r="E221" i="36"/>
  <c r="E129" i="36"/>
  <c r="E71" i="36"/>
  <c r="E258" i="36"/>
  <c r="E210" i="36"/>
  <c r="E198" i="36"/>
  <c r="E186" i="36"/>
  <c r="E311" i="36"/>
  <c r="E304" i="36"/>
  <c r="E263" i="36"/>
  <c r="E109" i="36"/>
  <c r="E292" i="36"/>
  <c r="E213" i="36"/>
  <c r="E197" i="36"/>
  <c r="E181" i="36"/>
  <c r="E157" i="36"/>
  <c r="E122" i="36"/>
  <c r="E9" i="36"/>
  <c r="E301" i="36"/>
  <c r="E275" i="36"/>
  <c r="E246" i="36"/>
  <c r="E227" i="36"/>
  <c r="E33" i="36"/>
  <c r="E291" i="36"/>
  <c r="E141" i="36"/>
  <c r="E77" i="36"/>
  <c r="E209" i="36"/>
  <c r="E193" i="36"/>
  <c r="E177" i="36"/>
  <c r="E165" i="36"/>
  <c r="E153" i="36"/>
  <c r="E132" i="36"/>
  <c r="E106" i="36"/>
  <c r="E90" i="36"/>
  <c r="E145" i="36"/>
  <c r="E39" i="36"/>
  <c r="E274" i="36"/>
  <c r="E206" i="36"/>
  <c r="E194" i="36"/>
  <c r="E182" i="36"/>
  <c r="E158" i="36"/>
  <c r="E78" i="36"/>
  <c r="E52" i="36"/>
  <c r="E58" i="36"/>
  <c r="E121" i="36"/>
  <c r="E36" i="36"/>
  <c r="E27" i="36"/>
  <c r="E170" i="36"/>
  <c r="E94" i="36"/>
  <c r="E62" i="36"/>
  <c r="E286" i="36"/>
  <c r="E254" i="36"/>
  <c r="E222" i="36"/>
  <c r="E137" i="36"/>
  <c r="E49" i="36"/>
  <c r="E20" i="36"/>
  <c r="E133" i="36"/>
  <c r="E101" i="36"/>
  <c r="E40" i="36"/>
  <c r="E16" i="36"/>
  <c r="E28" i="36"/>
  <c r="E142" i="36"/>
  <c r="E17" i="36"/>
  <c r="E74" i="36"/>
  <c r="E89" i="36"/>
  <c r="E59" i="36"/>
  <c r="E23" i="36"/>
  <c r="E70" i="36"/>
  <c r="E43" i="36"/>
  <c r="E11" i="36"/>
  <c r="E21" i="36"/>
  <c r="E32" i="36"/>
  <c r="E270" i="36"/>
  <c r="E238" i="36"/>
  <c r="E105" i="36"/>
  <c r="E117" i="36"/>
  <c r="E85" i="36"/>
  <c r="E56" i="36"/>
  <c r="E24" i="36"/>
  <c r="E66" i="36"/>
  <c r="E37" i="36"/>
  <c r="E48" i="36"/>
  <c r="E44" i="36"/>
  <c r="E12" i="36"/>
  <c r="F10" i="36"/>
  <c r="F22" i="36"/>
  <c r="F12" i="36"/>
  <c r="F14" i="36"/>
  <c r="F18" i="36"/>
  <c r="F15" i="36"/>
  <c r="F16" i="36"/>
  <c r="F19" i="36"/>
  <c r="F26" i="36"/>
  <c r="F38" i="36"/>
  <c r="F44" i="36"/>
  <c r="F46" i="36"/>
  <c r="F42" i="36"/>
  <c r="F76" i="36"/>
  <c r="F88" i="36"/>
  <c r="F89" i="36"/>
  <c r="F91" i="36"/>
  <c r="F108" i="36"/>
  <c r="F111" i="36"/>
  <c r="F115" i="36"/>
  <c r="F133" i="36"/>
  <c r="F135" i="36"/>
  <c r="F156" i="36"/>
  <c r="F157" i="36"/>
  <c r="F172" i="36"/>
  <c r="F173" i="36"/>
  <c r="F188" i="36"/>
  <c r="F189" i="36"/>
  <c r="F204" i="36"/>
  <c r="F28" i="36"/>
  <c r="F31" i="36"/>
  <c r="F35" i="36"/>
  <c r="F92" i="36"/>
  <c r="F95" i="36"/>
  <c r="F99" i="36"/>
  <c r="F117" i="36"/>
  <c r="F119" i="36"/>
  <c r="F136" i="36"/>
  <c r="F137" i="36"/>
  <c r="F139" i="36"/>
  <c r="F152" i="36"/>
  <c r="F153" i="36"/>
  <c r="F168" i="36"/>
  <c r="F169" i="36"/>
  <c r="F184" i="36"/>
  <c r="F185" i="36"/>
  <c r="F200" i="36"/>
  <c r="F201" i="36"/>
  <c r="F34" i="36"/>
  <c r="F47" i="36"/>
  <c r="F51" i="36"/>
  <c r="F56" i="36"/>
  <c r="F68" i="36"/>
  <c r="F72" i="36"/>
  <c r="F79" i="36"/>
  <c r="F101" i="36"/>
  <c r="F120" i="36"/>
  <c r="F124" i="36"/>
  <c r="F149" i="36"/>
  <c r="F164" i="36"/>
  <c r="F181" i="36"/>
  <c r="F196" i="36"/>
  <c r="F212" i="36"/>
  <c r="F213" i="36"/>
  <c r="F32" i="36"/>
  <c r="F48" i="36"/>
  <c r="F50" i="36"/>
  <c r="F64" i="36"/>
  <c r="F70" i="36"/>
  <c r="F87" i="36"/>
  <c r="F104" i="36"/>
  <c r="F121" i="36"/>
  <c r="F123" i="36"/>
  <c r="F160" i="36"/>
  <c r="F177" i="36"/>
  <c r="F192" i="36"/>
  <c r="F208" i="36"/>
  <c r="F209" i="36"/>
  <c r="F220" i="36"/>
  <c r="F228" i="36"/>
  <c r="F236" i="36"/>
  <c r="F244" i="36"/>
  <c r="F252" i="36"/>
  <c r="F260" i="36"/>
  <c r="F268" i="36"/>
  <c r="F276" i="36"/>
  <c r="F60" i="36"/>
  <c r="F66" i="36"/>
  <c r="F85" i="36"/>
  <c r="F103" i="36"/>
  <c r="F131" i="36"/>
  <c r="F140" i="36"/>
  <c r="F143" i="36"/>
  <c r="F148" i="36"/>
  <c r="F165" i="36"/>
  <c r="F180" i="36"/>
  <c r="F197" i="36"/>
  <c r="F205" i="36"/>
  <c r="F222" i="36"/>
  <c r="F224" i="36"/>
  <c r="F229" i="36"/>
  <c r="F238" i="36"/>
  <c r="F240" i="36"/>
  <c r="F245" i="36"/>
  <c r="F254" i="36"/>
  <c r="F256" i="36"/>
  <c r="F261" i="36"/>
  <c r="F270" i="36"/>
  <c r="F272" i="36"/>
  <c r="F277" i="36"/>
  <c r="F286" i="36"/>
  <c r="F30" i="36"/>
  <c r="F54" i="36"/>
  <c r="F69" i="36"/>
  <c r="F73" i="36"/>
  <c r="F83" i="36"/>
  <c r="F105" i="36"/>
  <c r="F107" i="36"/>
  <c r="F127" i="36"/>
  <c r="F161" i="36"/>
  <c r="F176" i="36"/>
  <c r="F193" i="36"/>
  <c r="F216" i="36"/>
  <c r="F225" i="36"/>
  <c r="F226" i="36"/>
  <c r="F232" i="36"/>
  <c r="F241" i="36"/>
  <c r="F242" i="36"/>
  <c r="F248" i="36"/>
  <c r="F257" i="36"/>
  <c r="F258" i="36"/>
  <c r="F264" i="36"/>
  <c r="F273" i="36"/>
  <c r="F274" i="36"/>
  <c r="F280" i="36"/>
  <c r="F294" i="36"/>
  <c r="F295" i="36"/>
  <c r="F298" i="36"/>
  <c r="F306" i="36"/>
  <c r="F314" i="36"/>
  <c r="F284" i="36"/>
  <c r="F299" i="36"/>
  <c r="F315" i="36"/>
  <c r="F296" i="36"/>
  <c r="F312" i="36"/>
  <c r="F290" i="36"/>
  <c r="F302" i="36"/>
  <c r="F308" i="36"/>
  <c r="F310" i="36"/>
  <c r="F311" i="36"/>
  <c r="F203" i="36"/>
  <c r="F163" i="36"/>
  <c r="F211" i="36"/>
  <c r="F151" i="36"/>
  <c r="F171" i="36"/>
  <c r="F159" i="36"/>
  <c r="F231" i="36"/>
  <c r="F304" i="36"/>
  <c r="F262" i="36"/>
  <c r="F316" i="36"/>
  <c r="F300" i="36"/>
  <c r="F285" i="36"/>
  <c r="F269" i="36"/>
  <c r="F253" i="36"/>
  <c r="F237" i="36"/>
  <c r="F221" i="36"/>
  <c r="F71" i="36"/>
  <c r="F255" i="36"/>
  <c r="F210" i="36"/>
  <c r="F198" i="36"/>
  <c r="F186" i="36"/>
  <c r="F158" i="36"/>
  <c r="F110" i="36"/>
  <c r="F52" i="36"/>
  <c r="F199" i="36"/>
  <c r="F215" i="36"/>
  <c r="F147" i="36"/>
  <c r="F155" i="36"/>
  <c r="F301" i="36"/>
  <c r="F109" i="36"/>
  <c r="F313" i="36"/>
  <c r="F292" i="36"/>
  <c r="F122" i="36"/>
  <c r="F9" i="36"/>
  <c r="F293" i="36"/>
  <c r="F275" i="36"/>
  <c r="F246" i="36"/>
  <c r="F227" i="36"/>
  <c r="F33" i="36"/>
  <c r="F279" i="36"/>
  <c r="F141" i="36"/>
  <c r="F77" i="36"/>
  <c r="F132" i="36"/>
  <c r="F106" i="36"/>
  <c r="F90" i="36"/>
  <c r="F305" i="36"/>
  <c r="F303" i="36"/>
  <c r="F282" i="36"/>
  <c r="F266" i="36"/>
  <c r="F250" i="36"/>
  <c r="F234" i="36"/>
  <c r="F218" i="36"/>
  <c r="F113" i="36"/>
  <c r="F97" i="36"/>
  <c r="F81" i="36"/>
  <c r="F39" i="36"/>
  <c r="F271" i="36"/>
  <c r="F206" i="36"/>
  <c r="F194" i="36"/>
  <c r="F182" i="36"/>
  <c r="F170" i="36"/>
  <c r="F126" i="36"/>
  <c r="F195" i="36"/>
  <c r="F183" i="36"/>
  <c r="F57" i="36"/>
  <c r="F191" i="36"/>
  <c r="F307" i="36"/>
  <c r="F259" i="36"/>
  <c r="F65" i="36"/>
  <c r="F247" i="36"/>
  <c r="F291" i="36"/>
  <c r="F129" i="36"/>
  <c r="F287" i="36"/>
  <c r="F223" i="36"/>
  <c r="F190" i="36"/>
  <c r="F289" i="36"/>
  <c r="F207" i="36"/>
  <c r="F167" i="36"/>
  <c r="F179" i="36"/>
  <c r="F187" i="36"/>
  <c r="F175" i="36"/>
  <c r="F263" i="36"/>
  <c r="F125" i="36"/>
  <c r="F288" i="36"/>
  <c r="F249" i="36"/>
  <c r="F233" i="36"/>
  <c r="F217" i="36"/>
  <c r="F309" i="36"/>
  <c r="F278" i="36"/>
  <c r="F243" i="36"/>
  <c r="F230" i="36"/>
  <c r="F93" i="36"/>
  <c r="F297" i="36"/>
  <c r="F281" i="36"/>
  <c r="F265" i="36"/>
  <c r="F138" i="36"/>
  <c r="F116" i="36"/>
  <c r="F100" i="36"/>
  <c r="F84" i="36"/>
  <c r="F55" i="36"/>
  <c r="F145" i="36"/>
  <c r="F239" i="36"/>
  <c r="F214" i="36"/>
  <c r="F202" i="36"/>
  <c r="F178" i="36"/>
  <c r="F166" i="36"/>
  <c r="F154" i="36"/>
  <c r="F142" i="36"/>
  <c r="F17" i="36"/>
  <c r="F144" i="36"/>
  <c r="F128" i="36"/>
  <c r="F112" i="36"/>
  <c r="F96" i="36"/>
  <c r="F80" i="36"/>
  <c r="F74" i="36"/>
  <c r="F86" i="36"/>
  <c r="F75" i="36"/>
  <c r="F23" i="36"/>
  <c r="F67" i="36"/>
  <c r="F53" i="36"/>
  <c r="F43" i="36"/>
  <c r="F11" i="36"/>
  <c r="F29" i="36"/>
  <c r="F267" i="36"/>
  <c r="F235" i="36"/>
  <c r="F102" i="36"/>
  <c r="F146" i="36"/>
  <c r="F114" i="36"/>
  <c r="F82" i="36"/>
  <c r="F40" i="36"/>
  <c r="F63" i="36"/>
  <c r="F45" i="36"/>
  <c r="F41" i="36"/>
  <c r="F78" i="36"/>
  <c r="F58" i="36"/>
  <c r="F118" i="36"/>
  <c r="F59" i="36"/>
  <c r="F61" i="36"/>
  <c r="F36" i="36"/>
  <c r="F27" i="36"/>
  <c r="F21" i="36"/>
  <c r="F174" i="36"/>
  <c r="F162" i="36"/>
  <c r="F150" i="36"/>
  <c r="F94" i="36"/>
  <c r="F62" i="36"/>
  <c r="F283" i="36"/>
  <c r="F251" i="36"/>
  <c r="F219" i="36"/>
  <c r="F134" i="36"/>
  <c r="F49" i="36"/>
  <c r="F20" i="36"/>
  <c r="F130" i="36"/>
  <c r="F98" i="36"/>
  <c r="F24" i="36"/>
  <c r="F37" i="36"/>
  <c r="F13" i="36"/>
  <c r="F25" i="36"/>
  <c r="H12" i="36"/>
  <c r="H14" i="36"/>
  <c r="H16" i="36"/>
  <c r="H18" i="36"/>
  <c r="H25" i="36"/>
  <c r="H10" i="36"/>
  <c r="H21" i="36"/>
  <c r="H22" i="36"/>
  <c r="H13" i="36"/>
  <c r="H28" i="36"/>
  <c r="H30" i="36"/>
  <c r="H32" i="36"/>
  <c r="H34" i="36"/>
  <c r="H40" i="36"/>
  <c r="H42" i="36"/>
  <c r="H24" i="36"/>
  <c r="H45" i="36"/>
  <c r="H46" i="36"/>
  <c r="H50" i="36"/>
  <c r="H59" i="36"/>
  <c r="H60" i="36"/>
  <c r="H64" i="36"/>
  <c r="H66" i="36"/>
  <c r="H68" i="36"/>
  <c r="H70" i="36"/>
  <c r="H72" i="36"/>
  <c r="H78" i="36"/>
  <c r="H79" i="36"/>
  <c r="H83" i="36"/>
  <c r="H86" i="36"/>
  <c r="H101" i="36"/>
  <c r="H103" i="36"/>
  <c r="H105" i="36"/>
  <c r="H123" i="36"/>
  <c r="H130" i="36"/>
  <c r="H142" i="36"/>
  <c r="H143" i="36"/>
  <c r="H148" i="36"/>
  <c r="H159" i="36"/>
  <c r="H164" i="36"/>
  <c r="H175" i="36"/>
  <c r="H180" i="36"/>
  <c r="H191" i="36"/>
  <c r="H196" i="36"/>
  <c r="H38" i="36"/>
  <c r="H54" i="36"/>
  <c r="H85" i="36"/>
  <c r="H87" i="36"/>
  <c r="H89" i="36"/>
  <c r="H107" i="36"/>
  <c r="H114" i="36"/>
  <c r="H126" i="36"/>
  <c r="H127" i="36"/>
  <c r="H131" i="36"/>
  <c r="H134" i="36"/>
  <c r="H155" i="36"/>
  <c r="H160" i="36"/>
  <c r="H171" i="36"/>
  <c r="H176" i="36"/>
  <c r="H187" i="36"/>
  <c r="H192" i="36"/>
  <c r="H41" i="36"/>
  <c r="H67" i="36"/>
  <c r="H76" i="36"/>
  <c r="H91" i="36"/>
  <c r="H95" i="36"/>
  <c r="H115" i="36"/>
  <c r="H119" i="36"/>
  <c r="H156" i="36"/>
  <c r="H163" i="36"/>
  <c r="H167" i="36"/>
  <c r="H188" i="36"/>
  <c r="H195" i="36"/>
  <c r="H199" i="36"/>
  <c r="H215" i="36"/>
  <c r="H222" i="36"/>
  <c r="H224" i="36"/>
  <c r="H226" i="36"/>
  <c r="H238" i="36"/>
  <c r="H240" i="36"/>
  <c r="H242" i="36"/>
  <c r="H254" i="36"/>
  <c r="H256" i="36"/>
  <c r="H258" i="36"/>
  <c r="H270" i="36"/>
  <c r="H272" i="36"/>
  <c r="H274" i="36"/>
  <c r="H26" i="36"/>
  <c r="H63" i="36"/>
  <c r="H99" i="36"/>
  <c r="H110" i="36"/>
  <c r="H117" i="36"/>
  <c r="H118" i="36"/>
  <c r="H133" i="36"/>
  <c r="H135" i="36"/>
  <c r="H146" i="36"/>
  <c r="H152" i="36"/>
  <c r="H184" i="36"/>
  <c r="H203" i="36"/>
  <c r="H204" i="36"/>
  <c r="H211" i="36"/>
  <c r="H216" i="36"/>
  <c r="H230" i="36"/>
  <c r="H232" i="36"/>
  <c r="H246" i="36"/>
  <c r="H248" i="36"/>
  <c r="H262" i="36"/>
  <c r="H264" i="36"/>
  <c r="H278" i="36"/>
  <c r="H280" i="36"/>
  <c r="H44" i="36"/>
  <c r="H48" i="36"/>
  <c r="H57" i="36"/>
  <c r="H94" i="36"/>
  <c r="H98" i="36"/>
  <c r="H102" i="36"/>
  <c r="H121" i="36"/>
  <c r="H139" i="36"/>
  <c r="H147" i="36"/>
  <c r="H151" i="36"/>
  <c r="H172" i="36"/>
  <c r="H179" i="36"/>
  <c r="H183" i="36"/>
  <c r="H207" i="36"/>
  <c r="H212" i="36"/>
  <c r="H219" i="36"/>
  <c r="H227" i="36"/>
  <c r="H235" i="36"/>
  <c r="H243" i="36"/>
  <c r="H251" i="36"/>
  <c r="H259" i="36"/>
  <c r="H267" i="36"/>
  <c r="H275" i="36"/>
  <c r="H283" i="36"/>
  <c r="H29" i="36"/>
  <c r="H37" i="36"/>
  <c r="H82" i="36"/>
  <c r="H111" i="36"/>
  <c r="H137" i="36"/>
  <c r="H168" i="36"/>
  <c r="H200" i="36"/>
  <c r="H208" i="36"/>
  <c r="H218" i="36"/>
  <c r="H220" i="36"/>
  <c r="H223" i="36"/>
  <c r="H228" i="36"/>
  <c r="H234" i="36"/>
  <c r="H236" i="36"/>
  <c r="H239" i="36"/>
  <c r="H244" i="36"/>
  <c r="H250" i="36"/>
  <c r="H252" i="36"/>
  <c r="H255" i="36"/>
  <c r="H260" i="36"/>
  <c r="H266" i="36"/>
  <c r="H268" i="36"/>
  <c r="H271" i="36"/>
  <c r="H276" i="36"/>
  <c r="H282" i="36"/>
  <c r="H284" i="36"/>
  <c r="H287" i="36"/>
  <c r="H289" i="36"/>
  <c r="H286" i="36"/>
  <c r="H290" i="36"/>
  <c r="H296" i="36"/>
  <c r="H304" i="36"/>
  <c r="H309" i="36"/>
  <c r="H312" i="36"/>
  <c r="H301" i="36"/>
  <c r="H302" i="36"/>
  <c r="H308" i="36"/>
  <c r="H310" i="36"/>
  <c r="H316" i="36"/>
  <c r="H298" i="36"/>
  <c r="H305" i="36"/>
  <c r="H306" i="36"/>
  <c r="H314" i="36"/>
  <c r="H293" i="36"/>
  <c r="H294" i="36"/>
  <c r="H109" i="36"/>
  <c r="H201" i="36"/>
  <c r="H189" i="36"/>
  <c r="H173" i="36"/>
  <c r="H149" i="36"/>
  <c r="H9" i="36"/>
  <c r="H288" i="36"/>
  <c r="H231" i="36"/>
  <c r="H141" i="36"/>
  <c r="H77" i="36"/>
  <c r="H205" i="36"/>
  <c r="H185" i="36"/>
  <c r="H169" i="36"/>
  <c r="H161" i="36"/>
  <c r="H138" i="36"/>
  <c r="H116" i="36"/>
  <c r="H100" i="36"/>
  <c r="H84" i="36"/>
  <c r="H311" i="36"/>
  <c r="H295" i="36"/>
  <c r="H145" i="36"/>
  <c r="H39" i="36"/>
  <c r="H245" i="36"/>
  <c r="H62" i="36"/>
  <c r="H300" i="36"/>
  <c r="H299" i="36"/>
  <c r="H263" i="36"/>
  <c r="H33" i="36"/>
  <c r="H285" i="36"/>
  <c r="H269" i="36"/>
  <c r="H253" i="36"/>
  <c r="H237" i="36"/>
  <c r="H221" i="36"/>
  <c r="H71" i="36"/>
  <c r="H261" i="36"/>
  <c r="H279" i="36"/>
  <c r="H307" i="36"/>
  <c r="H125" i="36"/>
  <c r="H297" i="36"/>
  <c r="H249" i="36"/>
  <c r="H233" i="36"/>
  <c r="H217" i="36"/>
  <c r="H213" i="36"/>
  <c r="H197" i="36"/>
  <c r="H181" i="36"/>
  <c r="H157" i="36"/>
  <c r="H122" i="36"/>
  <c r="H315" i="36"/>
  <c r="H291" i="36"/>
  <c r="H93" i="36"/>
  <c r="H281" i="36"/>
  <c r="H265" i="36"/>
  <c r="H209" i="36"/>
  <c r="H193" i="36"/>
  <c r="H177" i="36"/>
  <c r="H165" i="36"/>
  <c r="H153" i="36"/>
  <c r="H132" i="36"/>
  <c r="H106" i="36"/>
  <c r="H90" i="36"/>
  <c r="H55" i="36"/>
  <c r="H113" i="36"/>
  <c r="H97" i="36"/>
  <c r="H81" i="36"/>
  <c r="H277" i="36"/>
  <c r="H247" i="36"/>
  <c r="H303" i="36"/>
  <c r="H292" i="36"/>
  <c r="H65" i="36"/>
  <c r="H313" i="36"/>
  <c r="H129" i="36"/>
  <c r="H229" i="36"/>
  <c r="H17" i="36"/>
  <c r="H202" i="36"/>
  <c r="H186" i="36"/>
  <c r="H170" i="36"/>
  <c r="H154" i="36"/>
  <c r="H140" i="36"/>
  <c r="H36" i="36"/>
  <c r="H53" i="36"/>
  <c r="H19" i="36"/>
  <c r="H273" i="36"/>
  <c r="H241" i="36"/>
  <c r="H214" i="36"/>
  <c r="H198" i="36"/>
  <c r="H182" i="36"/>
  <c r="H166" i="36"/>
  <c r="H150" i="36"/>
  <c r="H58" i="36"/>
  <c r="H92" i="36"/>
  <c r="H20" i="36"/>
  <c r="H120" i="36"/>
  <c r="H88" i="36"/>
  <c r="H61" i="36"/>
  <c r="H73" i="36"/>
  <c r="H43" i="36"/>
  <c r="H11" i="36"/>
  <c r="H69" i="36"/>
  <c r="H35" i="36"/>
  <c r="H47" i="36"/>
  <c r="H15" i="36"/>
  <c r="H52" i="36"/>
  <c r="H210" i="36"/>
  <c r="H194" i="36"/>
  <c r="H178" i="36"/>
  <c r="H162" i="36"/>
  <c r="H108" i="36"/>
  <c r="H51" i="36"/>
  <c r="H257" i="36"/>
  <c r="H225" i="36"/>
  <c r="H206" i="36"/>
  <c r="H190" i="36"/>
  <c r="H174" i="36"/>
  <c r="H158" i="36"/>
  <c r="H144" i="36"/>
  <c r="H128" i="36"/>
  <c r="H112" i="36"/>
  <c r="H96" i="36"/>
  <c r="H80" i="36"/>
  <c r="H74" i="36"/>
  <c r="H124" i="36"/>
  <c r="H49" i="36"/>
  <c r="H136" i="36"/>
  <c r="H104" i="36"/>
  <c r="H75" i="36"/>
  <c r="H23" i="36"/>
  <c r="H27" i="36"/>
  <c r="H56" i="36"/>
  <c r="H31" i="36"/>
  <c r="AO316" i="42"/>
  <c r="K315" i="13"/>
  <c r="J314" i="11"/>
  <c r="E314" i="49"/>
  <c r="E307" i="49"/>
  <c r="E303" i="49"/>
  <c r="E292" i="49"/>
  <c r="E284" i="49"/>
  <c r="E268" i="49"/>
  <c r="E260" i="49"/>
  <c r="E252" i="49"/>
  <c r="E230" i="49"/>
  <c r="E226" i="49"/>
  <c r="E207" i="49"/>
  <c r="E187" i="49"/>
  <c r="E179" i="49"/>
  <c r="E160" i="49"/>
  <c r="E156" i="49"/>
  <c r="E148" i="49"/>
  <c r="E140" i="49"/>
  <c r="E124" i="49"/>
  <c r="E116" i="49"/>
  <c r="E112" i="49"/>
  <c r="E104" i="49"/>
  <c r="E100" i="49"/>
  <c r="E92" i="49"/>
  <c r="E84" i="49"/>
  <c r="E76" i="49"/>
  <c r="E68" i="49"/>
  <c r="E60" i="49"/>
  <c r="E52" i="49"/>
  <c r="E44" i="49"/>
  <c r="E36" i="49"/>
  <c r="E20" i="49"/>
  <c r="E16" i="49"/>
  <c r="E8" i="49"/>
  <c r="E306" i="49"/>
  <c r="E291" i="49"/>
  <c r="E283" i="49"/>
  <c r="E279" i="49"/>
  <c r="E271" i="49"/>
  <c r="E263" i="49"/>
  <c r="E255" i="49"/>
  <c r="E251" i="49"/>
  <c r="E236" i="49"/>
  <c r="E233" i="49"/>
  <c r="E214" i="49"/>
  <c r="E206" i="49"/>
  <c r="E198" i="49"/>
  <c r="E186" i="49"/>
  <c r="E178" i="49"/>
  <c r="E159" i="49"/>
  <c r="E151" i="49"/>
  <c r="E59" i="49"/>
  <c r="E51" i="49"/>
  <c r="E7" i="49"/>
  <c r="E309" i="49"/>
  <c r="E305" i="49"/>
  <c r="E294" i="49"/>
  <c r="E290" i="49"/>
  <c r="E286" i="49"/>
  <c r="E282" i="49"/>
  <c r="E278" i="49"/>
  <c r="E274" i="49"/>
  <c r="E266" i="49"/>
  <c r="E262" i="49"/>
  <c r="E258" i="49"/>
  <c r="E254" i="49"/>
  <c r="E250" i="49"/>
  <c r="E241" i="49"/>
  <c r="E235" i="49"/>
  <c r="E232" i="49"/>
  <c r="E228" i="49"/>
  <c r="E224" i="49"/>
  <c r="E217" i="49"/>
  <c r="E213" i="49"/>
  <c r="E209" i="49"/>
  <c r="E205" i="49"/>
  <c r="E201" i="49"/>
  <c r="E193" i="49"/>
  <c r="E189" i="49"/>
  <c r="E185" i="49"/>
  <c r="E181" i="49"/>
  <c r="E177" i="49"/>
  <c r="E174" i="49"/>
  <c r="E167" i="49"/>
  <c r="E165" i="49"/>
  <c r="E162" i="49"/>
  <c r="E158" i="49"/>
  <c r="E154" i="49"/>
  <c r="E150" i="49"/>
  <c r="E138" i="49"/>
  <c r="E130" i="49"/>
  <c r="E126" i="49"/>
  <c r="E122" i="49"/>
  <c r="E114" i="49"/>
  <c r="E110" i="49"/>
  <c r="E106" i="49"/>
  <c r="E102" i="49"/>
  <c r="E98" i="49"/>
  <c r="E94" i="49"/>
  <c r="E90" i="49"/>
  <c r="E82" i="49"/>
  <c r="E78" i="49"/>
  <c r="E74" i="49"/>
  <c r="E70" i="49"/>
  <c r="E66" i="49"/>
  <c r="E62" i="49"/>
  <c r="E58" i="49"/>
  <c r="E54" i="49"/>
  <c r="E50" i="49"/>
  <c r="E46" i="49"/>
  <c r="E42" i="49"/>
  <c r="E38" i="49"/>
  <c r="E34" i="49"/>
  <c r="E30" i="49"/>
  <c r="E26" i="49"/>
  <c r="E22" i="49"/>
  <c r="E18" i="49"/>
  <c r="E14" i="49"/>
  <c r="E10" i="49"/>
  <c r="C6" i="25"/>
  <c r="E6" i="49"/>
  <c r="E311" i="49"/>
  <c r="E299" i="49"/>
  <c r="E280" i="49"/>
  <c r="E272" i="49"/>
  <c r="E264" i="49"/>
  <c r="E248" i="49"/>
  <c r="E211" i="49"/>
  <c r="E203" i="49"/>
  <c r="E191" i="49"/>
  <c r="E175" i="49"/>
  <c r="E172" i="49"/>
  <c r="E144" i="49"/>
  <c r="E108" i="49"/>
  <c r="E88" i="49"/>
  <c r="E80" i="49"/>
  <c r="E72" i="49"/>
  <c r="E64" i="49"/>
  <c r="E56" i="49"/>
  <c r="E48" i="49"/>
  <c r="E40" i="49"/>
  <c r="E32" i="49"/>
  <c r="E12" i="49"/>
  <c r="E310" i="49"/>
  <c r="E302" i="49"/>
  <c r="E298" i="49"/>
  <c r="E295" i="49"/>
  <c r="E287" i="49"/>
  <c r="E275" i="49"/>
  <c r="E267" i="49"/>
  <c r="E259" i="49"/>
  <c r="E247" i="49"/>
  <c r="E238" i="49"/>
  <c r="E225" i="49"/>
  <c r="E218" i="49"/>
  <c r="E210" i="49"/>
  <c r="E202" i="49"/>
  <c r="E194" i="49"/>
  <c r="E190" i="49"/>
  <c r="E182" i="49"/>
  <c r="E163" i="49"/>
  <c r="E155" i="49"/>
  <c r="E147" i="49"/>
  <c r="E135" i="49"/>
  <c r="E47" i="49"/>
  <c r="D315" i="49"/>
  <c r="E308" i="49"/>
  <c r="E300" i="49"/>
  <c r="E285" i="49"/>
  <c r="E281" i="49"/>
  <c r="E277" i="49"/>
  <c r="E273" i="49"/>
  <c r="E265" i="49"/>
  <c r="E253" i="49"/>
  <c r="E249" i="49"/>
  <c r="E240" i="49"/>
  <c r="E237" i="49"/>
  <c r="E231" i="49"/>
  <c r="E223" i="49"/>
  <c r="E216" i="49"/>
  <c r="E212" i="49"/>
  <c r="E208" i="49"/>
  <c r="E204" i="49"/>
  <c r="E200" i="49"/>
  <c r="E192" i="49"/>
  <c r="E188" i="49"/>
  <c r="E184" i="49"/>
  <c r="E176" i="49"/>
  <c r="E169" i="49"/>
  <c r="E166" i="49"/>
  <c r="E164" i="49"/>
  <c r="E161" i="49"/>
  <c r="E157" i="49"/>
  <c r="E153" i="49"/>
  <c r="E145" i="49"/>
  <c r="E141" i="49"/>
  <c r="E137" i="49"/>
  <c r="E133" i="49"/>
  <c r="E129" i="49"/>
  <c r="E125" i="49"/>
  <c r="E117" i="49"/>
  <c r="E113" i="49"/>
  <c r="E109" i="49"/>
  <c r="E105" i="49"/>
  <c r="E101" i="49"/>
  <c r="E97" i="49"/>
  <c r="E93" i="49"/>
  <c r="E89" i="49"/>
  <c r="E85" i="49"/>
  <c r="E81" i="49"/>
  <c r="E77" i="49"/>
  <c r="E73" i="49"/>
  <c r="E69" i="49"/>
  <c r="E65" i="49"/>
  <c r="E61" i="49"/>
  <c r="E57" i="49"/>
  <c r="E53" i="49"/>
  <c r="E49" i="49"/>
  <c r="E45" i="49"/>
  <c r="E41" i="49"/>
  <c r="E37" i="49"/>
  <c r="E33" i="49"/>
  <c r="E29" i="49"/>
  <c r="E25" i="49"/>
  <c r="E21" i="49"/>
  <c r="E17" i="49"/>
  <c r="E13" i="49"/>
  <c r="E9" i="49"/>
  <c r="D6" i="25"/>
  <c r="D5" i="33"/>
  <c r="L289" i="13"/>
  <c r="M289" i="13" s="1"/>
  <c r="L257" i="13"/>
  <c r="M257" i="13" s="1"/>
  <c r="L245" i="13"/>
  <c r="M245" i="13" s="1"/>
  <c r="L196" i="13"/>
  <c r="M196" i="13" s="1"/>
  <c r="L180" i="13"/>
  <c r="M180" i="13" s="1"/>
  <c r="L149" i="13"/>
  <c r="M149" i="13" s="1"/>
  <c r="L121" i="13"/>
  <c r="M121" i="13" s="1"/>
  <c r="L296" i="13"/>
  <c r="M296" i="13" s="1"/>
  <c r="L276" i="13"/>
  <c r="M276" i="13" s="1"/>
  <c r="L256" i="13"/>
  <c r="M256" i="13" s="1"/>
  <c r="L243" i="13"/>
  <c r="M243" i="13" s="1"/>
  <c r="L234" i="13"/>
  <c r="M234" i="13" s="1"/>
  <c r="L222" i="13"/>
  <c r="M222" i="13" s="1"/>
  <c r="L215" i="13"/>
  <c r="M215" i="13" s="1"/>
  <c r="L199" i="13"/>
  <c r="M199" i="13" s="1"/>
  <c r="L168" i="13"/>
  <c r="M168" i="13" s="1"/>
  <c r="L152" i="13"/>
  <c r="M152" i="13" s="1"/>
  <c r="L132" i="13"/>
  <c r="M132" i="13" s="1"/>
  <c r="L128" i="13"/>
  <c r="M128" i="13" s="1"/>
  <c r="L120" i="13"/>
  <c r="M120" i="13" s="1"/>
  <c r="L96" i="13"/>
  <c r="M96" i="13" s="1"/>
  <c r="L242" i="13"/>
  <c r="M242" i="13" s="1"/>
  <c r="L229" i="13"/>
  <c r="M229" i="13" s="1"/>
  <c r="L221" i="13"/>
  <c r="M221" i="13" s="1"/>
  <c r="L171" i="13"/>
  <c r="M171" i="13" s="1"/>
  <c r="L139" i="13"/>
  <c r="M139" i="13" s="1"/>
  <c r="L127" i="13"/>
  <c r="M127" i="13" s="1"/>
  <c r="L119" i="13"/>
  <c r="M119" i="13" s="1"/>
  <c r="L111" i="13"/>
  <c r="M111" i="13" s="1"/>
  <c r="L103" i="13"/>
  <c r="M103" i="13" s="1"/>
  <c r="L95" i="13"/>
  <c r="M95" i="13" s="1"/>
  <c r="L87" i="13"/>
  <c r="M87" i="13" s="1"/>
  <c r="L83" i="13"/>
  <c r="M83" i="13" s="1"/>
  <c r="L75" i="13"/>
  <c r="M75" i="13" s="1"/>
  <c r="L67" i="13"/>
  <c r="M67" i="13" s="1"/>
  <c r="L63" i="13"/>
  <c r="M63" i="13" s="1"/>
  <c r="L55" i="13"/>
  <c r="M55" i="13" s="1"/>
  <c r="L39" i="13"/>
  <c r="M39" i="13" s="1"/>
  <c r="L31" i="13"/>
  <c r="M31" i="13" s="1"/>
  <c r="L27" i="13"/>
  <c r="M27" i="13" s="1"/>
  <c r="L23" i="13"/>
  <c r="M23" i="13" s="1"/>
  <c r="L19" i="13"/>
  <c r="M19" i="13" s="1"/>
  <c r="L118" i="13"/>
  <c r="M118" i="13" s="1"/>
  <c r="L86" i="13"/>
  <c r="M86" i="13" s="1"/>
  <c r="B314" i="11"/>
  <c r="L135" i="13"/>
  <c r="M135" i="13" s="1"/>
  <c r="L59" i="13"/>
  <c r="M59" i="13" s="1"/>
  <c r="L51" i="13"/>
  <c r="M51" i="13" s="1"/>
  <c r="L8" i="13"/>
  <c r="M8" i="13" s="1"/>
  <c r="L143" i="13"/>
  <c r="M143" i="13" s="1"/>
  <c r="L131" i="13"/>
  <c r="M131" i="13" s="1"/>
  <c r="L123" i="13"/>
  <c r="M123" i="13" s="1"/>
  <c r="L115" i="13"/>
  <c r="M115" i="13" s="1"/>
  <c r="L107" i="13"/>
  <c r="M107" i="13" s="1"/>
  <c r="L99" i="13"/>
  <c r="M99" i="13" s="1"/>
  <c r="L91" i="13"/>
  <c r="M91" i="13" s="1"/>
  <c r="L79" i="13"/>
  <c r="M79" i="13" s="1"/>
  <c r="L71" i="13"/>
  <c r="M71" i="13" s="1"/>
  <c r="L47" i="13"/>
  <c r="M47" i="13" s="1"/>
  <c r="L43" i="13"/>
  <c r="M43" i="13" s="1"/>
  <c r="L35" i="13"/>
  <c r="M35" i="13" s="1"/>
  <c r="L15" i="13"/>
  <c r="M15" i="13" s="1"/>
  <c r="L11" i="13"/>
  <c r="M11" i="13" s="1"/>
  <c r="Y7" i="19"/>
  <c r="L175" i="13"/>
  <c r="M175" i="13" s="1"/>
  <c r="L272" i="13"/>
  <c r="M272" i="13" s="1"/>
  <c r="L299" i="13"/>
  <c r="M299" i="13" s="1"/>
  <c r="L191" i="13"/>
  <c r="M191" i="13" s="1"/>
  <c r="L68" i="13"/>
  <c r="M68" i="13" s="1"/>
  <c r="L36" i="13"/>
  <c r="M36" i="13" s="1"/>
  <c r="L277" i="13"/>
  <c r="M277" i="13" s="1"/>
  <c r="L249" i="13"/>
  <c r="M249" i="13" s="1"/>
  <c r="L240" i="13"/>
  <c r="M240" i="13" s="1"/>
  <c r="L314" i="13"/>
  <c r="M314" i="13" s="1"/>
  <c r="L307" i="13"/>
  <c r="M307" i="13" s="1"/>
  <c r="L303" i="13"/>
  <c r="M303" i="13" s="1"/>
  <c r="L284" i="13"/>
  <c r="M284" i="13" s="1"/>
  <c r="L260" i="13"/>
  <c r="M260" i="13" s="1"/>
  <c r="L252" i="13"/>
  <c r="M252" i="13" s="1"/>
  <c r="L239" i="13"/>
  <c r="M239" i="13" s="1"/>
  <c r="L226" i="13"/>
  <c r="M226" i="13" s="1"/>
  <c r="L207" i="13"/>
  <c r="M207" i="13" s="1"/>
  <c r="L183" i="13"/>
  <c r="M183" i="13" s="1"/>
  <c r="L172" i="13"/>
  <c r="M172" i="13" s="1"/>
  <c r="L60" i="13"/>
  <c r="M60" i="13" s="1"/>
  <c r="L56" i="13"/>
  <c r="M56" i="13" s="1"/>
  <c r="L48" i="13"/>
  <c r="M48" i="13" s="1"/>
  <c r="L28" i="13"/>
  <c r="M28" i="13" s="1"/>
  <c r="L16" i="13"/>
  <c r="M16" i="13" s="1"/>
  <c r="L248" i="13"/>
  <c r="M248" i="13" s="1"/>
  <c r="L230" i="13"/>
  <c r="M230" i="13" s="1"/>
  <c r="L264" i="13"/>
  <c r="M264" i="13" s="1"/>
  <c r="L311" i="13"/>
  <c r="M311" i="13" s="1"/>
  <c r="L292" i="13"/>
  <c r="M292" i="13" s="1"/>
  <c r="L288" i="13"/>
  <c r="M288" i="13" s="1"/>
  <c r="L280" i="13"/>
  <c r="M280" i="13" s="1"/>
  <c r="L268" i="13"/>
  <c r="M268" i="13" s="1"/>
  <c r="L211" i="13"/>
  <c r="M211" i="13" s="1"/>
  <c r="L203" i="13"/>
  <c r="M203" i="13" s="1"/>
  <c r="L195" i="13"/>
  <c r="M195" i="13" s="1"/>
  <c r="L187" i="13"/>
  <c r="M187" i="13" s="1"/>
  <c r="L44" i="13"/>
  <c r="M44" i="13" s="1"/>
  <c r="L24" i="13"/>
  <c r="M24" i="13" s="1"/>
  <c r="L179" i="13"/>
  <c r="M179" i="13" s="1"/>
  <c r="L162" i="13"/>
  <c r="M162" i="13" s="1"/>
  <c r="L154" i="13"/>
  <c r="M154" i="13" s="1"/>
  <c r="L146" i="13"/>
  <c r="M146" i="13" s="1"/>
  <c r="L138" i="13"/>
  <c r="M138" i="13" s="1"/>
  <c r="L130" i="13"/>
  <c r="M130" i="13" s="1"/>
  <c r="L114" i="13"/>
  <c r="M114" i="13" s="1"/>
  <c r="L106" i="13"/>
  <c r="M106" i="13" s="1"/>
  <c r="L98" i="13"/>
  <c r="M98" i="13" s="1"/>
  <c r="L90" i="13"/>
  <c r="M90" i="13" s="1"/>
  <c r="L82" i="13"/>
  <c r="M82" i="13" s="1"/>
  <c r="L122" i="13"/>
  <c r="M122" i="13" s="1"/>
  <c r="L304" i="13"/>
  <c r="M304" i="13" s="1"/>
  <c r="L158" i="13"/>
  <c r="M158" i="13" s="1"/>
  <c r="L150" i="13"/>
  <c r="M150" i="13" s="1"/>
  <c r="L142" i="13"/>
  <c r="M142" i="13" s="1"/>
  <c r="L134" i="13"/>
  <c r="M134" i="13" s="1"/>
  <c r="L102" i="13"/>
  <c r="M102" i="13" s="1"/>
  <c r="L94" i="13"/>
  <c r="M94" i="13" s="1"/>
  <c r="L78" i="13"/>
  <c r="M78" i="13" s="1"/>
  <c r="L110" i="13"/>
  <c r="M110" i="13" s="1"/>
  <c r="L312" i="13"/>
  <c r="M312" i="13" s="1"/>
  <c r="L308" i="13"/>
  <c r="M308" i="13" s="1"/>
  <c r="L300" i="13"/>
  <c r="M300" i="13" s="1"/>
  <c r="L126" i="13"/>
  <c r="M126" i="13" s="1"/>
  <c r="L285" i="13"/>
  <c r="M285" i="13" s="1"/>
  <c r="L269" i="13"/>
  <c r="M269" i="13" s="1"/>
  <c r="L261" i="13"/>
  <c r="M261" i="13" s="1"/>
  <c r="L253" i="13"/>
  <c r="M253" i="13" s="1"/>
  <c r="L216" i="13"/>
  <c r="M216" i="13" s="1"/>
  <c r="L208" i="13"/>
  <c r="M208" i="13" s="1"/>
  <c r="L192" i="13"/>
  <c r="M192" i="13" s="1"/>
  <c r="L173" i="13"/>
  <c r="M173" i="13" s="1"/>
  <c r="L169" i="13"/>
  <c r="M169" i="13" s="1"/>
  <c r="L164" i="13"/>
  <c r="M164" i="13" s="1"/>
  <c r="L161" i="13"/>
  <c r="M161" i="13" s="1"/>
  <c r="L176" i="13"/>
  <c r="M176" i="13" s="1"/>
  <c r="L293" i="13"/>
  <c r="M293" i="13" s="1"/>
  <c r="L281" i="13"/>
  <c r="M281" i="13" s="1"/>
  <c r="L273" i="13"/>
  <c r="M273" i="13" s="1"/>
  <c r="L265" i="13"/>
  <c r="M265" i="13" s="1"/>
  <c r="L237" i="13"/>
  <c r="M237" i="13" s="1"/>
  <c r="L227" i="13"/>
  <c r="M227" i="13" s="1"/>
  <c r="L220" i="13"/>
  <c r="M220" i="13" s="1"/>
  <c r="L212" i="13"/>
  <c r="M212" i="13" s="1"/>
  <c r="L204" i="13"/>
  <c r="M204" i="13" s="1"/>
  <c r="L188" i="13"/>
  <c r="M188" i="13" s="1"/>
  <c r="L166" i="13"/>
  <c r="M166" i="13" s="1"/>
  <c r="L157" i="13"/>
  <c r="M157" i="13" s="1"/>
  <c r="L200" i="13"/>
  <c r="M200" i="13" s="1"/>
  <c r="L231" i="13"/>
  <c r="M231" i="13" s="1"/>
  <c r="L223" i="13"/>
  <c r="M223" i="13" s="1"/>
  <c r="L184" i="13"/>
  <c r="M184" i="13" s="1"/>
  <c r="L153" i="13"/>
  <c r="M153" i="13" s="1"/>
  <c r="L13" i="13"/>
  <c r="M13" i="13" s="1"/>
  <c r="L20" i="13"/>
  <c r="M20" i="13" s="1"/>
  <c r="L72" i="13"/>
  <c r="M72" i="13" s="1"/>
  <c r="L64" i="13"/>
  <c r="M64" i="13" s="1"/>
  <c r="L52" i="13"/>
  <c r="M52" i="13" s="1"/>
  <c r="K316" i="19"/>
  <c r="E316" i="19"/>
  <c r="H195" i="49"/>
  <c r="I195" i="49" s="1"/>
  <c r="L12" i="13"/>
  <c r="M12" i="13" s="1"/>
  <c r="L40" i="13"/>
  <c r="M40" i="13" s="1"/>
  <c r="L32" i="13"/>
  <c r="M32" i="13" s="1"/>
  <c r="H165" i="49"/>
  <c r="H164" i="49"/>
  <c r="L38" i="13"/>
  <c r="M38" i="13" s="1"/>
  <c r="F316" i="19"/>
  <c r="M316" i="19"/>
  <c r="P316" i="19"/>
  <c r="V316" i="19"/>
  <c r="C316" i="19"/>
  <c r="L270" i="13"/>
  <c r="M270" i="13" s="1"/>
  <c r="J316" i="19"/>
  <c r="D5" i="32"/>
  <c r="D314" i="32" s="1"/>
  <c r="Z316" i="19"/>
  <c r="L310" i="13"/>
  <c r="M310" i="13" s="1"/>
  <c r="L302" i="13"/>
  <c r="M302" i="13" s="1"/>
  <c r="L298" i="13"/>
  <c r="M298" i="13" s="1"/>
  <c r="L291" i="13"/>
  <c r="M291" i="13" s="1"/>
  <c r="L287" i="13"/>
  <c r="M287" i="13" s="1"/>
  <c r="L283" i="13"/>
  <c r="M283" i="13" s="1"/>
  <c r="L275" i="13"/>
  <c r="M275" i="13" s="1"/>
  <c r="L271" i="13"/>
  <c r="M271" i="13" s="1"/>
  <c r="L267" i="13"/>
  <c r="M267" i="13" s="1"/>
  <c r="L263" i="13"/>
  <c r="M263" i="13" s="1"/>
  <c r="L255" i="13"/>
  <c r="M255" i="13" s="1"/>
  <c r="L247" i="13"/>
  <c r="M247" i="13" s="1"/>
  <c r="L238" i="13"/>
  <c r="M238" i="13" s="1"/>
  <c r="L233" i="13"/>
  <c r="M233" i="13" s="1"/>
  <c r="L225" i="13"/>
  <c r="M225" i="13" s="1"/>
  <c r="L218" i="13"/>
  <c r="M218" i="13" s="1"/>
  <c r="L202" i="13"/>
  <c r="M202" i="13" s="1"/>
  <c r="L198" i="13"/>
  <c r="M198" i="13" s="1"/>
  <c r="L194" i="13"/>
  <c r="M194" i="13" s="1"/>
  <c r="L186" i="13"/>
  <c r="M186" i="13" s="1"/>
  <c r="L182" i="13"/>
  <c r="M182" i="13" s="1"/>
  <c r="L178" i="13"/>
  <c r="M178" i="13" s="1"/>
  <c r="L160" i="13"/>
  <c r="M160" i="13" s="1"/>
  <c r="L156" i="13"/>
  <c r="M156" i="13" s="1"/>
  <c r="L148" i="13"/>
  <c r="M148" i="13" s="1"/>
  <c r="L145" i="13"/>
  <c r="M145" i="13" s="1"/>
  <c r="L137" i="13"/>
  <c r="M137" i="13" s="1"/>
  <c r="L133" i="13"/>
  <c r="M133" i="13" s="1"/>
  <c r="L129" i="13"/>
  <c r="M129" i="13" s="1"/>
  <c r="L125" i="13"/>
  <c r="M125" i="13" s="1"/>
  <c r="L113" i="13"/>
  <c r="M113" i="13" s="1"/>
  <c r="L109" i="13"/>
  <c r="M109" i="13" s="1"/>
  <c r="L105" i="13"/>
  <c r="M105" i="13" s="1"/>
  <c r="L101" i="13"/>
  <c r="M101" i="13" s="1"/>
  <c r="L97" i="13"/>
  <c r="M97" i="13" s="1"/>
  <c r="L89" i="13"/>
  <c r="M89" i="13" s="1"/>
  <c r="L81" i="13"/>
  <c r="M81" i="13" s="1"/>
  <c r="L70" i="13"/>
  <c r="M70" i="13" s="1"/>
  <c r="L66" i="13"/>
  <c r="M66" i="13" s="1"/>
  <c r="L62" i="13"/>
  <c r="M62" i="13" s="1"/>
  <c r="L58" i="13"/>
  <c r="M58" i="13" s="1"/>
  <c r="L54" i="13"/>
  <c r="M54" i="13" s="1"/>
  <c r="L50" i="13"/>
  <c r="M50" i="13" s="1"/>
  <c r="L46" i="13"/>
  <c r="M46" i="13" s="1"/>
  <c r="L42" i="13"/>
  <c r="M42" i="13" s="1"/>
  <c r="L34" i="13"/>
  <c r="M34" i="13" s="1"/>
  <c r="L30" i="13"/>
  <c r="M30" i="13" s="1"/>
  <c r="L26" i="13"/>
  <c r="M26" i="13" s="1"/>
  <c r="L22" i="13"/>
  <c r="M22" i="13" s="1"/>
  <c r="L18" i="13"/>
  <c r="M18" i="13" s="1"/>
  <c r="L10" i="13"/>
  <c r="M10" i="13" s="1"/>
  <c r="L7" i="13"/>
  <c r="H316" i="19"/>
  <c r="L206" i="13"/>
  <c r="M206" i="13" s="1"/>
  <c r="L85" i="13"/>
  <c r="M85" i="13" s="1"/>
  <c r="AA316" i="19"/>
  <c r="L309" i="13"/>
  <c r="M309" i="13" s="1"/>
  <c r="L301" i="13"/>
  <c r="M301" i="13" s="1"/>
  <c r="L294" i="13"/>
  <c r="M294" i="13" s="1"/>
  <c r="L286" i="13"/>
  <c r="M286" i="13" s="1"/>
  <c r="L278" i="13"/>
  <c r="M278" i="13" s="1"/>
  <c r="L274" i="13"/>
  <c r="M274" i="13" s="1"/>
  <c r="L266" i="13"/>
  <c r="M266" i="13" s="1"/>
  <c r="L258" i="13"/>
  <c r="M258" i="13" s="1"/>
  <c r="L250" i="13"/>
  <c r="M250" i="13" s="1"/>
  <c r="L241" i="13"/>
  <c r="M241" i="13" s="1"/>
  <c r="L235" i="13"/>
  <c r="M235" i="13" s="1"/>
  <c r="L228" i="13"/>
  <c r="M228" i="13" s="1"/>
  <c r="L209" i="13"/>
  <c r="M209" i="13" s="1"/>
  <c r="L197" i="13"/>
  <c r="M197" i="13" s="1"/>
  <c r="L189" i="13"/>
  <c r="M189" i="13" s="1"/>
  <c r="L181" i="13"/>
  <c r="M181" i="13" s="1"/>
  <c r="L177" i="13"/>
  <c r="M177" i="13" s="1"/>
  <c r="L165" i="13"/>
  <c r="M165" i="13" s="1"/>
  <c r="L163" i="13"/>
  <c r="M163" i="13" s="1"/>
  <c r="L155" i="13"/>
  <c r="M155" i="13" s="1"/>
  <c r="L124" i="13"/>
  <c r="M124" i="13" s="1"/>
  <c r="L116" i="13"/>
  <c r="M116" i="13" s="1"/>
  <c r="L108" i="13"/>
  <c r="M108" i="13" s="1"/>
  <c r="L100" i="13"/>
  <c r="M100" i="13" s="1"/>
  <c r="L92" i="13"/>
  <c r="M92" i="13" s="1"/>
  <c r="L76" i="13"/>
  <c r="M76" i="13" s="1"/>
  <c r="L69" i="13"/>
  <c r="M69" i="13" s="1"/>
  <c r="L65" i="13"/>
  <c r="M65" i="13" s="1"/>
  <c r="L57" i="13"/>
  <c r="M57" i="13" s="1"/>
  <c r="L49" i="13"/>
  <c r="M49" i="13" s="1"/>
  <c r="L41" i="13"/>
  <c r="M41" i="13" s="1"/>
  <c r="L37" i="13"/>
  <c r="M37" i="13" s="1"/>
  <c r="L29" i="13"/>
  <c r="M29" i="13" s="1"/>
  <c r="L21" i="13"/>
  <c r="M21" i="13" s="1"/>
  <c r="L9" i="13"/>
  <c r="M9" i="13" s="1"/>
  <c r="D316" i="19"/>
  <c r="H150" i="49"/>
  <c r="H19" i="49"/>
  <c r="I19" i="49" s="1"/>
  <c r="L316" i="19"/>
  <c r="L201" i="13"/>
  <c r="M201" i="13" s="1"/>
  <c r="L213" i="13"/>
  <c r="M213" i="13" s="1"/>
  <c r="L93" i="13"/>
  <c r="M93" i="13" s="1"/>
  <c r="L141" i="13"/>
  <c r="M141" i="13" s="1"/>
  <c r="L77" i="13"/>
  <c r="M77" i="13" s="1"/>
  <c r="L74" i="13"/>
  <c r="M74" i="13" s="1"/>
  <c r="L14" i="13"/>
  <c r="M14" i="13" s="1"/>
  <c r="L306" i="13"/>
  <c r="M306" i="13" s="1"/>
  <c r="L295" i="13"/>
  <c r="M295" i="13" s="1"/>
  <c r="L279" i="13"/>
  <c r="M279" i="13" s="1"/>
  <c r="L251" i="13"/>
  <c r="M251" i="13" s="1"/>
  <c r="L236" i="13"/>
  <c r="M236" i="13" s="1"/>
  <c r="L214" i="13"/>
  <c r="M214" i="13" s="1"/>
  <c r="L210" i="13"/>
  <c r="M210" i="13" s="1"/>
  <c r="L190" i="13"/>
  <c r="M190" i="13" s="1"/>
  <c r="L117" i="13"/>
  <c r="M117" i="13" s="1"/>
  <c r="W316" i="19"/>
  <c r="X316" i="19"/>
  <c r="L313" i="13"/>
  <c r="M313" i="13" s="1"/>
  <c r="L305" i="13"/>
  <c r="M305" i="13" s="1"/>
  <c r="L297" i="13"/>
  <c r="M297" i="13" s="1"/>
  <c r="L290" i="13"/>
  <c r="M290" i="13" s="1"/>
  <c r="L282" i="13"/>
  <c r="M282" i="13" s="1"/>
  <c r="L262" i="13"/>
  <c r="M262" i="13" s="1"/>
  <c r="L254" i="13"/>
  <c r="M254" i="13" s="1"/>
  <c r="L246" i="13"/>
  <c r="M246" i="13" s="1"/>
  <c r="L232" i="13"/>
  <c r="M232" i="13" s="1"/>
  <c r="L224" i="13"/>
  <c r="M224" i="13" s="1"/>
  <c r="L217" i="13"/>
  <c r="M217" i="13" s="1"/>
  <c r="L205" i="13"/>
  <c r="M205" i="13" s="1"/>
  <c r="L193" i="13"/>
  <c r="M193" i="13" s="1"/>
  <c r="L185" i="13"/>
  <c r="M185" i="13" s="1"/>
  <c r="L151" i="13"/>
  <c r="M151" i="13" s="1"/>
  <c r="L144" i="13"/>
  <c r="M144" i="13" s="1"/>
  <c r="L136" i="13"/>
  <c r="M136" i="13" s="1"/>
  <c r="L112" i="13"/>
  <c r="M112" i="13" s="1"/>
  <c r="L104" i="13"/>
  <c r="M104" i="13" s="1"/>
  <c r="L88" i="13"/>
  <c r="M88" i="13" s="1"/>
  <c r="L84" i="13"/>
  <c r="M84" i="13" s="1"/>
  <c r="L73" i="13"/>
  <c r="M73" i="13" s="1"/>
  <c r="L61" i="13"/>
  <c r="M61" i="13" s="1"/>
  <c r="L53" i="13"/>
  <c r="M53" i="13" s="1"/>
  <c r="L45" i="13"/>
  <c r="M45" i="13" s="1"/>
  <c r="L33" i="13"/>
  <c r="M33" i="13" s="1"/>
  <c r="L25" i="13"/>
  <c r="M25" i="13" s="1"/>
  <c r="L259" i="13"/>
  <c r="M259" i="13" s="1"/>
  <c r="L167" i="13"/>
  <c r="M167" i="13" s="1"/>
  <c r="L80" i="13"/>
  <c r="M80" i="13" s="1"/>
  <c r="L17" i="13"/>
  <c r="M17" i="13" s="1"/>
  <c r="L140" i="13"/>
  <c r="M140" i="13" s="1"/>
  <c r="L159" i="13"/>
  <c r="M159" i="13" s="1"/>
  <c r="L174" i="13"/>
  <c r="M174" i="13" s="1"/>
  <c r="L147" i="13"/>
  <c r="M147" i="13" s="1"/>
  <c r="G7" i="19"/>
  <c r="R7" i="19" s="1"/>
  <c r="H107" i="49"/>
  <c r="I107" i="49" s="1"/>
  <c r="H55" i="49"/>
  <c r="I55" i="49" s="1"/>
  <c r="H8" i="49"/>
  <c r="H106" i="49"/>
  <c r="H130" i="49"/>
  <c r="H172" i="49"/>
  <c r="H39" i="49"/>
  <c r="I39" i="49" s="1"/>
  <c r="H288" i="49"/>
  <c r="I288" i="49" s="1"/>
  <c r="H207" i="49"/>
  <c r="H191" i="49"/>
  <c r="H143" i="49"/>
  <c r="I143" i="49" s="1"/>
  <c r="H59" i="49"/>
  <c r="H47" i="49"/>
  <c r="H296" i="49"/>
  <c r="I296" i="49" s="1"/>
  <c r="H231" i="49"/>
  <c r="H230" i="49"/>
  <c r="H226" i="49"/>
  <c r="H206" i="49"/>
  <c r="H163" i="49"/>
  <c r="H126" i="49"/>
  <c r="H114" i="49"/>
  <c r="H90" i="49"/>
  <c r="H87" i="49"/>
  <c r="I87" i="49" s="1"/>
  <c r="H80" i="49"/>
  <c r="H72" i="49"/>
  <c r="H68" i="49"/>
  <c r="H63" i="49"/>
  <c r="I63" i="49" s="1"/>
  <c r="H36" i="49"/>
  <c r="H28" i="49"/>
  <c r="I28" i="49" s="1"/>
  <c r="H13" i="49"/>
  <c r="H11" i="49"/>
  <c r="I11" i="49" s="1"/>
  <c r="H67" i="49"/>
  <c r="I67" i="49" s="1"/>
  <c r="H266" i="49"/>
  <c r="H240" i="49"/>
  <c r="H176" i="49"/>
  <c r="H175" i="49"/>
  <c r="H125" i="49"/>
  <c r="H95" i="49"/>
  <c r="I95" i="49" s="1"/>
  <c r="H85" i="49"/>
  <c r="H84" i="49"/>
  <c r="H83" i="49"/>
  <c r="I83" i="49" s="1"/>
  <c r="H79" i="49"/>
  <c r="I79" i="49" s="1"/>
  <c r="H75" i="49"/>
  <c r="I75" i="49" s="1"/>
  <c r="H71" i="49"/>
  <c r="I71" i="49" s="1"/>
  <c r="H56" i="49"/>
  <c r="H52" i="49"/>
  <c r="H51" i="49"/>
  <c r="H31" i="49"/>
  <c r="I31" i="49" s="1"/>
  <c r="H14" i="49"/>
  <c r="H303" i="49"/>
  <c r="H299" i="49"/>
  <c r="H289" i="49"/>
  <c r="I289" i="49" s="1"/>
  <c r="H273" i="49"/>
  <c r="H265" i="49"/>
  <c r="H248" i="49"/>
  <c r="H239" i="49"/>
  <c r="I239" i="49" s="1"/>
  <c r="H220" i="49"/>
  <c r="I220" i="49" s="1"/>
  <c r="H196" i="49"/>
  <c r="I196" i="49" s="1"/>
  <c r="H157" i="49"/>
  <c r="H139" i="49"/>
  <c r="I139" i="49" s="1"/>
  <c r="H135" i="49"/>
  <c r="H60" i="49"/>
  <c r="H48" i="49"/>
  <c r="H32" i="49"/>
  <c r="H15" i="49"/>
  <c r="I15" i="49" s="1"/>
  <c r="H280" i="49"/>
  <c r="H276" i="49"/>
  <c r="I276" i="49" s="1"/>
  <c r="H259" i="49"/>
  <c r="H235" i="49"/>
  <c r="H223" i="49"/>
  <c r="H183" i="49"/>
  <c r="I183" i="49" s="1"/>
  <c r="H127" i="49"/>
  <c r="I127" i="49" s="1"/>
  <c r="H123" i="49"/>
  <c r="I123" i="49" s="1"/>
  <c r="H119" i="49"/>
  <c r="I119" i="49" s="1"/>
  <c r="H115" i="49"/>
  <c r="I115" i="49" s="1"/>
  <c r="H103" i="49"/>
  <c r="I103" i="49" s="1"/>
  <c r="H91" i="49"/>
  <c r="I91" i="49" s="1"/>
  <c r="H77" i="49"/>
  <c r="H35" i="49"/>
  <c r="I35" i="49" s="1"/>
  <c r="H16" i="49"/>
  <c r="B315" i="25"/>
  <c r="L6" i="13"/>
  <c r="M6" i="13" s="1"/>
  <c r="D8" i="36"/>
  <c r="J8" i="36"/>
  <c r="I8" i="36"/>
  <c r="F8" i="36"/>
  <c r="H8" i="36"/>
  <c r="E8" i="36"/>
  <c r="G8" i="36"/>
  <c r="K9" i="36" l="1"/>
  <c r="F17" i="34" s="1"/>
  <c r="K283" i="36"/>
  <c r="F291" i="34" s="1"/>
  <c r="K219" i="36"/>
  <c r="F227" i="34" s="1"/>
  <c r="K41" i="36"/>
  <c r="F49" i="34" s="1"/>
  <c r="K146" i="36"/>
  <c r="F154" i="34" s="1"/>
  <c r="K29" i="36"/>
  <c r="F37" i="34" s="1"/>
  <c r="K67" i="36"/>
  <c r="F75" i="34" s="1"/>
  <c r="K214" i="36"/>
  <c r="F222" i="34" s="1"/>
  <c r="K230" i="36"/>
  <c r="F238" i="34" s="1"/>
  <c r="K293" i="36"/>
  <c r="F301" i="34" s="1"/>
  <c r="K251" i="36"/>
  <c r="F259" i="34" s="1"/>
  <c r="K150" i="36"/>
  <c r="F158" i="34" s="1"/>
  <c r="K45" i="36"/>
  <c r="F53" i="34" s="1"/>
  <c r="K114" i="36"/>
  <c r="F122" i="34" s="1"/>
  <c r="K267" i="36"/>
  <c r="F275" i="34" s="1"/>
  <c r="K309" i="36"/>
  <c r="F317" i="34" s="1"/>
  <c r="K288" i="36"/>
  <c r="F296" i="34" s="1"/>
  <c r="K182" i="36"/>
  <c r="F190" i="34" s="1"/>
  <c r="K198" i="36"/>
  <c r="F206" i="34" s="1"/>
  <c r="K238" i="36"/>
  <c r="F246" i="34" s="1"/>
  <c r="K101" i="36"/>
  <c r="F109" i="34" s="1"/>
  <c r="K36" i="36"/>
  <c r="F44" i="34" s="1"/>
  <c r="K206" i="36"/>
  <c r="F214" i="34" s="1"/>
  <c r="K174" i="36"/>
  <c r="F182" i="34" s="1"/>
  <c r="K308" i="36"/>
  <c r="F316" i="34" s="1"/>
  <c r="K199" i="36"/>
  <c r="F207" i="34" s="1"/>
  <c r="K289" i="36"/>
  <c r="F297" i="34" s="1"/>
  <c r="K235" i="36"/>
  <c r="F243" i="34" s="1"/>
  <c r="K207" i="36"/>
  <c r="F215" i="34" s="1"/>
  <c r="K179" i="36"/>
  <c r="F187" i="34" s="1"/>
  <c r="K258" i="36"/>
  <c r="F266" i="34" s="1"/>
  <c r="I112" i="32"/>
  <c r="D118" i="9"/>
  <c r="I66" i="32"/>
  <c r="D72" i="9"/>
  <c r="I68" i="32"/>
  <c r="D74" i="9"/>
  <c r="I208" i="32"/>
  <c r="D214" i="9"/>
  <c r="I87" i="32"/>
  <c r="D93" i="9"/>
  <c r="I150" i="32"/>
  <c r="D156" i="9"/>
  <c r="I126" i="32"/>
  <c r="D132" i="9"/>
  <c r="D136" i="9"/>
  <c r="I130" i="32"/>
  <c r="I60" i="32"/>
  <c r="D66" i="9"/>
  <c r="I238" i="32"/>
  <c r="D244" i="9"/>
  <c r="I258" i="32"/>
  <c r="D264" i="9"/>
  <c r="I284" i="32"/>
  <c r="D290" i="9"/>
  <c r="I183" i="32"/>
  <c r="D189" i="9"/>
  <c r="I283" i="32"/>
  <c r="D289" i="9"/>
  <c r="I9" i="32"/>
  <c r="D15" i="9"/>
  <c r="I307" i="32"/>
  <c r="D313" i="9"/>
  <c r="D53" i="9"/>
  <c r="I47" i="32"/>
  <c r="D99" i="9"/>
  <c r="I93" i="32"/>
  <c r="D143" i="9"/>
  <c r="I137" i="32"/>
  <c r="I70" i="32"/>
  <c r="D76" i="9"/>
  <c r="I176" i="32"/>
  <c r="D182" i="9"/>
  <c r="I75" i="32"/>
  <c r="D81" i="9"/>
  <c r="I188" i="32"/>
  <c r="D194" i="9"/>
  <c r="I148" i="32"/>
  <c r="D154" i="9"/>
  <c r="I226" i="32"/>
  <c r="D232" i="9"/>
  <c r="I280" i="32"/>
  <c r="D286" i="9"/>
  <c r="I254" i="32"/>
  <c r="D260" i="9"/>
  <c r="I285" i="32"/>
  <c r="D291" i="9"/>
  <c r="I78" i="32"/>
  <c r="D84" i="9"/>
  <c r="I166" i="32"/>
  <c r="D172" i="9"/>
  <c r="D228" i="9"/>
  <c r="I222" i="32"/>
  <c r="I308" i="32"/>
  <c r="D314" i="9"/>
  <c r="D309" i="9"/>
  <c r="I303" i="32"/>
  <c r="I33" i="32"/>
  <c r="D39" i="9"/>
  <c r="D42" i="9"/>
  <c r="I36" i="32"/>
  <c r="D95" i="9"/>
  <c r="I89" i="32"/>
  <c r="I131" i="32"/>
  <c r="D137" i="9"/>
  <c r="D183" i="9"/>
  <c r="I177" i="32"/>
  <c r="I26" i="32"/>
  <c r="D32" i="9"/>
  <c r="I172" i="32"/>
  <c r="D178" i="9"/>
  <c r="I104" i="32"/>
  <c r="D110" i="9"/>
  <c r="I211" i="32"/>
  <c r="D217" i="9"/>
  <c r="I128" i="32"/>
  <c r="D134" i="9"/>
  <c r="D234" i="9"/>
  <c r="I228" i="32"/>
  <c r="I107" i="32"/>
  <c r="D113" i="9"/>
  <c r="I46" i="32"/>
  <c r="D52" i="9"/>
  <c r="D140" i="9"/>
  <c r="I134" i="32"/>
  <c r="I158" i="32"/>
  <c r="D164" i="9"/>
  <c r="I296" i="32"/>
  <c r="D302" i="9"/>
  <c r="I305" i="32"/>
  <c r="D311" i="9"/>
  <c r="I301" i="32"/>
  <c r="D307" i="9"/>
  <c r="D18" i="9"/>
  <c r="I12" i="32"/>
  <c r="D103" i="9"/>
  <c r="I97" i="32"/>
  <c r="I99" i="32"/>
  <c r="D105" i="9"/>
  <c r="D153" i="9"/>
  <c r="I147" i="32"/>
  <c r="I169" i="32"/>
  <c r="D175" i="9"/>
  <c r="I213" i="32"/>
  <c r="D219" i="9"/>
  <c r="D38" i="9"/>
  <c r="I32" i="32"/>
  <c r="I212" i="32"/>
  <c r="D218" i="9"/>
  <c r="I80" i="32"/>
  <c r="D86" i="9"/>
  <c r="I144" i="32"/>
  <c r="D150" i="9"/>
  <c r="I27" i="32"/>
  <c r="D33" i="9"/>
  <c r="I233" i="32"/>
  <c r="D239" i="9"/>
  <c r="I276" i="32"/>
  <c r="D282" i="9"/>
  <c r="I252" i="32"/>
  <c r="D258" i="9"/>
  <c r="I268" i="32"/>
  <c r="D274" i="9"/>
  <c r="I248" i="32"/>
  <c r="D254" i="9"/>
  <c r="I292" i="32"/>
  <c r="D298" i="9"/>
  <c r="I122" i="32"/>
  <c r="D128" i="9"/>
  <c r="I111" i="32"/>
  <c r="D117" i="9"/>
  <c r="D115" i="9"/>
  <c r="I109" i="32"/>
  <c r="I205" i="32"/>
  <c r="D211" i="9"/>
  <c r="I239" i="32"/>
  <c r="D245" i="9"/>
  <c r="I279" i="32"/>
  <c r="D285" i="9"/>
  <c r="I251" i="32"/>
  <c r="D257" i="9"/>
  <c r="D65" i="9"/>
  <c r="I59" i="32"/>
  <c r="D111" i="9"/>
  <c r="I105" i="32"/>
  <c r="K227" i="36"/>
  <c r="F235" i="34" s="1"/>
  <c r="K19" i="36"/>
  <c r="F27" i="34" s="1"/>
  <c r="K31" i="36"/>
  <c r="F39" i="34" s="1"/>
  <c r="K104" i="36"/>
  <c r="F112" i="34" s="1"/>
  <c r="K74" i="36"/>
  <c r="F82" i="34" s="1"/>
  <c r="K128" i="36"/>
  <c r="F136" i="34" s="1"/>
  <c r="K17" i="36"/>
  <c r="F25" i="34" s="1"/>
  <c r="K56" i="36"/>
  <c r="F64" i="34" s="1"/>
  <c r="K47" i="36"/>
  <c r="F55" i="34" s="1"/>
  <c r="K11" i="36"/>
  <c r="F19" i="34" s="1"/>
  <c r="K88" i="36"/>
  <c r="F96" i="34" s="1"/>
  <c r="K58" i="36"/>
  <c r="F66" i="34" s="1"/>
  <c r="K245" i="36"/>
  <c r="F253" i="34" s="1"/>
  <c r="K113" i="36"/>
  <c r="F121" i="34" s="1"/>
  <c r="K266" i="36"/>
  <c r="F274" i="34" s="1"/>
  <c r="K311" i="36"/>
  <c r="F319" i="34" s="1"/>
  <c r="K138" i="36"/>
  <c r="F146" i="34" s="1"/>
  <c r="K205" i="36"/>
  <c r="F213" i="34" s="1"/>
  <c r="K33" i="36"/>
  <c r="F41" i="34" s="1"/>
  <c r="K201" i="36"/>
  <c r="F209" i="34" s="1"/>
  <c r="K303" i="36"/>
  <c r="F311" i="34" s="1"/>
  <c r="K277" i="36"/>
  <c r="F285" i="34" s="1"/>
  <c r="K106" i="36"/>
  <c r="F114" i="34" s="1"/>
  <c r="K177" i="36"/>
  <c r="F185" i="34" s="1"/>
  <c r="K281" i="36"/>
  <c r="F289" i="34" s="1"/>
  <c r="K122" i="36"/>
  <c r="F130" i="34" s="1"/>
  <c r="K213" i="36"/>
  <c r="F221" i="34" s="1"/>
  <c r="K125" i="36"/>
  <c r="F133" i="34" s="1"/>
  <c r="K142" i="36"/>
  <c r="F150" i="34" s="1"/>
  <c r="K221" i="36"/>
  <c r="F229" i="34" s="1"/>
  <c r="K285" i="36"/>
  <c r="F293" i="34" s="1"/>
  <c r="K306" i="36"/>
  <c r="F314" i="34" s="1"/>
  <c r="K313" i="36"/>
  <c r="F321" i="34" s="1"/>
  <c r="K302" i="36"/>
  <c r="F310" i="34" s="1"/>
  <c r="K276" i="36"/>
  <c r="F284" i="34" s="1"/>
  <c r="K252" i="36"/>
  <c r="F260" i="34" s="1"/>
  <c r="K208" i="36"/>
  <c r="F216" i="34" s="1"/>
  <c r="K152" i="36"/>
  <c r="F160" i="34" s="1"/>
  <c r="K188" i="36"/>
  <c r="F196" i="34" s="1"/>
  <c r="K95" i="36"/>
  <c r="F103" i="34" s="1"/>
  <c r="K98" i="36"/>
  <c r="F106" i="34" s="1"/>
  <c r="K155" i="36"/>
  <c r="F163" i="34" s="1"/>
  <c r="K131" i="36"/>
  <c r="F139" i="34" s="1"/>
  <c r="K107" i="36"/>
  <c r="F115" i="34" s="1"/>
  <c r="K46" i="36"/>
  <c r="F54" i="34" s="1"/>
  <c r="K196" i="36"/>
  <c r="F204" i="34" s="1"/>
  <c r="K143" i="36"/>
  <c r="F151" i="34" s="1"/>
  <c r="K117" i="36"/>
  <c r="F125" i="34" s="1"/>
  <c r="K79" i="36"/>
  <c r="F87" i="34" s="1"/>
  <c r="K44" i="36"/>
  <c r="F52" i="34" s="1"/>
  <c r="K34" i="36"/>
  <c r="F42" i="34" s="1"/>
  <c r="K10" i="36"/>
  <c r="F18" i="34" s="1"/>
  <c r="K49" i="36"/>
  <c r="F57" i="34" s="1"/>
  <c r="K270" i="36"/>
  <c r="F278" i="34" s="1"/>
  <c r="K28" i="36"/>
  <c r="F36" i="34" s="1"/>
  <c r="K133" i="36"/>
  <c r="F141" i="34" s="1"/>
  <c r="K158" i="36"/>
  <c r="F166" i="34" s="1"/>
  <c r="K274" i="36"/>
  <c r="F282" i="34" s="1"/>
  <c r="K246" i="36"/>
  <c r="F254" i="34" s="1"/>
  <c r="K210" i="36"/>
  <c r="F218" i="34" s="1"/>
  <c r="K202" i="36"/>
  <c r="F210" i="34" s="1"/>
  <c r="K300" i="36"/>
  <c r="F308" i="34" s="1"/>
  <c r="K178" i="36"/>
  <c r="F186" i="34" s="1"/>
  <c r="K151" i="36"/>
  <c r="F159" i="34" s="1"/>
  <c r="K215" i="36"/>
  <c r="F223" i="34" s="1"/>
  <c r="K159" i="36"/>
  <c r="F167" i="34" s="1"/>
  <c r="K195" i="36"/>
  <c r="F203" i="34" s="1"/>
  <c r="I192" i="32"/>
  <c r="D198" i="9"/>
  <c r="I96" i="32"/>
  <c r="D102" i="9"/>
  <c r="I161" i="32"/>
  <c r="D167" i="9"/>
  <c r="I31" i="32"/>
  <c r="D37" i="9"/>
  <c r="I250" i="32"/>
  <c r="D256" i="9"/>
  <c r="I289" i="32"/>
  <c r="D295" i="9"/>
  <c r="I58" i="32"/>
  <c r="D64" i="9"/>
  <c r="I281" i="32"/>
  <c r="D287" i="9"/>
  <c r="I257" i="32"/>
  <c r="D263" i="9"/>
  <c r="D116" i="9"/>
  <c r="I110" i="32"/>
  <c r="I162" i="32"/>
  <c r="D168" i="9"/>
  <c r="D54" i="9"/>
  <c r="I48" i="32"/>
  <c r="I91" i="32"/>
  <c r="D97" i="9"/>
  <c r="I187" i="32"/>
  <c r="D193" i="9"/>
  <c r="D231" i="9"/>
  <c r="I225" i="32"/>
  <c r="I271" i="32"/>
  <c r="D277" i="9"/>
  <c r="I247" i="32"/>
  <c r="D253" i="9"/>
  <c r="D57" i="9"/>
  <c r="I51" i="32"/>
  <c r="I95" i="32"/>
  <c r="D101" i="9"/>
  <c r="I116" i="32"/>
  <c r="D122" i="9"/>
  <c r="I77" i="32"/>
  <c r="D83" i="9"/>
  <c r="I76" i="32"/>
  <c r="D82" i="9"/>
  <c r="I19" i="32"/>
  <c r="D25" i="9"/>
  <c r="I44" i="32"/>
  <c r="D50" i="9"/>
  <c r="I236" i="32"/>
  <c r="D242" i="9"/>
  <c r="I174" i="32"/>
  <c r="D180" i="9"/>
  <c r="I206" i="32"/>
  <c r="D212" i="9"/>
  <c r="I127" i="32"/>
  <c r="D133" i="9"/>
  <c r="I273" i="32"/>
  <c r="D279" i="9"/>
  <c r="I42" i="32"/>
  <c r="D48" i="9"/>
  <c r="I297" i="32"/>
  <c r="D303" i="9"/>
  <c r="I181" i="32"/>
  <c r="D187" i="9"/>
  <c r="I275" i="32"/>
  <c r="D281" i="9"/>
  <c r="D312" i="9"/>
  <c r="I306" i="32"/>
  <c r="I295" i="32"/>
  <c r="D301" i="9"/>
  <c r="I8" i="32"/>
  <c r="D14" i="9"/>
  <c r="I79" i="32"/>
  <c r="D85" i="9"/>
  <c r="I133" i="32"/>
  <c r="D139" i="9"/>
  <c r="I84" i="32"/>
  <c r="D90" i="9"/>
  <c r="I7" i="32"/>
  <c r="D13" i="9"/>
  <c r="I35" i="32"/>
  <c r="D41" i="9"/>
  <c r="I220" i="32"/>
  <c r="D226" i="9"/>
  <c r="I175" i="32"/>
  <c r="D181" i="9"/>
  <c r="I253" i="32"/>
  <c r="D259" i="9"/>
  <c r="I293" i="32"/>
  <c r="D299" i="9"/>
  <c r="I313" i="32"/>
  <c r="D319" i="9"/>
  <c r="I294" i="32"/>
  <c r="D300" i="9"/>
  <c r="I138" i="32"/>
  <c r="D144" i="9"/>
  <c r="I232" i="32"/>
  <c r="D238" i="9"/>
  <c r="I265" i="32"/>
  <c r="D271" i="9"/>
  <c r="D308" i="9"/>
  <c r="I302" i="32"/>
  <c r="I299" i="32"/>
  <c r="D305" i="9"/>
  <c r="D22" i="9"/>
  <c r="I16" i="32"/>
  <c r="I34" i="32"/>
  <c r="D40" i="9"/>
  <c r="I83" i="32"/>
  <c r="D89" i="9"/>
  <c r="D131" i="9"/>
  <c r="I125" i="32"/>
  <c r="D165" i="9"/>
  <c r="I159" i="32"/>
  <c r="D26" i="9"/>
  <c r="I20" i="32"/>
  <c r="I200" i="32"/>
  <c r="D206" i="9"/>
  <c r="I132" i="32"/>
  <c r="D138" i="9"/>
  <c r="I160" i="32"/>
  <c r="D166" i="9"/>
  <c r="I72" i="32"/>
  <c r="D78" i="9"/>
  <c r="D106" i="9"/>
  <c r="I100" i="32"/>
  <c r="D208" i="9"/>
  <c r="I202" i="32"/>
  <c r="I186" i="32"/>
  <c r="D192" i="9"/>
  <c r="I98" i="32"/>
  <c r="D104" i="9"/>
  <c r="I190" i="32"/>
  <c r="D196" i="9"/>
  <c r="I264" i="32"/>
  <c r="D270" i="9"/>
  <c r="I90" i="32"/>
  <c r="D96" i="9"/>
  <c r="I269" i="32"/>
  <c r="D275" i="9"/>
  <c r="I65" i="32"/>
  <c r="D71" i="9"/>
  <c r="D169" i="9"/>
  <c r="I163" i="32"/>
  <c r="D147" i="9"/>
  <c r="I141" i="32"/>
  <c r="I227" i="32"/>
  <c r="D233" i="9"/>
  <c r="I215" i="32"/>
  <c r="D221" i="9"/>
  <c r="I235" i="32"/>
  <c r="D241" i="9"/>
  <c r="I61" i="32"/>
  <c r="D67" i="9"/>
  <c r="K40" i="36"/>
  <c r="F48" i="34" s="1"/>
  <c r="K27" i="36"/>
  <c r="F35" i="34" s="1"/>
  <c r="K136" i="36"/>
  <c r="F144" i="34" s="1"/>
  <c r="K80" i="36"/>
  <c r="F88" i="34" s="1"/>
  <c r="K144" i="36"/>
  <c r="F152" i="34" s="1"/>
  <c r="K51" i="36"/>
  <c r="F59" i="34" s="1"/>
  <c r="K108" i="36"/>
  <c r="F116" i="34" s="1"/>
  <c r="K35" i="36"/>
  <c r="F43" i="34" s="1"/>
  <c r="K43" i="36"/>
  <c r="F51" i="34" s="1"/>
  <c r="K120" i="36"/>
  <c r="F128" i="34" s="1"/>
  <c r="K241" i="36"/>
  <c r="F249" i="34" s="1"/>
  <c r="K39" i="36"/>
  <c r="F47" i="34" s="1"/>
  <c r="K218" i="36"/>
  <c r="F226" i="34" s="1"/>
  <c r="K282" i="36"/>
  <c r="F290" i="34" s="1"/>
  <c r="K84" i="36"/>
  <c r="F92" i="34" s="1"/>
  <c r="K161" i="36"/>
  <c r="F169" i="34" s="1"/>
  <c r="K77" i="36"/>
  <c r="F85" i="34" s="1"/>
  <c r="K149" i="36"/>
  <c r="F157" i="34" s="1"/>
  <c r="K109" i="36"/>
  <c r="F117" i="34" s="1"/>
  <c r="K231" i="36"/>
  <c r="F239" i="34" s="1"/>
  <c r="K145" i="36"/>
  <c r="F153" i="34" s="1"/>
  <c r="K132" i="36"/>
  <c r="F140" i="34" s="1"/>
  <c r="K193" i="36"/>
  <c r="F201" i="34" s="1"/>
  <c r="K93" i="36"/>
  <c r="F101" i="34" s="1"/>
  <c r="K157" i="36"/>
  <c r="F165" i="34" s="1"/>
  <c r="K217" i="36"/>
  <c r="F225" i="34" s="1"/>
  <c r="K263" i="36"/>
  <c r="F271" i="34" s="1"/>
  <c r="K261" i="36"/>
  <c r="F269" i="34" s="1"/>
  <c r="K237" i="36"/>
  <c r="F245" i="34" s="1"/>
  <c r="K304" i="36"/>
  <c r="F312" i="34" s="1"/>
  <c r="K305" i="36"/>
  <c r="F313" i="34" s="1"/>
  <c r="K298" i="36"/>
  <c r="F306" i="34" s="1"/>
  <c r="K290" i="36"/>
  <c r="F298" i="34" s="1"/>
  <c r="K294" i="36"/>
  <c r="F302" i="34" s="1"/>
  <c r="K268" i="36"/>
  <c r="F276" i="34" s="1"/>
  <c r="K228" i="36"/>
  <c r="F236" i="34" s="1"/>
  <c r="K184" i="36"/>
  <c r="F192" i="34" s="1"/>
  <c r="K135" i="36"/>
  <c r="F143" i="34" s="1"/>
  <c r="K38" i="36"/>
  <c r="F46" i="34" s="1"/>
  <c r="K204" i="36"/>
  <c r="F212" i="34" s="1"/>
  <c r="K171" i="36"/>
  <c r="F179" i="34" s="1"/>
  <c r="K119" i="36"/>
  <c r="F127" i="34" s="1"/>
  <c r="K91" i="36"/>
  <c r="F99" i="34" s="1"/>
  <c r="K271" i="36"/>
  <c r="F279" i="34" s="1"/>
  <c r="K223" i="36"/>
  <c r="F231" i="34" s="1"/>
  <c r="K168" i="36"/>
  <c r="F176" i="34" s="1"/>
  <c r="K89" i="36"/>
  <c r="F97" i="34" s="1"/>
  <c r="K272" i="36"/>
  <c r="F280" i="34" s="1"/>
  <c r="K240" i="36"/>
  <c r="F248" i="34" s="1"/>
  <c r="K187" i="36"/>
  <c r="F195" i="34" s="1"/>
  <c r="K160" i="36"/>
  <c r="F168" i="34" s="1"/>
  <c r="K130" i="36"/>
  <c r="F138" i="34" s="1"/>
  <c r="K102" i="36"/>
  <c r="F110" i="34" s="1"/>
  <c r="K66" i="36"/>
  <c r="F74" i="34" s="1"/>
  <c r="K148" i="36"/>
  <c r="F156" i="34" s="1"/>
  <c r="K137" i="36"/>
  <c r="F145" i="34" s="1"/>
  <c r="K103" i="36"/>
  <c r="F111" i="34" s="1"/>
  <c r="K72" i="36"/>
  <c r="F80" i="34" s="1"/>
  <c r="K60" i="36"/>
  <c r="F68" i="34" s="1"/>
  <c r="K25" i="36"/>
  <c r="F33" i="34" s="1"/>
  <c r="K30" i="36"/>
  <c r="F38" i="34" s="1"/>
  <c r="K63" i="36"/>
  <c r="F71" i="34" s="1"/>
  <c r="K134" i="36"/>
  <c r="F142" i="34" s="1"/>
  <c r="K166" i="36"/>
  <c r="F174" i="34" s="1"/>
  <c r="K239" i="36"/>
  <c r="F247" i="34" s="1"/>
  <c r="K255" i="36"/>
  <c r="F263" i="34" s="1"/>
  <c r="K70" i="36"/>
  <c r="F78" i="34" s="1"/>
  <c r="K16" i="36"/>
  <c r="F24" i="34" s="1"/>
  <c r="K20" i="36"/>
  <c r="F28" i="34" s="1"/>
  <c r="K170" i="36"/>
  <c r="F178" i="34" s="1"/>
  <c r="K275" i="36"/>
  <c r="F283" i="34" s="1"/>
  <c r="K292" i="36"/>
  <c r="F300" i="34" s="1"/>
  <c r="K297" i="36"/>
  <c r="F305" i="34" s="1"/>
  <c r="K316" i="36"/>
  <c r="F324" i="34" s="1"/>
  <c r="K243" i="36"/>
  <c r="F251" i="34" s="1"/>
  <c r="K190" i="36"/>
  <c r="F198" i="34" s="1"/>
  <c r="K259" i="36"/>
  <c r="F267" i="34" s="1"/>
  <c r="K167" i="36"/>
  <c r="F175" i="34" s="1"/>
  <c r="K175" i="36"/>
  <c r="F183" i="34" s="1"/>
  <c r="K147" i="36"/>
  <c r="F155" i="34" s="1"/>
  <c r="K211" i="36"/>
  <c r="F219" i="34" s="1"/>
  <c r="I216" i="32"/>
  <c r="D222" i="9"/>
  <c r="I149" i="32"/>
  <c r="D155" i="9"/>
  <c r="I179" i="32"/>
  <c r="D185" i="9"/>
  <c r="I88" i="32"/>
  <c r="D94" i="9"/>
  <c r="I123" i="32"/>
  <c r="D129" i="9"/>
  <c r="I6" i="32"/>
  <c r="D12" i="9"/>
  <c r="I229" i="32"/>
  <c r="D235" i="9"/>
  <c r="I13" i="32"/>
  <c r="D19" i="9"/>
  <c r="I230" i="32"/>
  <c r="D236" i="9"/>
  <c r="I277" i="32"/>
  <c r="D283" i="9"/>
  <c r="I178" i="32"/>
  <c r="D184" i="9"/>
  <c r="I278" i="32"/>
  <c r="D284" i="9"/>
  <c r="I49" i="32"/>
  <c r="D55" i="9"/>
  <c r="I115" i="32"/>
  <c r="D121" i="9"/>
  <c r="I119" i="32"/>
  <c r="D125" i="9"/>
  <c r="I197" i="32"/>
  <c r="D203" i="9"/>
  <c r="D199" i="9"/>
  <c r="I193" i="32"/>
  <c r="I221" i="32"/>
  <c r="D227" i="9"/>
  <c r="I53" i="32"/>
  <c r="D59" i="9"/>
  <c r="I168" i="32"/>
  <c r="D174" i="9"/>
  <c r="I108" i="32"/>
  <c r="D114" i="9"/>
  <c r="I180" i="32"/>
  <c r="D186" i="9"/>
  <c r="I73" i="32"/>
  <c r="D79" i="9"/>
  <c r="I260" i="32"/>
  <c r="D266" i="9"/>
  <c r="I298" i="32"/>
  <c r="D304" i="9"/>
  <c r="D120" i="9"/>
  <c r="I114" i="32"/>
  <c r="I290" i="32"/>
  <c r="D296" i="9"/>
  <c r="I118" i="32"/>
  <c r="D124" i="9"/>
  <c r="I309" i="32"/>
  <c r="D315" i="9"/>
  <c r="I210" i="32"/>
  <c r="D216" i="9"/>
  <c r="D112" i="9"/>
  <c r="I106" i="32"/>
  <c r="D91" i="9"/>
  <c r="I85" i="32"/>
  <c r="I185" i="32"/>
  <c r="D191" i="9"/>
  <c r="D215" i="9"/>
  <c r="I209" i="32"/>
  <c r="I263" i="32"/>
  <c r="D269" i="9"/>
  <c r="I231" i="32"/>
  <c r="D237" i="9"/>
  <c r="D49" i="9"/>
  <c r="I43" i="32"/>
  <c r="D87" i="9"/>
  <c r="I81" i="32"/>
  <c r="I191" i="32"/>
  <c r="D197" i="9"/>
  <c r="I21" i="32"/>
  <c r="D27" i="9"/>
  <c r="I92" i="32"/>
  <c r="D98" i="9"/>
  <c r="I23" i="32"/>
  <c r="D29" i="9"/>
  <c r="I170" i="32"/>
  <c r="D176" i="9"/>
  <c r="I266" i="32"/>
  <c r="D272" i="9"/>
  <c r="I234" i="32"/>
  <c r="D240" i="9"/>
  <c r="I237" i="32"/>
  <c r="D243" i="9"/>
  <c r="I194" i="32"/>
  <c r="D200" i="9"/>
  <c r="I282" i="32"/>
  <c r="D288" i="9"/>
  <c r="I94" i="32"/>
  <c r="D100" i="9"/>
  <c r="I22" i="32"/>
  <c r="D28" i="9"/>
  <c r="D161" i="9"/>
  <c r="I155" i="32"/>
  <c r="I267" i="32"/>
  <c r="D273" i="9"/>
  <c r="I255" i="32"/>
  <c r="D261" i="9"/>
  <c r="I287" i="32"/>
  <c r="D293" i="9"/>
  <c r="I259" i="32"/>
  <c r="D265" i="9"/>
  <c r="D75" i="9"/>
  <c r="I69" i="32"/>
  <c r="D135" i="9"/>
  <c r="I129" i="32"/>
  <c r="I204" i="32"/>
  <c r="D210" i="9"/>
  <c r="I164" i="32"/>
  <c r="D170" i="9"/>
  <c r="I224" i="32"/>
  <c r="D230" i="9"/>
  <c r="I102" i="32"/>
  <c r="D108" i="9"/>
  <c r="I245" i="32"/>
  <c r="D251" i="9"/>
  <c r="I261" i="32"/>
  <c r="D267" i="9"/>
  <c r="I143" i="32"/>
  <c r="D149" i="9"/>
  <c r="I262" i="32"/>
  <c r="D268" i="9"/>
  <c r="I241" i="32"/>
  <c r="D247" i="9"/>
  <c r="I38" i="32"/>
  <c r="D44" i="9"/>
  <c r="D46" i="9"/>
  <c r="I40" i="32"/>
  <c r="I312" i="32"/>
  <c r="D318" i="9"/>
  <c r="D316" i="9"/>
  <c r="I310" i="32"/>
  <c r="D61" i="9"/>
  <c r="I55" i="32"/>
  <c r="I57" i="32"/>
  <c r="D63" i="9"/>
  <c r="D151" i="9"/>
  <c r="I145" i="32"/>
  <c r="I165" i="32"/>
  <c r="D171" i="9"/>
  <c r="I203" i="32"/>
  <c r="D209" i="9"/>
  <c r="I30" i="32"/>
  <c r="D36" i="9"/>
  <c r="K140" i="36"/>
  <c r="F148" i="34" s="1"/>
  <c r="K53" i="36"/>
  <c r="F61" i="34" s="1"/>
  <c r="K75" i="36"/>
  <c r="F83" i="34" s="1"/>
  <c r="K96" i="36"/>
  <c r="F104" i="34" s="1"/>
  <c r="K225" i="36"/>
  <c r="F233" i="34" s="1"/>
  <c r="K37" i="36"/>
  <c r="F45" i="34" s="1"/>
  <c r="K126" i="36"/>
  <c r="F134" i="34" s="1"/>
  <c r="K21" i="36"/>
  <c r="F29" i="34" s="1"/>
  <c r="K73" i="36"/>
  <c r="F81" i="34" s="1"/>
  <c r="K59" i="36"/>
  <c r="F67" i="34" s="1"/>
  <c r="K273" i="36"/>
  <c r="F281" i="34" s="1"/>
  <c r="K81" i="36"/>
  <c r="F89" i="34" s="1"/>
  <c r="K234" i="36"/>
  <c r="F242" i="34" s="1"/>
  <c r="K295" i="36"/>
  <c r="F303" i="34" s="1"/>
  <c r="K100" i="36"/>
  <c r="F108" i="34" s="1"/>
  <c r="K169" i="36"/>
  <c r="F177" i="34" s="1"/>
  <c r="K141" i="36"/>
  <c r="F149" i="34" s="1"/>
  <c r="K173" i="36"/>
  <c r="F181" i="34" s="1"/>
  <c r="K229" i="36"/>
  <c r="F237" i="34" s="1"/>
  <c r="K62" i="36"/>
  <c r="F70" i="34" s="1"/>
  <c r="K55" i="36"/>
  <c r="F63" i="34" s="1"/>
  <c r="K153" i="36"/>
  <c r="F161" i="34" s="1"/>
  <c r="K209" i="36"/>
  <c r="F217" i="34" s="1"/>
  <c r="K291" i="36"/>
  <c r="F299" i="34" s="1"/>
  <c r="K181" i="36"/>
  <c r="F189" i="34" s="1"/>
  <c r="K233" i="36"/>
  <c r="F241" i="34" s="1"/>
  <c r="K307" i="36"/>
  <c r="F315" i="34" s="1"/>
  <c r="K71" i="36"/>
  <c r="F79" i="34" s="1"/>
  <c r="K253" i="36"/>
  <c r="F261" i="34" s="1"/>
  <c r="K247" i="36"/>
  <c r="F255" i="34" s="1"/>
  <c r="K286" i="36"/>
  <c r="F294" i="34" s="1"/>
  <c r="K310" i="36"/>
  <c r="F318" i="34" s="1"/>
  <c r="K296" i="36"/>
  <c r="F304" i="34" s="1"/>
  <c r="K284" i="36"/>
  <c r="F292" i="34" s="1"/>
  <c r="K244" i="36"/>
  <c r="F252" i="34" s="1"/>
  <c r="K220" i="36"/>
  <c r="F228" i="34" s="1"/>
  <c r="K203" i="36"/>
  <c r="F211" i="34" s="1"/>
  <c r="K99" i="36"/>
  <c r="F107" i="34" s="1"/>
  <c r="K212" i="36"/>
  <c r="F220" i="34" s="1"/>
  <c r="K115" i="36"/>
  <c r="F123" i="34" s="1"/>
  <c r="K76" i="36"/>
  <c r="F84" i="34" s="1"/>
  <c r="K254" i="36"/>
  <c r="F262" i="34" s="1"/>
  <c r="K222" i="36"/>
  <c r="F230" i="34" s="1"/>
  <c r="K200" i="36"/>
  <c r="F208" i="34" s="1"/>
  <c r="K85" i="36"/>
  <c r="F93" i="34" s="1"/>
  <c r="K139" i="36"/>
  <c r="F147" i="34" s="1"/>
  <c r="K32" i="36"/>
  <c r="F40" i="34" s="1"/>
  <c r="K176" i="36"/>
  <c r="F184" i="34" s="1"/>
  <c r="K127" i="36"/>
  <c r="F135" i="34" s="1"/>
  <c r="K54" i="36"/>
  <c r="F62" i="34" s="1"/>
  <c r="K26" i="36"/>
  <c r="F34" i="34" s="1"/>
  <c r="K164" i="36"/>
  <c r="F172" i="34" s="1"/>
  <c r="K123" i="36"/>
  <c r="F131" i="34" s="1"/>
  <c r="K83" i="36"/>
  <c r="F91" i="34" s="1"/>
  <c r="K68" i="36"/>
  <c r="F76" i="34" s="1"/>
  <c r="K50" i="36"/>
  <c r="F58" i="34" s="1"/>
  <c r="K42" i="36"/>
  <c r="F50" i="34" s="1"/>
  <c r="K22" i="36"/>
  <c r="F30" i="34" s="1"/>
  <c r="K18" i="36"/>
  <c r="F26" i="34" s="1"/>
  <c r="K13" i="36"/>
  <c r="F21" i="34" s="1"/>
  <c r="K82" i="36"/>
  <c r="F90" i="34" s="1"/>
  <c r="K262" i="36"/>
  <c r="F270" i="34" s="1"/>
  <c r="K194" i="36"/>
  <c r="F202" i="34" s="1"/>
  <c r="K186" i="36"/>
  <c r="F194" i="34" s="1"/>
  <c r="K162" i="36"/>
  <c r="F170" i="34" s="1"/>
  <c r="K242" i="36"/>
  <c r="F250" i="34" s="1"/>
  <c r="K278" i="36"/>
  <c r="F286" i="34" s="1"/>
  <c r="K154" i="36"/>
  <c r="F162" i="34" s="1"/>
  <c r="K226" i="36"/>
  <c r="F234" i="34" s="1"/>
  <c r="K312" i="36"/>
  <c r="F320" i="34" s="1"/>
  <c r="K183" i="36"/>
  <c r="F191" i="34" s="1"/>
  <c r="K118" i="36"/>
  <c r="F126" i="34" s="1"/>
  <c r="K191" i="36"/>
  <c r="F199" i="34" s="1"/>
  <c r="K163" i="36"/>
  <c r="F171" i="34" s="1"/>
  <c r="K287" i="36"/>
  <c r="F295" i="34" s="1"/>
  <c r="I10" i="32"/>
  <c r="D16" i="9"/>
  <c r="I120" i="32"/>
  <c r="D126" i="9"/>
  <c r="I207" i="32"/>
  <c r="D213" i="9"/>
  <c r="I156" i="32"/>
  <c r="D162" i="9"/>
  <c r="I153" i="32"/>
  <c r="D159" i="9"/>
  <c r="I142" i="32"/>
  <c r="D148" i="9"/>
  <c r="I270" i="32"/>
  <c r="D276" i="9"/>
  <c r="D246" i="9"/>
  <c r="I240" i="32"/>
  <c r="I272" i="32"/>
  <c r="D278" i="9"/>
  <c r="I256" i="32"/>
  <c r="D262" i="9"/>
  <c r="I82" i="32"/>
  <c r="D88" i="9"/>
  <c r="I139" i="32"/>
  <c r="D145" i="9"/>
  <c r="I304" i="32"/>
  <c r="D310" i="9"/>
  <c r="D317" i="9"/>
  <c r="I311" i="32"/>
  <c r="D45" i="9"/>
  <c r="I39" i="32"/>
  <c r="I41" i="32"/>
  <c r="D47" i="9"/>
  <c r="D127" i="9"/>
  <c r="I121" i="32"/>
  <c r="I135" i="32"/>
  <c r="D141" i="9"/>
  <c r="I199" i="32"/>
  <c r="D205" i="9"/>
  <c r="D34" i="9"/>
  <c r="I28" i="32"/>
  <c r="I136" i="32"/>
  <c r="D142" i="9"/>
  <c r="I157" i="32"/>
  <c r="D163" i="9"/>
  <c r="I195" i="32"/>
  <c r="D201" i="9"/>
  <c r="I140" i="32"/>
  <c r="D146" i="9"/>
  <c r="I182" i="32"/>
  <c r="D188" i="9"/>
  <c r="D70" i="9"/>
  <c r="I64" i="32"/>
  <c r="I246" i="32"/>
  <c r="D252" i="9"/>
  <c r="I86" i="32"/>
  <c r="D92" i="9"/>
  <c r="I62" i="32"/>
  <c r="D68" i="9"/>
  <c r="I286" i="32"/>
  <c r="D292" i="9"/>
  <c r="I242" i="32"/>
  <c r="D248" i="9"/>
  <c r="I288" i="32"/>
  <c r="D294" i="9"/>
  <c r="I24" i="32"/>
  <c r="D30" i="9"/>
  <c r="D119" i="9"/>
  <c r="I113" i="32"/>
  <c r="I117" i="32"/>
  <c r="D123" i="9"/>
  <c r="I167" i="32"/>
  <c r="D173" i="9"/>
  <c r="I173" i="32"/>
  <c r="D179" i="9"/>
  <c r="I217" i="32"/>
  <c r="D223" i="9"/>
  <c r="I45" i="32"/>
  <c r="D51" i="9"/>
  <c r="I184" i="32"/>
  <c r="D190" i="9"/>
  <c r="I101" i="32"/>
  <c r="D107" i="9"/>
  <c r="I223" i="32"/>
  <c r="D229" i="9"/>
  <c r="I37" i="32"/>
  <c r="D43" i="9"/>
  <c r="I50" i="32"/>
  <c r="D56" i="9"/>
  <c r="I54" i="32"/>
  <c r="D60" i="9"/>
  <c r="I146" i="32"/>
  <c r="D152" i="9"/>
  <c r="I300" i="32"/>
  <c r="D306" i="9"/>
  <c r="I154" i="32"/>
  <c r="D160" i="9"/>
  <c r="D204" i="9"/>
  <c r="I198" i="32"/>
  <c r="D250" i="9"/>
  <c r="I244" i="32"/>
  <c r="D224" i="9"/>
  <c r="I218" i="32"/>
  <c r="D73" i="9"/>
  <c r="I67" i="32"/>
  <c r="I171" i="32"/>
  <c r="D177" i="9"/>
  <c r="I189" i="32"/>
  <c r="D195" i="9"/>
  <c r="I243" i="32"/>
  <c r="D249" i="9"/>
  <c r="I219" i="32"/>
  <c r="D225" i="9"/>
  <c r="I17" i="32"/>
  <c r="D23" i="9"/>
  <c r="I71" i="32"/>
  <c r="D77" i="9"/>
  <c r="I124" i="32"/>
  <c r="D130" i="9"/>
  <c r="I15" i="32"/>
  <c r="D21" i="9"/>
  <c r="I11" i="32"/>
  <c r="D17" i="9"/>
  <c r="I152" i="32"/>
  <c r="D158" i="9"/>
  <c r="I196" i="32"/>
  <c r="D202" i="9"/>
  <c r="D62" i="9"/>
  <c r="I56" i="32"/>
  <c r="I52" i="32"/>
  <c r="D58" i="9"/>
  <c r="I74" i="32"/>
  <c r="D80" i="9"/>
  <c r="I29" i="32"/>
  <c r="D35" i="9"/>
  <c r="D220" i="9"/>
  <c r="I214" i="32"/>
  <c r="I249" i="32"/>
  <c r="D255" i="9"/>
  <c r="I274" i="32"/>
  <c r="D280" i="9"/>
  <c r="I201" i="32"/>
  <c r="D207" i="9"/>
  <c r="I291" i="32"/>
  <c r="D297" i="9"/>
  <c r="I14" i="32"/>
  <c r="D20" i="9"/>
  <c r="I25" i="32"/>
  <c r="D31" i="9"/>
  <c r="D69" i="9"/>
  <c r="I63" i="32"/>
  <c r="I103" i="32"/>
  <c r="D109" i="9"/>
  <c r="D157" i="9"/>
  <c r="I151" i="32"/>
  <c r="I18" i="32"/>
  <c r="D24" i="9"/>
  <c r="K52" i="36"/>
  <c r="F60" i="34" s="1"/>
  <c r="K23" i="36"/>
  <c r="F31" i="34" s="1"/>
  <c r="K124" i="36"/>
  <c r="F132" i="34" s="1"/>
  <c r="K112" i="36"/>
  <c r="F120" i="34" s="1"/>
  <c r="K257" i="36"/>
  <c r="F265" i="34" s="1"/>
  <c r="K24" i="36"/>
  <c r="F32" i="34" s="1"/>
  <c r="K15" i="36"/>
  <c r="F23" i="34" s="1"/>
  <c r="K69" i="36"/>
  <c r="F77" i="34" s="1"/>
  <c r="K61" i="36"/>
  <c r="F69" i="34" s="1"/>
  <c r="K92" i="36"/>
  <c r="F100" i="34" s="1"/>
  <c r="K110" i="36"/>
  <c r="F118" i="34" s="1"/>
  <c r="K97" i="36"/>
  <c r="F105" i="34" s="1"/>
  <c r="K250" i="36"/>
  <c r="F258" i="34" s="1"/>
  <c r="K301" i="36"/>
  <c r="F309" i="34" s="1"/>
  <c r="K116" i="36"/>
  <c r="F124" i="34" s="1"/>
  <c r="K185" i="36"/>
  <c r="F193" i="34" s="1"/>
  <c r="K279" i="36"/>
  <c r="F287" i="34" s="1"/>
  <c r="K189" i="36"/>
  <c r="F197" i="34" s="1"/>
  <c r="K65" i="36"/>
  <c r="F73" i="34" s="1"/>
  <c r="K94" i="36"/>
  <c r="F102" i="34" s="1"/>
  <c r="K90" i="36"/>
  <c r="F98" i="34" s="1"/>
  <c r="K165" i="36"/>
  <c r="F173" i="34" s="1"/>
  <c r="K265" i="36"/>
  <c r="F273" i="34" s="1"/>
  <c r="K315" i="36"/>
  <c r="F323" i="34" s="1"/>
  <c r="K197" i="36"/>
  <c r="F205" i="34" s="1"/>
  <c r="K249" i="36"/>
  <c r="F257" i="34" s="1"/>
  <c r="K78" i="36"/>
  <c r="F86" i="34" s="1"/>
  <c r="K129" i="36"/>
  <c r="F137" i="34" s="1"/>
  <c r="K269" i="36"/>
  <c r="F277" i="34" s="1"/>
  <c r="K299" i="36"/>
  <c r="F307" i="34" s="1"/>
  <c r="K314" i="36"/>
  <c r="F322" i="34" s="1"/>
  <c r="K260" i="36"/>
  <c r="F268" i="34" s="1"/>
  <c r="K236" i="36"/>
  <c r="F244" i="34" s="1"/>
  <c r="K86" i="36"/>
  <c r="F94" i="34" s="1"/>
  <c r="K156" i="36"/>
  <c r="F164" i="34" s="1"/>
  <c r="K105" i="36"/>
  <c r="F113" i="34" s="1"/>
  <c r="K280" i="36"/>
  <c r="F288" i="34" s="1"/>
  <c r="K264" i="36"/>
  <c r="F272" i="34" s="1"/>
  <c r="K248" i="36"/>
  <c r="F256" i="34" s="1"/>
  <c r="K232" i="36"/>
  <c r="F240" i="34" s="1"/>
  <c r="K216" i="36"/>
  <c r="F224" i="34" s="1"/>
  <c r="K111" i="36"/>
  <c r="F119" i="34" s="1"/>
  <c r="K57" i="36"/>
  <c r="F65" i="34" s="1"/>
  <c r="K256" i="36"/>
  <c r="F264" i="34" s="1"/>
  <c r="K224" i="36"/>
  <c r="F232" i="34" s="1"/>
  <c r="K172" i="36"/>
  <c r="F180" i="34" s="1"/>
  <c r="K192" i="36"/>
  <c r="F200" i="34" s="1"/>
  <c r="K121" i="36"/>
  <c r="F129" i="34" s="1"/>
  <c r="K87" i="36"/>
  <c r="F95" i="34" s="1"/>
  <c r="K48" i="36"/>
  <c r="F56" i="34" s="1"/>
  <c r="K180" i="36"/>
  <c r="F188" i="34" s="1"/>
  <c r="K64" i="36"/>
  <c r="F72" i="34" s="1"/>
  <c r="K12" i="36"/>
  <c r="F20" i="34" s="1"/>
  <c r="K14" i="36"/>
  <c r="F22" i="34" s="1"/>
  <c r="M7" i="13"/>
  <c r="I60" i="49"/>
  <c r="I90" i="49"/>
  <c r="I266" i="49"/>
  <c r="I226" i="49"/>
  <c r="I303" i="49"/>
  <c r="I16" i="49"/>
  <c r="I32" i="49"/>
  <c r="I84" i="49"/>
  <c r="I206" i="49"/>
  <c r="I125" i="49"/>
  <c r="I130" i="49"/>
  <c r="I85" i="49"/>
  <c r="I36" i="49"/>
  <c r="I157" i="49"/>
  <c r="I8" i="49"/>
  <c r="I47" i="49"/>
  <c r="I80" i="49"/>
  <c r="I164" i="49"/>
  <c r="I48" i="49"/>
  <c r="I51" i="49"/>
  <c r="I163" i="49"/>
  <c r="I150" i="49"/>
  <c r="I280" i="49"/>
  <c r="I265" i="49"/>
  <c r="I52" i="49"/>
  <c r="I68" i="49"/>
  <c r="I191" i="49"/>
  <c r="I172" i="49"/>
  <c r="I165" i="49"/>
  <c r="I248" i="49"/>
  <c r="I299" i="49"/>
  <c r="I176" i="49"/>
  <c r="I231" i="49"/>
  <c r="I106" i="49"/>
  <c r="I240" i="49"/>
  <c r="I235" i="49"/>
  <c r="I135" i="49"/>
  <c r="I273" i="49"/>
  <c r="I14" i="49"/>
  <c r="I56" i="49"/>
  <c r="I72" i="49"/>
  <c r="I114" i="49"/>
  <c r="I207" i="49"/>
  <c r="I77" i="49"/>
  <c r="I223" i="49"/>
  <c r="I13" i="49"/>
  <c r="I259" i="49"/>
  <c r="I175" i="49"/>
  <c r="I126" i="49"/>
  <c r="I230" i="49"/>
  <c r="I59" i="49"/>
  <c r="H21" i="49"/>
  <c r="I21" i="49" s="1"/>
  <c r="E15" i="48"/>
  <c r="H12" i="49"/>
  <c r="I12" i="49" s="1"/>
  <c r="H54" i="49"/>
  <c r="I54" i="49" s="1"/>
  <c r="H111" i="49"/>
  <c r="I111" i="49" s="1"/>
  <c r="H227" i="49"/>
  <c r="I227" i="49" s="1"/>
  <c r="H284" i="49"/>
  <c r="I284" i="49" s="1"/>
  <c r="H98" i="49"/>
  <c r="I98" i="49" s="1"/>
  <c r="H128" i="49"/>
  <c r="I128" i="49" s="1"/>
  <c r="H148" i="49"/>
  <c r="I148" i="49" s="1"/>
  <c r="H192" i="49"/>
  <c r="I192" i="49" s="1"/>
  <c r="H208" i="49"/>
  <c r="I208" i="49" s="1"/>
  <c r="H252" i="49"/>
  <c r="I252" i="49" s="1"/>
  <c r="H281" i="49"/>
  <c r="I281" i="49" s="1"/>
  <c r="H297" i="49"/>
  <c r="I297" i="49" s="1"/>
  <c r="H30" i="49"/>
  <c r="I30" i="49" s="1"/>
  <c r="H62" i="49"/>
  <c r="I62" i="49" s="1"/>
  <c r="H86" i="49"/>
  <c r="I86" i="49" s="1"/>
  <c r="H109" i="49"/>
  <c r="I109" i="49" s="1"/>
  <c r="H136" i="49"/>
  <c r="I136" i="49" s="1"/>
  <c r="H154" i="49"/>
  <c r="I154" i="49" s="1"/>
  <c r="H171" i="49"/>
  <c r="I171" i="49" s="1"/>
  <c r="H185" i="49"/>
  <c r="I185" i="49" s="1"/>
  <c r="H205" i="49"/>
  <c r="I205" i="49" s="1"/>
  <c r="H225" i="49"/>
  <c r="I225" i="49" s="1"/>
  <c r="H257" i="49"/>
  <c r="I257" i="49" s="1"/>
  <c r="H274" i="49"/>
  <c r="I274" i="49" s="1"/>
  <c r="H294" i="49"/>
  <c r="I294" i="49" s="1"/>
  <c r="H308" i="49"/>
  <c r="I308" i="49" s="1"/>
  <c r="H102" i="49"/>
  <c r="I102" i="49" s="1"/>
  <c r="H122" i="49"/>
  <c r="I122" i="49" s="1"/>
  <c r="H137" i="49"/>
  <c r="I137" i="49" s="1"/>
  <c r="H186" i="49"/>
  <c r="I186" i="49" s="1"/>
  <c r="H202" i="49"/>
  <c r="I202" i="49" s="1"/>
  <c r="H218" i="49"/>
  <c r="I218" i="49" s="1"/>
  <c r="H246" i="49"/>
  <c r="I246" i="49" s="1"/>
  <c r="H271" i="49"/>
  <c r="I271" i="49" s="1"/>
  <c r="H287" i="49"/>
  <c r="I287" i="49" s="1"/>
  <c r="H305" i="49"/>
  <c r="I305" i="49" s="1"/>
  <c r="H104" i="49"/>
  <c r="I104" i="49" s="1"/>
  <c r="H151" i="49"/>
  <c r="I151" i="49" s="1"/>
  <c r="H33" i="49"/>
  <c r="I33" i="49" s="1"/>
  <c r="H129" i="49"/>
  <c r="I129" i="49" s="1"/>
  <c r="H7" i="49"/>
  <c r="I7" i="49" s="1"/>
  <c r="H177" i="49"/>
  <c r="I177" i="49" s="1"/>
  <c r="H295" i="49"/>
  <c r="I295" i="49" s="1"/>
  <c r="H199" i="49"/>
  <c r="I199" i="49" s="1"/>
  <c r="H41" i="49"/>
  <c r="I41" i="49" s="1"/>
  <c r="H243" i="49"/>
  <c r="I243" i="49" s="1"/>
  <c r="H88" i="49"/>
  <c r="I88" i="49" s="1"/>
  <c r="H251" i="49"/>
  <c r="I251" i="49" s="1"/>
  <c r="H43" i="49"/>
  <c r="I43" i="49" s="1"/>
  <c r="H50" i="49"/>
  <c r="I50" i="49" s="1"/>
  <c r="H82" i="49"/>
  <c r="I82" i="49" s="1"/>
  <c r="H233" i="49"/>
  <c r="I233" i="49" s="1"/>
  <c r="H26" i="49"/>
  <c r="I26" i="49" s="1"/>
  <c r="H73" i="49"/>
  <c r="I73" i="49" s="1"/>
  <c r="H92" i="49"/>
  <c r="I92" i="49" s="1"/>
  <c r="H134" i="49"/>
  <c r="I134" i="49" s="1"/>
  <c r="H215" i="49"/>
  <c r="I215" i="49" s="1"/>
  <c r="H232" i="49"/>
  <c r="I232" i="49" s="1"/>
  <c r="H264" i="49"/>
  <c r="I264" i="49" s="1"/>
  <c r="H314" i="49"/>
  <c r="I314" i="49" s="1"/>
  <c r="H105" i="49"/>
  <c r="I105" i="49" s="1"/>
  <c r="H152" i="49"/>
  <c r="I152" i="49" s="1"/>
  <c r="H180" i="49"/>
  <c r="I180" i="49" s="1"/>
  <c r="H212" i="49"/>
  <c r="I212" i="49" s="1"/>
  <c r="H224" i="49"/>
  <c r="I224" i="49" s="1"/>
  <c r="H256" i="49"/>
  <c r="I256" i="49" s="1"/>
  <c r="H269" i="49"/>
  <c r="I269" i="49" s="1"/>
  <c r="H285" i="49"/>
  <c r="I285" i="49" s="1"/>
  <c r="H66" i="49"/>
  <c r="I66" i="49" s="1"/>
  <c r="H89" i="49"/>
  <c r="I89" i="49" s="1"/>
  <c r="H113" i="49"/>
  <c r="I113" i="49" s="1"/>
  <c r="H140" i="49"/>
  <c r="I140" i="49" s="1"/>
  <c r="H158" i="49"/>
  <c r="I158" i="49" s="1"/>
  <c r="H174" i="49"/>
  <c r="I174" i="49" s="1"/>
  <c r="H193" i="49"/>
  <c r="I193" i="49" s="1"/>
  <c r="H209" i="49"/>
  <c r="I209" i="49" s="1"/>
  <c r="H229" i="49"/>
  <c r="I229" i="49" s="1"/>
  <c r="H245" i="49"/>
  <c r="I245" i="49" s="1"/>
  <c r="H262" i="49"/>
  <c r="I262" i="49" s="1"/>
  <c r="H282" i="49"/>
  <c r="I282" i="49" s="1"/>
  <c r="H298" i="49"/>
  <c r="I298" i="49" s="1"/>
  <c r="H17" i="49"/>
  <c r="I17" i="49" s="1"/>
  <c r="H53" i="49"/>
  <c r="I53" i="49" s="1"/>
  <c r="H110" i="49"/>
  <c r="I110" i="49" s="1"/>
  <c r="H142" i="49"/>
  <c r="I142" i="49" s="1"/>
  <c r="H190" i="49"/>
  <c r="I190" i="49" s="1"/>
  <c r="H222" i="49"/>
  <c r="I222" i="49" s="1"/>
  <c r="H250" i="49"/>
  <c r="I250" i="49" s="1"/>
  <c r="H275" i="49"/>
  <c r="I275" i="49" s="1"/>
  <c r="H291" i="49"/>
  <c r="I291" i="49" s="1"/>
  <c r="H309" i="49"/>
  <c r="I309" i="49" s="1"/>
  <c r="H64" i="49"/>
  <c r="I64" i="49" s="1"/>
  <c r="H138" i="49"/>
  <c r="I138" i="49" s="1"/>
  <c r="H160" i="49"/>
  <c r="I160" i="49" s="1"/>
  <c r="H203" i="49"/>
  <c r="I203" i="49" s="1"/>
  <c r="H34" i="49"/>
  <c r="I34" i="49" s="1"/>
  <c r="H153" i="49"/>
  <c r="I153" i="49" s="1"/>
  <c r="H117" i="49"/>
  <c r="I117" i="49" s="1"/>
  <c r="H181" i="49"/>
  <c r="I181" i="49" s="1"/>
  <c r="H18" i="49"/>
  <c r="I18" i="49" s="1"/>
  <c r="H173" i="49"/>
  <c r="I173" i="49" s="1"/>
  <c r="H236" i="49"/>
  <c r="I236" i="49" s="1"/>
  <c r="H211" i="49"/>
  <c r="I211" i="49" s="1"/>
  <c r="H112" i="49"/>
  <c r="I112" i="49" s="1"/>
  <c r="H247" i="49"/>
  <c r="I247" i="49" s="1"/>
  <c r="H306" i="49"/>
  <c r="I306" i="49" s="1"/>
  <c r="H44" i="49"/>
  <c r="I44" i="49" s="1"/>
  <c r="H93" i="49"/>
  <c r="I93" i="49" s="1"/>
  <c r="H99" i="49"/>
  <c r="I99" i="49" s="1"/>
  <c r="H267" i="49"/>
  <c r="I267" i="49" s="1"/>
  <c r="H23" i="49"/>
  <c r="I23" i="49" s="1"/>
  <c r="H27" i="49"/>
  <c r="I27" i="49" s="1"/>
  <c r="H155" i="49"/>
  <c r="I155" i="49" s="1"/>
  <c r="H166" i="49"/>
  <c r="I166" i="49" s="1"/>
  <c r="H238" i="49"/>
  <c r="I238" i="49" s="1"/>
  <c r="H97" i="49"/>
  <c r="I97" i="49" s="1"/>
  <c r="H156" i="49"/>
  <c r="I156" i="49" s="1"/>
  <c r="H65" i="49"/>
  <c r="I65" i="49" s="1"/>
  <c r="H116" i="49"/>
  <c r="I116" i="49" s="1"/>
  <c r="H184" i="49"/>
  <c r="I184" i="49" s="1"/>
  <c r="H200" i="49"/>
  <c r="I200" i="49" s="1"/>
  <c r="H216" i="49"/>
  <c r="I216" i="49" s="1"/>
  <c r="H260" i="49"/>
  <c r="I260" i="49" s="1"/>
  <c r="H37" i="49"/>
  <c r="I37" i="49" s="1"/>
  <c r="H94" i="49"/>
  <c r="I94" i="49" s="1"/>
  <c r="H121" i="49"/>
  <c r="I121" i="49" s="1"/>
  <c r="H145" i="49"/>
  <c r="I145" i="49" s="1"/>
  <c r="H162" i="49"/>
  <c r="I162" i="49" s="1"/>
  <c r="H197" i="49"/>
  <c r="I197" i="49" s="1"/>
  <c r="H213" i="49"/>
  <c r="I213" i="49" s="1"/>
  <c r="H234" i="49"/>
  <c r="I234" i="49" s="1"/>
  <c r="H249" i="49"/>
  <c r="I249" i="49" s="1"/>
  <c r="H286" i="49"/>
  <c r="I286" i="49" s="1"/>
  <c r="H300" i="49"/>
  <c r="I300" i="49" s="1"/>
  <c r="H9" i="49"/>
  <c r="I9" i="49" s="1"/>
  <c r="H22" i="49"/>
  <c r="I22" i="49" s="1"/>
  <c r="H57" i="49"/>
  <c r="I57" i="49" s="1"/>
  <c r="H132" i="49"/>
  <c r="I132" i="49" s="1"/>
  <c r="H146" i="49"/>
  <c r="I146" i="49" s="1"/>
  <c r="H178" i="49"/>
  <c r="I178" i="49" s="1"/>
  <c r="H194" i="49"/>
  <c r="I194" i="49" s="1"/>
  <c r="H210" i="49"/>
  <c r="I210" i="49" s="1"/>
  <c r="H254" i="49"/>
  <c r="I254" i="49" s="1"/>
  <c r="H279" i="49"/>
  <c r="I279" i="49" s="1"/>
  <c r="H311" i="49"/>
  <c r="I311" i="49" s="1"/>
  <c r="H69" i="49"/>
  <c r="I69" i="49" s="1"/>
  <c r="H179" i="49"/>
  <c r="I179" i="49" s="1"/>
  <c r="H302" i="49"/>
  <c r="I302" i="49" s="1"/>
  <c r="H228" i="49"/>
  <c r="I228" i="49" s="1"/>
  <c r="H131" i="49"/>
  <c r="I131" i="49" s="1"/>
  <c r="H221" i="49"/>
  <c r="I221" i="49" s="1"/>
  <c r="H96" i="49"/>
  <c r="I96" i="49" s="1"/>
  <c r="H307" i="49"/>
  <c r="I307" i="49" s="1"/>
  <c r="H292" i="49"/>
  <c r="I292" i="49" s="1"/>
  <c r="H124" i="49"/>
  <c r="I124" i="49" s="1"/>
  <c r="H272" i="49"/>
  <c r="I272" i="49" s="1"/>
  <c r="H29" i="49"/>
  <c r="I29" i="49" s="1"/>
  <c r="H45" i="49"/>
  <c r="I45" i="49" s="1"/>
  <c r="H74" i="49"/>
  <c r="I74" i="49" s="1"/>
  <c r="H189" i="49"/>
  <c r="I189" i="49" s="1"/>
  <c r="H24" i="49"/>
  <c r="I24" i="49" s="1"/>
  <c r="H46" i="49"/>
  <c r="I46" i="49" s="1"/>
  <c r="H81" i="49"/>
  <c r="I81" i="49" s="1"/>
  <c r="H167" i="49"/>
  <c r="I167" i="49" s="1"/>
  <c r="H242" i="49"/>
  <c r="I242" i="49" s="1"/>
  <c r="H70" i="49"/>
  <c r="I70" i="49" s="1"/>
  <c r="H120" i="49"/>
  <c r="I120" i="49" s="1"/>
  <c r="H144" i="49"/>
  <c r="I144" i="49" s="1"/>
  <c r="H161" i="49"/>
  <c r="I161" i="49" s="1"/>
  <c r="H188" i="49"/>
  <c r="I188" i="49" s="1"/>
  <c r="H204" i="49"/>
  <c r="I204" i="49" s="1"/>
  <c r="H261" i="49"/>
  <c r="I261" i="49" s="1"/>
  <c r="H277" i="49"/>
  <c r="I277" i="49" s="1"/>
  <c r="H293" i="49"/>
  <c r="I293" i="49" s="1"/>
  <c r="H38" i="49"/>
  <c r="I38" i="49" s="1"/>
  <c r="H61" i="49"/>
  <c r="I61" i="49" s="1"/>
  <c r="H149" i="49"/>
  <c r="I149" i="49" s="1"/>
  <c r="H201" i="49"/>
  <c r="I201" i="49" s="1"/>
  <c r="H217" i="49"/>
  <c r="I217" i="49" s="1"/>
  <c r="H237" i="49"/>
  <c r="I237" i="49" s="1"/>
  <c r="H253" i="49"/>
  <c r="I253" i="49" s="1"/>
  <c r="H270" i="49"/>
  <c r="I270" i="49" s="1"/>
  <c r="H290" i="49"/>
  <c r="I290" i="49" s="1"/>
  <c r="H304" i="49"/>
  <c r="I304" i="49" s="1"/>
  <c r="H58" i="49"/>
  <c r="I58" i="49" s="1"/>
  <c r="H76" i="49"/>
  <c r="I76" i="49" s="1"/>
  <c r="H100" i="49"/>
  <c r="I100" i="49" s="1"/>
  <c r="H118" i="49"/>
  <c r="I118" i="49" s="1"/>
  <c r="H133" i="49"/>
  <c r="I133" i="49" s="1"/>
  <c r="H159" i="49"/>
  <c r="I159" i="49" s="1"/>
  <c r="H182" i="49"/>
  <c r="I182" i="49" s="1"/>
  <c r="H198" i="49"/>
  <c r="I198" i="49" s="1"/>
  <c r="H214" i="49"/>
  <c r="I214" i="49" s="1"/>
  <c r="H241" i="49"/>
  <c r="I241" i="49" s="1"/>
  <c r="H258" i="49"/>
  <c r="I258" i="49" s="1"/>
  <c r="H283" i="49"/>
  <c r="I283" i="49" s="1"/>
  <c r="H301" i="49"/>
  <c r="I301" i="49" s="1"/>
  <c r="H101" i="49"/>
  <c r="I101" i="49" s="1"/>
  <c r="H147" i="49"/>
  <c r="I147" i="49" s="1"/>
  <c r="H187" i="49"/>
  <c r="I187" i="49" s="1"/>
  <c r="H268" i="49"/>
  <c r="I268" i="49" s="1"/>
  <c r="H310" i="49"/>
  <c r="I310" i="49" s="1"/>
  <c r="H40" i="49"/>
  <c r="I40" i="49" s="1"/>
  <c r="H313" i="49"/>
  <c r="I313" i="49" s="1"/>
  <c r="H278" i="49"/>
  <c r="I278" i="49" s="1"/>
  <c r="H168" i="49"/>
  <c r="I168" i="49" s="1"/>
  <c r="H263" i="49"/>
  <c r="I263" i="49" s="1"/>
  <c r="H141" i="49"/>
  <c r="I141" i="49" s="1"/>
  <c r="H312" i="49"/>
  <c r="I312" i="49" s="1"/>
  <c r="H42" i="49"/>
  <c r="I42" i="49" s="1"/>
  <c r="H169" i="49"/>
  <c r="I169" i="49" s="1"/>
  <c r="H10" i="49"/>
  <c r="I10" i="49" s="1"/>
  <c r="H49" i="49"/>
  <c r="I49" i="49" s="1"/>
  <c r="H78" i="49"/>
  <c r="I78" i="49" s="1"/>
  <c r="H108" i="49"/>
  <c r="I108" i="49" s="1"/>
  <c r="T7" i="19"/>
  <c r="H6" i="49" s="1"/>
  <c r="I6" i="49" s="1"/>
  <c r="H20" i="49"/>
  <c r="I20" i="49" s="1"/>
  <c r="H25" i="49"/>
  <c r="I25" i="49" s="1"/>
  <c r="H255" i="49"/>
  <c r="I255" i="49" s="1"/>
  <c r="C5" i="32"/>
  <c r="C314" i="32" s="1"/>
  <c r="Y316" i="19"/>
  <c r="F16" i="49"/>
  <c r="F60" i="49"/>
  <c r="F11" i="49"/>
  <c r="F191" i="49"/>
  <c r="F288" i="49"/>
  <c r="F235" i="49"/>
  <c r="F15" i="49"/>
  <c r="F196" i="49"/>
  <c r="F31" i="49"/>
  <c r="F13" i="49"/>
  <c r="F130" i="49"/>
  <c r="F91" i="49"/>
  <c r="F127" i="49"/>
  <c r="F183" i="49"/>
  <c r="F259" i="49"/>
  <c r="F48" i="49"/>
  <c r="F248" i="49"/>
  <c r="F14" i="49"/>
  <c r="F75" i="49"/>
  <c r="F85" i="49"/>
  <c r="F95" i="49"/>
  <c r="F125" i="49"/>
  <c r="F176" i="49"/>
  <c r="F72" i="49"/>
  <c r="F90" i="49"/>
  <c r="F114" i="49"/>
  <c r="F226" i="49"/>
  <c r="F296" i="49"/>
  <c r="F106" i="49"/>
  <c r="F19" i="49"/>
  <c r="F195" i="49"/>
  <c r="F51" i="49"/>
  <c r="F79" i="49"/>
  <c r="F240" i="49"/>
  <c r="F28" i="49"/>
  <c r="F230" i="49"/>
  <c r="F59" i="49"/>
  <c r="F164" i="49"/>
  <c r="F35" i="49"/>
  <c r="F77" i="49"/>
  <c r="F119" i="49"/>
  <c r="F276" i="49"/>
  <c r="F299" i="49"/>
  <c r="F52" i="49"/>
  <c r="F83" i="49"/>
  <c r="F80" i="49"/>
  <c r="F163" i="49"/>
  <c r="F231" i="49"/>
  <c r="F172" i="49"/>
  <c r="F165" i="49"/>
  <c r="F123" i="49"/>
  <c r="F223" i="49"/>
  <c r="F280" i="49"/>
  <c r="F32" i="49"/>
  <c r="F139" i="49"/>
  <c r="F157" i="49"/>
  <c r="F239" i="49"/>
  <c r="F289" i="49"/>
  <c r="F56" i="49"/>
  <c r="F84" i="49"/>
  <c r="F175" i="49"/>
  <c r="F266" i="49"/>
  <c r="F67" i="49"/>
  <c r="F68" i="49"/>
  <c r="F126" i="49"/>
  <c r="F206" i="49"/>
  <c r="F47" i="49"/>
  <c r="F143" i="49"/>
  <c r="F207" i="49"/>
  <c r="F39" i="49"/>
  <c r="F107" i="49"/>
  <c r="F150" i="49"/>
  <c r="O316" i="19"/>
  <c r="K8" i="36"/>
  <c r="I317" i="36"/>
  <c r="E317" i="36"/>
  <c r="J317" i="36"/>
  <c r="H317" i="36"/>
  <c r="F317" i="36"/>
  <c r="D317" i="36"/>
  <c r="G316" i="19"/>
  <c r="G317" i="36"/>
  <c r="H314" i="32" l="1"/>
  <c r="C5" i="9" s="1"/>
  <c r="K317" i="36"/>
  <c r="E5" i="32"/>
  <c r="E314" i="32" s="1"/>
  <c r="I315" i="49"/>
  <c r="J6" i="49" s="1"/>
  <c r="L6" i="49" s="1"/>
  <c r="E14" i="48"/>
  <c r="F15" i="48" s="1"/>
  <c r="H5" i="32"/>
  <c r="D11" i="9" s="1"/>
  <c r="D320" i="9" s="1"/>
  <c r="U7" i="19"/>
  <c r="G6" i="49" s="1"/>
  <c r="F6" i="49"/>
  <c r="F16" i="34"/>
  <c r="F28" i="48"/>
  <c r="F115" i="49"/>
  <c r="J233" i="13"/>
  <c r="F233" i="49"/>
  <c r="F251" i="49"/>
  <c r="F199" i="49"/>
  <c r="F129" i="49"/>
  <c r="F305" i="49"/>
  <c r="J218" i="13"/>
  <c r="F218" i="49"/>
  <c r="F122" i="49"/>
  <c r="F274" i="49"/>
  <c r="F154" i="49"/>
  <c r="F62" i="49"/>
  <c r="F297" i="49"/>
  <c r="F208" i="49"/>
  <c r="F128" i="49"/>
  <c r="F284" i="49"/>
  <c r="F12" i="49"/>
  <c r="F135" i="49"/>
  <c r="F63" i="49"/>
  <c r="F78" i="49"/>
  <c r="F168" i="49"/>
  <c r="F268" i="49"/>
  <c r="F301" i="49"/>
  <c r="F258" i="49"/>
  <c r="F182" i="49"/>
  <c r="F100" i="49"/>
  <c r="F58" i="49"/>
  <c r="F253" i="49"/>
  <c r="F261" i="49"/>
  <c r="F144" i="49"/>
  <c r="F70" i="49"/>
  <c r="F46" i="49"/>
  <c r="F74" i="49"/>
  <c r="F124" i="49"/>
  <c r="F96" i="49"/>
  <c r="F302" i="49"/>
  <c r="F279" i="49"/>
  <c r="J194" i="13"/>
  <c r="F194" i="49"/>
  <c r="F57" i="49"/>
  <c r="F286" i="49"/>
  <c r="J197" i="13"/>
  <c r="F197" i="49"/>
  <c r="F200" i="49"/>
  <c r="F97" i="49"/>
  <c r="J27" i="13"/>
  <c r="F27" i="49"/>
  <c r="F93" i="49"/>
  <c r="F112" i="49"/>
  <c r="F18" i="49"/>
  <c r="J34" i="13"/>
  <c r="F34" i="49"/>
  <c r="F138" i="49"/>
  <c r="F275" i="49"/>
  <c r="F142" i="49"/>
  <c r="J298" i="13"/>
  <c r="F298" i="49"/>
  <c r="F229" i="49"/>
  <c r="F158" i="49"/>
  <c r="F66" i="49"/>
  <c r="F224" i="49"/>
  <c r="J215" i="13"/>
  <c r="F215" i="49"/>
  <c r="J26" i="13"/>
  <c r="F26" i="49"/>
  <c r="F265" i="49"/>
  <c r="F88" i="49"/>
  <c r="F295" i="49"/>
  <c r="J7" i="13"/>
  <c r="F7" i="49"/>
  <c r="F33" i="49"/>
  <c r="F104" i="49"/>
  <c r="F287" i="49"/>
  <c r="J246" i="13"/>
  <c r="F246" i="49"/>
  <c r="F202" i="49"/>
  <c r="F137" i="49"/>
  <c r="F294" i="49"/>
  <c r="F257" i="49"/>
  <c r="F205" i="49"/>
  <c r="F171" i="49"/>
  <c r="F136" i="49"/>
  <c r="F30" i="49"/>
  <c r="F281" i="49"/>
  <c r="F192" i="49"/>
  <c r="F148" i="49"/>
  <c r="F98" i="49"/>
  <c r="F227" i="49"/>
  <c r="J54" i="13"/>
  <c r="F54" i="49"/>
  <c r="F8" i="49"/>
  <c r="F50" i="49"/>
  <c r="F243" i="49"/>
  <c r="F177" i="49"/>
  <c r="F151" i="49"/>
  <c r="J271" i="13"/>
  <c r="F271" i="49"/>
  <c r="F186" i="49"/>
  <c r="F308" i="49"/>
  <c r="F225" i="49"/>
  <c r="F185" i="49"/>
  <c r="F109" i="49"/>
  <c r="F252" i="49"/>
  <c r="J111" i="13"/>
  <c r="F111" i="49"/>
  <c r="F87" i="49"/>
  <c r="J303" i="13"/>
  <c r="F303" i="49"/>
  <c r="F220" i="49"/>
  <c r="F25" i="49"/>
  <c r="J10" i="13"/>
  <c r="F10" i="49"/>
  <c r="J141" i="13"/>
  <c r="F141" i="49"/>
  <c r="F40" i="49"/>
  <c r="F147" i="49"/>
  <c r="F214" i="49"/>
  <c r="F133" i="49"/>
  <c r="F290" i="49"/>
  <c r="J217" i="13"/>
  <c r="F217" i="49"/>
  <c r="F61" i="49"/>
  <c r="F293" i="49"/>
  <c r="F188" i="49"/>
  <c r="J167" i="13"/>
  <c r="F167" i="49"/>
  <c r="J24" i="13"/>
  <c r="F24" i="49"/>
  <c r="F307" i="49"/>
  <c r="J131" i="13"/>
  <c r="F131" i="49"/>
  <c r="F146" i="49"/>
  <c r="F9" i="49"/>
  <c r="F234" i="49"/>
  <c r="F145" i="49"/>
  <c r="F260" i="49"/>
  <c r="J116" i="13"/>
  <c r="F116" i="49"/>
  <c r="F166" i="49"/>
  <c r="F267" i="49"/>
  <c r="F306" i="49"/>
  <c r="J236" i="13"/>
  <c r="F236" i="49"/>
  <c r="F117" i="49"/>
  <c r="F203" i="49"/>
  <c r="F309" i="49"/>
  <c r="F190" i="49"/>
  <c r="J262" i="13"/>
  <c r="F262" i="49"/>
  <c r="F193" i="49"/>
  <c r="F113" i="49"/>
  <c r="F269" i="49"/>
  <c r="F180" i="49"/>
  <c r="F264" i="49"/>
  <c r="F92" i="49"/>
  <c r="F71" i="49"/>
  <c r="F103" i="49"/>
  <c r="J255" i="13"/>
  <c r="F255" i="49"/>
  <c r="F20" i="49"/>
  <c r="F49" i="49"/>
  <c r="F169" i="49"/>
  <c r="F312" i="49"/>
  <c r="F263" i="49"/>
  <c r="F278" i="49"/>
  <c r="F313" i="49"/>
  <c r="F310" i="49"/>
  <c r="F187" i="49"/>
  <c r="F283" i="49"/>
  <c r="F241" i="49"/>
  <c r="F198" i="49"/>
  <c r="F159" i="49"/>
  <c r="F118" i="49"/>
  <c r="F304" i="49"/>
  <c r="F270" i="49"/>
  <c r="F237" i="49"/>
  <c r="F201" i="49"/>
  <c r="F149" i="49"/>
  <c r="F38" i="49"/>
  <c r="J277" i="13"/>
  <c r="F277" i="49"/>
  <c r="F204" i="49"/>
  <c r="F161" i="49"/>
  <c r="J120" i="13"/>
  <c r="F120" i="49"/>
  <c r="F242" i="49"/>
  <c r="F81" i="49"/>
  <c r="F189" i="49"/>
  <c r="J272" i="13"/>
  <c r="F272" i="49"/>
  <c r="F292" i="49"/>
  <c r="F221" i="49"/>
  <c r="F228" i="49"/>
  <c r="F179" i="49"/>
  <c r="F311" i="49"/>
  <c r="F254" i="49"/>
  <c r="J210" i="13"/>
  <c r="F210" i="49"/>
  <c r="F178" i="49"/>
  <c r="F132" i="49"/>
  <c r="F22" i="49"/>
  <c r="J300" i="13"/>
  <c r="F300" i="49"/>
  <c r="F249" i="49"/>
  <c r="F213" i="49"/>
  <c r="F162" i="49"/>
  <c r="J121" i="13"/>
  <c r="F121" i="49"/>
  <c r="F37" i="49"/>
  <c r="F216" i="49"/>
  <c r="F184" i="49"/>
  <c r="F65" i="49"/>
  <c r="F156" i="49"/>
  <c r="F238" i="49"/>
  <c r="F155" i="49"/>
  <c r="F99" i="49"/>
  <c r="F247" i="49"/>
  <c r="F211" i="49"/>
  <c r="J173" i="13"/>
  <c r="F173" i="49"/>
  <c r="F181" i="49"/>
  <c r="F153" i="49"/>
  <c r="F160" i="49"/>
  <c r="F64" i="49"/>
  <c r="F291" i="49"/>
  <c r="F250" i="49"/>
  <c r="F222" i="49"/>
  <c r="J110" i="13"/>
  <c r="F110" i="49"/>
  <c r="F17" i="49"/>
  <c r="F282" i="49"/>
  <c r="F245" i="49"/>
  <c r="F209" i="49"/>
  <c r="F174" i="49"/>
  <c r="F140" i="49"/>
  <c r="J285" i="13"/>
  <c r="F285" i="49"/>
  <c r="F256" i="49"/>
  <c r="F212" i="49"/>
  <c r="F152" i="49"/>
  <c r="F314" i="49"/>
  <c r="F232" i="49"/>
  <c r="F134" i="49"/>
  <c r="F73" i="49"/>
  <c r="F108" i="49"/>
  <c r="F105" i="49"/>
  <c r="F102" i="49"/>
  <c r="F101" i="49"/>
  <c r="F94" i="49"/>
  <c r="F89" i="49"/>
  <c r="F86" i="49"/>
  <c r="F82" i="49"/>
  <c r="F76" i="49"/>
  <c r="F69" i="49"/>
  <c r="F55" i="49"/>
  <c r="J53" i="13"/>
  <c r="F53" i="49"/>
  <c r="J45" i="13"/>
  <c r="F45" i="49"/>
  <c r="F44" i="49"/>
  <c r="F43" i="49"/>
  <c r="F42" i="49"/>
  <c r="F41" i="49"/>
  <c r="F36" i="49"/>
  <c r="F29" i="49"/>
  <c r="H315" i="49"/>
  <c r="F23" i="49"/>
  <c r="F21" i="49"/>
  <c r="T316" i="19"/>
  <c r="G206" i="49"/>
  <c r="G32" i="49"/>
  <c r="G172" i="49"/>
  <c r="G35" i="49"/>
  <c r="G59" i="49"/>
  <c r="G72" i="49"/>
  <c r="G85" i="49"/>
  <c r="G127" i="49"/>
  <c r="G207" i="49"/>
  <c r="G126" i="49"/>
  <c r="G56" i="49"/>
  <c r="G280" i="49"/>
  <c r="G231" i="49"/>
  <c r="G276" i="49"/>
  <c r="G230" i="49"/>
  <c r="G195" i="49"/>
  <c r="G176" i="49"/>
  <c r="G48" i="49"/>
  <c r="G235" i="49"/>
  <c r="G11" i="49"/>
  <c r="G143" i="49"/>
  <c r="G175" i="49"/>
  <c r="G157" i="49"/>
  <c r="G223" i="49"/>
  <c r="G165" i="49"/>
  <c r="G163" i="49"/>
  <c r="G52" i="49"/>
  <c r="G119" i="49"/>
  <c r="G164" i="49"/>
  <c r="G28" i="49"/>
  <c r="G51" i="49"/>
  <c r="G19" i="49"/>
  <c r="G114" i="49"/>
  <c r="G125" i="49"/>
  <c r="G14" i="49"/>
  <c r="G259" i="49"/>
  <c r="G31" i="49"/>
  <c r="G39" i="49"/>
  <c r="G67" i="49"/>
  <c r="G296" i="49"/>
  <c r="G15" i="49"/>
  <c r="G191" i="49"/>
  <c r="G150" i="49"/>
  <c r="G266" i="49"/>
  <c r="G239" i="49"/>
  <c r="G83" i="49"/>
  <c r="G79" i="49"/>
  <c r="G226" i="49"/>
  <c r="G75" i="49"/>
  <c r="G91" i="49"/>
  <c r="G13" i="49"/>
  <c r="G16" i="49"/>
  <c r="G107" i="49"/>
  <c r="G47" i="49"/>
  <c r="G68" i="49"/>
  <c r="G84" i="49"/>
  <c r="G289" i="49"/>
  <c r="G139" i="49"/>
  <c r="G123" i="49"/>
  <c r="G80" i="49"/>
  <c r="G299" i="49"/>
  <c r="G77" i="49"/>
  <c r="G240" i="49"/>
  <c r="G106" i="49"/>
  <c r="G90" i="49"/>
  <c r="G95" i="49"/>
  <c r="G248" i="49"/>
  <c r="G183" i="49"/>
  <c r="G130" i="49"/>
  <c r="G196" i="49"/>
  <c r="G288" i="49"/>
  <c r="G60" i="49"/>
  <c r="D315" i="25"/>
  <c r="D314" i="33"/>
  <c r="J170" i="49" l="1"/>
  <c r="K170" i="49" s="1"/>
  <c r="L170" i="49" s="1"/>
  <c r="J244" i="49"/>
  <c r="J219" i="49"/>
  <c r="F325" i="34"/>
  <c r="J128" i="13"/>
  <c r="J46" i="13"/>
  <c r="J199" i="13"/>
  <c r="J112" i="13"/>
  <c r="J124" i="13"/>
  <c r="J158" i="13"/>
  <c r="J275" i="13"/>
  <c r="J9" i="13"/>
  <c r="J65" i="13"/>
  <c r="J228" i="13"/>
  <c r="J208" i="13"/>
  <c r="J50" i="13"/>
  <c r="J145" i="13"/>
  <c r="J8" i="49"/>
  <c r="K8" i="49" s="1"/>
  <c r="J297" i="13"/>
  <c r="C5" i="39"/>
  <c r="G36" i="49"/>
  <c r="J36" i="13"/>
  <c r="G42" i="49"/>
  <c r="J42" i="13"/>
  <c r="G44" i="49"/>
  <c r="G53" i="49"/>
  <c r="G82" i="49"/>
  <c r="G89" i="49"/>
  <c r="J89" i="13"/>
  <c r="G101" i="49"/>
  <c r="G105" i="49"/>
  <c r="G73" i="49"/>
  <c r="J73" i="13"/>
  <c r="G232" i="49"/>
  <c r="G152" i="49"/>
  <c r="G256" i="49"/>
  <c r="G140" i="49"/>
  <c r="J140" i="13"/>
  <c r="G209" i="49"/>
  <c r="J209" i="13"/>
  <c r="G282" i="49"/>
  <c r="G110" i="49"/>
  <c r="G222" i="49"/>
  <c r="G291" i="49"/>
  <c r="J291" i="13"/>
  <c r="G160" i="49"/>
  <c r="J160" i="13"/>
  <c r="G153" i="49"/>
  <c r="J153" i="13"/>
  <c r="G173" i="49"/>
  <c r="G247" i="49"/>
  <c r="J247" i="13"/>
  <c r="G155" i="49"/>
  <c r="J155" i="13"/>
  <c r="G156" i="49"/>
  <c r="G184" i="49"/>
  <c r="J184" i="13"/>
  <c r="G37" i="49"/>
  <c r="G162" i="49"/>
  <c r="G249" i="49"/>
  <c r="G22" i="49"/>
  <c r="G178" i="49"/>
  <c r="G254" i="49"/>
  <c r="G179" i="49"/>
  <c r="G221" i="49"/>
  <c r="J221" i="13"/>
  <c r="G292" i="49"/>
  <c r="G189" i="49"/>
  <c r="G81" i="49"/>
  <c r="G120" i="49"/>
  <c r="G204" i="49"/>
  <c r="G38" i="49"/>
  <c r="G201" i="49"/>
  <c r="G270" i="49"/>
  <c r="G118" i="49"/>
  <c r="G198" i="49"/>
  <c r="J198" i="13"/>
  <c r="G283" i="49"/>
  <c r="G310" i="49"/>
  <c r="G278" i="49"/>
  <c r="J278" i="13"/>
  <c r="G312" i="49"/>
  <c r="J312" i="13"/>
  <c r="G49" i="49"/>
  <c r="J49" i="13"/>
  <c r="G255" i="49"/>
  <c r="G92" i="49"/>
  <c r="J92" i="13"/>
  <c r="G180" i="49"/>
  <c r="J180" i="13"/>
  <c r="G113" i="49"/>
  <c r="J113" i="13"/>
  <c r="G262" i="49"/>
  <c r="G203" i="49"/>
  <c r="J203" i="13"/>
  <c r="G236" i="49"/>
  <c r="G267" i="49"/>
  <c r="J267" i="13"/>
  <c r="G260" i="49"/>
  <c r="J260" i="13"/>
  <c r="G234" i="49"/>
  <c r="G146" i="49"/>
  <c r="J146" i="13"/>
  <c r="G131" i="49"/>
  <c r="G24" i="49"/>
  <c r="G188" i="49"/>
  <c r="J188" i="13"/>
  <c r="G61" i="49"/>
  <c r="J61" i="13"/>
  <c r="G290" i="49"/>
  <c r="J290" i="13"/>
  <c r="G214" i="49"/>
  <c r="J214" i="13"/>
  <c r="G40" i="49"/>
  <c r="G141" i="49"/>
  <c r="G25" i="49"/>
  <c r="J25" i="13"/>
  <c r="G303" i="49"/>
  <c r="G111" i="49"/>
  <c r="G252" i="49"/>
  <c r="J252" i="13"/>
  <c r="G185" i="49"/>
  <c r="J185" i="13"/>
  <c r="G308" i="49"/>
  <c r="J308" i="13"/>
  <c r="G271" i="49"/>
  <c r="G177" i="49"/>
  <c r="J177" i="13"/>
  <c r="G50" i="49"/>
  <c r="G54" i="49"/>
  <c r="G98" i="49"/>
  <c r="J98" i="13"/>
  <c r="G192" i="49"/>
  <c r="J192" i="13"/>
  <c r="G281" i="49"/>
  <c r="J281" i="13"/>
  <c r="G136" i="49"/>
  <c r="J136" i="13"/>
  <c r="G205" i="49"/>
  <c r="J205" i="13"/>
  <c r="G294" i="49"/>
  <c r="J294" i="13"/>
  <c r="G202" i="49"/>
  <c r="J202" i="13"/>
  <c r="G287" i="49"/>
  <c r="J287" i="13"/>
  <c r="G33" i="49"/>
  <c r="J33" i="13"/>
  <c r="G295" i="49"/>
  <c r="J295" i="13"/>
  <c r="G265" i="49"/>
  <c r="J265" i="13"/>
  <c r="G215" i="49"/>
  <c r="G66" i="49"/>
  <c r="J66" i="13"/>
  <c r="G229" i="49"/>
  <c r="J229" i="13"/>
  <c r="G142" i="49"/>
  <c r="J142" i="13"/>
  <c r="G138" i="49"/>
  <c r="J138" i="13"/>
  <c r="G18" i="49"/>
  <c r="J18" i="13"/>
  <c r="G93" i="49"/>
  <c r="J93" i="13"/>
  <c r="G97" i="49"/>
  <c r="J97" i="13"/>
  <c r="G197" i="49"/>
  <c r="G57" i="49"/>
  <c r="J57" i="13"/>
  <c r="G279" i="49"/>
  <c r="J279" i="13"/>
  <c r="G96" i="49"/>
  <c r="G74" i="49"/>
  <c r="J74" i="13"/>
  <c r="G70" i="49"/>
  <c r="G261" i="49"/>
  <c r="J261" i="13"/>
  <c r="G253" i="49"/>
  <c r="J253" i="13"/>
  <c r="G100" i="49"/>
  <c r="J100" i="13"/>
  <c r="G258" i="49"/>
  <c r="J258" i="13"/>
  <c r="G268" i="49"/>
  <c r="J268" i="13"/>
  <c r="G78" i="49"/>
  <c r="J78" i="13"/>
  <c r="G135" i="49"/>
  <c r="J135" i="13"/>
  <c r="G284" i="49"/>
  <c r="J284" i="13"/>
  <c r="G208" i="49"/>
  <c r="G62" i="49"/>
  <c r="G274" i="49"/>
  <c r="G218" i="49"/>
  <c r="G129" i="49"/>
  <c r="J129" i="13"/>
  <c r="G251" i="49"/>
  <c r="J251" i="13"/>
  <c r="G115" i="49"/>
  <c r="J115" i="13"/>
  <c r="J62" i="13"/>
  <c r="J274" i="13"/>
  <c r="J105" i="13"/>
  <c r="J234" i="13"/>
  <c r="J40" i="13"/>
  <c r="J152" i="13"/>
  <c r="J118" i="13"/>
  <c r="G69" i="49"/>
  <c r="J69" i="13"/>
  <c r="J96" i="13"/>
  <c r="J70" i="13"/>
  <c r="J282" i="13"/>
  <c r="J310" i="13"/>
  <c r="G21" i="49"/>
  <c r="J159" i="13"/>
  <c r="C5" i="12"/>
  <c r="F5" i="32"/>
  <c r="J6" i="13"/>
  <c r="J305" i="13"/>
  <c r="J302" i="13"/>
  <c r="C5" i="33"/>
  <c r="J7" i="49"/>
  <c r="L7" i="49" s="1"/>
  <c r="J9" i="49"/>
  <c r="J13" i="49"/>
  <c r="J17" i="49"/>
  <c r="J21" i="49"/>
  <c r="J25" i="49"/>
  <c r="J29" i="49"/>
  <c r="J33" i="49"/>
  <c r="J37" i="49"/>
  <c r="J41" i="49"/>
  <c r="J45" i="49"/>
  <c r="J49" i="49"/>
  <c r="J53" i="49"/>
  <c r="J57" i="49"/>
  <c r="J61" i="49"/>
  <c r="J65" i="49"/>
  <c r="J69" i="49"/>
  <c r="J12" i="49"/>
  <c r="J18" i="49"/>
  <c r="J23" i="49"/>
  <c r="J28" i="49"/>
  <c r="J34" i="49"/>
  <c r="J39" i="49"/>
  <c r="J44" i="49"/>
  <c r="J50" i="49"/>
  <c r="J55" i="49"/>
  <c r="J60" i="49"/>
  <c r="J66" i="49"/>
  <c r="J71" i="49"/>
  <c r="J75" i="49"/>
  <c r="J79" i="49"/>
  <c r="J83" i="49"/>
  <c r="J87" i="49"/>
  <c r="J91" i="49"/>
  <c r="J95" i="49"/>
  <c r="J99" i="49"/>
  <c r="J103" i="49"/>
  <c r="J107" i="49"/>
  <c r="J111" i="49"/>
  <c r="J115" i="49"/>
  <c r="J119" i="49"/>
  <c r="L119" i="49" s="1"/>
  <c r="J123" i="49"/>
  <c r="J127" i="49"/>
  <c r="L127" i="49" s="1"/>
  <c r="J131" i="49"/>
  <c r="L131" i="49" s="1"/>
  <c r="J135" i="49"/>
  <c r="L135" i="49" s="1"/>
  <c r="J139" i="49"/>
  <c r="J143" i="49"/>
  <c r="J147" i="49"/>
  <c r="J151" i="49"/>
  <c r="L151" i="49" s="1"/>
  <c r="J155" i="49"/>
  <c r="L155" i="49" s="1"/>
  <c r="J159" i="49"/>
  <c r="J163" i="49"/>
  <c r="J171" i="49"/>
  <c r="J178" i="49"/>
  <c r="J182" i="49"/>
  <c r="J186" i="49"/>
  <c r="J190" i="49"/>
  <c r="J194" i="49"/>
  <c r="J198" i="49"/>
  <c r="J202" i="49"/>
  <c r="L202" i="49" s="1"/>
  <c r="J206" i="49"/>
  <c r="J210" i="49"/>
  <c r="J214" i="49"/>
  <c r="J218" i="49"/>
  <c r="J221" i="49"/>
  <c r="J225" i="49"/>
  <c r="J229" i="49"/>
  <c r="J11" i="49"/>
  <c r="J19" i="49"/>
  <c r="J26" i="49"/>
  <c r="J32" i="49"/>
  <c r="J40" i="49"/>
  <c r="J47" i="49"/>
  <c r="J54" i="49"/>
  <c r="J62" i="49"/>
  <c r="J68" i="49"/>
  <c r="J74" i="49"/>
  <c r="J80" i="49"/>
  <c r="J85" i="49"/>
  <c r="J90" i="49"/>
  <c r="J96" i="49"/>
  <c r="J101" i="49"/>
  <c r="J106" i="49"/>
  <c r="J112" i="49"/>
  <c r="L112" i="49" s="1"/>
  <c r="J117" i="49"/>
  <c r="L117" i="49" s="1"/>
  <c r="J122" i="49"/>
  <c r="L122" i="49" s="1"/>
  <c r="J128" i="49"/>
  <c r="L128" i="49" s="1"/>
  <c r="J133" i="49"/>
  <c r="J138" i="49"/>
  <c r="J144" i="49"/>
  <c r="L144" i="49" s="1"/>
  <c r="J149" i="49"/>
  <c r="L149" i="49" s="1"/>
  <c r="J154" i="49"/>
  <c r="L154" i="49" s="1"/>
  <c r="J160" i="49"/>
  <c r="J164" i="49"/>
  <c r="J167" i="49"/>
  <c r="J172" i="49"/>
  <c r="J176" i="49"/>
  <c r="J181" i="49"/>
  <c r="J187" i="49"/>
  <c r="J192" i="49"/>
  <c r="J197" i="49"/>
  <c r="J203" i="49"/>
  <c r="L203" i="49" s="1"/>
  <c r="J208" i="49"/>
  <c r="J213" i="49"/>
  <c r="J223" i="49"/>
  <c r="J228" i="49"/>
  <c r="J233" i="49"/>
  <c r="J236" i="49"/>
  <c r="J238" i="49"/>
  <c r="J242" i="49"/>
  <c r="J247" i="49"/>
  <c r="J251" i="49"/>
  <c r="J255" i="49"/>
  <c r="J259" i="49"/>
  <c r="J263" i="49"/>
  <c r="J267" i="49"/>
  <c r="J271" i="49"/>
  <c r="J275" i="49"/>
  <c r="L275" i="49" s="1"/>
  <c r="J279" i="49"/>
  <c r="L279" i="49" s="1"/>
  <c r="J283" i="49"/>
  <c r="L283" i="49" s="1"/>
  <c r="J287" i="49"/>
  <c r="J291" i="49"/>
  <c r="J295" i="49"/>
  <c r="J298" i="49"/>
  <c r="J302" i="49"/>
  <c r="J306" i="49"/>
  <c r="J310" i="49"/>
  <c r="J314" i="49"/>
  <c r="J10" i="49"/>
  <c r="J20" i="49"/>
  <c r="J30" i="49"/>
  <c r="J38" i="49"/>
  <c r="J48" i="49"/>
  <c r="J58" i="49"/>
  <c r="J67" i="49"/>
  <c r="J76" i="49"/>
  <c r="J82" i="49"/>
  <c r="J89" i="49"/>
  <c r="J97" i="49"/>
  <c r="J104" i="49"/>
  <c r="J110" i="49"/>
  <c r="J118" i="49"/>
  <c r="J125" i="49"/>
  <c r="J132" i="49"/>
  <c r="J140" i="49"/>
  <c r="J146" i="49"/>
  <c r="J153" i="49"/>
  <c r="J161" i="49"/>
  <c r="J177" i="49"/>
  <c r="J184" i="49"/>
  <c r="J191" i="49"/>
  <c r="L191" i="49" s="1"/>
  <c r="J199" i="49"/>
  <c r="J205" i="49"/>
  <c r="J212" i="49"/>
  <c r="J220" i="49"/>
  <c r="J226" i="49"/>
  <c r="J232" i="49"/>
  <c r="J240" i="49"/>
  <c r="J246" i="49"/>
  <c r="J252" i="49"/>
  <c r="J257" i="49"/>
  <c r="J262" i="49"/>
  <c r="J268" i="49"/>
  <c r="J273" i="49"/>
  <c r="J278" i="49"/>
  <c r="L278" i="49" s="1"/>
  <c r="J284" i="49"/>
  <c r="L284" i="49" s="1"/>
  <c r="J289" i="49"/>
  <c r="J294" i="49"/>
  <c r="J299" i="49"/>
  <c r="J304" i="49"/>
  <c r="J309" i="49"/>
  <c r="J14" i="49"/>
  <c r="L14" i="49" s="1"/>
  <c r="J22" i="49"/>
  <c r="J31" i="49"/>
  <c r="J42" i="49"/>
  <c r="J51" i="49"/>
  <c r="J59" i="49"/>
  <c r="J70" i="49"/>
  <c r="J77" i="49"/>
  <c r="J84" i="49"/>
  <c r="J92" i="49"/>
  <c r="J98" i="49"/>
  <c r="J105" i="49"/>
  <c r="J113" i="49"/>
  <c r="J120" i="49"/>
  <c r="L120" i="49" s="1"/>
  <c r="J126" i="49"/>
  <c r="L126" i="49" s="1"/>
  <c r="J134" i="49"/>
  <c r="L134" i="49" s="1"/>
  <c r="J141" i="49"/>
  <c r="J148" i="49"/>
  <c r="J156" i="49"/>
  <c r="L156" i="49" s="1"/>
  <c r="J162" i="49"/>
  <c r="J166" i="49"/>
  <c r="J173" i="49"/>
  <c r="J179" i="49"/>
  <c r="J185" i="49"/>
  <c r="J193" i="49"/>
  <c r="J200" i="49"/>
  <c r="J207" i="49"/>
  <c r="J215" i="49"/>
  <c r="J227" i="49"/>
  <c r="J234" i="49"/>
  <c r="J237" i="49"/>
  <c r="J241" i="49"/>
  <c r="J248" i="49"/>
  <c r="J253" i="49"/>
  <c r="J258" i="49"/>
  <c r="J264" i="49"/>
  <c r="J269" i="49"/>
  <c r="J274" i="49"/>
  <c r="J280" i="49"/>
  <c r="L280" i="49" s="1"/>
  <c r="J285" i="49"/>
  <c r="J290" i="49"/>
  <c r="J296" i="49"/>
  <c r="L296" i="49" s="1"/>
  <c r="J300" i="49"/>
  <c r="J305" i="49"/>
  <c r="L305" i="49" s="1"/>
  <c r="J311" i="49"/>
  <c r="J15" i="49"/>
  <c r="J24" i="49"/>
  <c r="J35" i="49"/>
  <c r="J43" i="49"/>
  <c r="J52" i="49"/>
  <c r="J63" i="49"/>
  <c r="J72" i="49"/>
  <c r="J78" i="49"/>
  <c r="J86" i="49"/>
  <c r="J93" i="49"/>
  <c r="J100" i="49"/>
  <c r="J108" i="49"/>
  <c r="J114" i="49"/>
  <c r="L114" i="49" s="1"/>
  <c r="J121" i="49"/>
  <c r="L121" i="49" s="1"/>
  <c r="J129" i="49"/>
  <c r="L129" i="49" s="1"/>
  <c r="J136" i="49"/>
  <c r="J142" i="49"/>
  <c r="J150" i="49"/>
  <c r="L150" i="49" s="1"/>
  <c r="J157" i="49"/>
  <c r="J168" i="49"/>
  <c r="J174" i="49"/>
  <c r="J180" i="49"/>
  <c r="J188" i="49"/>
  <c r="J195" i="49"/>
  <c r="J201" i="49"/>
  <c r="J209" i="49"/>
  <c r="J216" i="49"/>
  <c r="J222" i="49"/>
  <c r="J230" i="49"/>
  <c r="J243" i="49"/>
  <c r="J249" i="49"/>
  <c r="J254" i="49"/>
  <c r="J260" i="49"/>
  <c r="J265" i="49"/>
  <c r="J270" i="49"/>
  <c r="J276" i="49"/>
  <c r="L276" i="49" s="1"/>
  <c r="J281" i="49"/>
  <c r="L281" i="49" s="1"/>
  <c r="J286" i="49"/>
  <c r="J292" i="49"/>
  <c r="J301" i="49"/>
  <c r="J307" i="49"/>
  <c r="J312" i="49"/>
  <c r="J46" i="49"/>
  <c r="J81" i="49"/>
  <c r="J109" i="49"/>
  <c r="J137" i="49"/>
  <c r="L137" i="49" s="1"/>
  <c r="J165" i="49"/>
  <c r="J189" i="49"/>
  <c r="J217" i="49"/>
  <c r="J239" i="49"/>
  <c r="J261" i="49"/>
  <c r="J282" i="49"/>
  <c r="L282" i="49" s="1"/>
  <c r="J303" i="49"/>
  <c r="J64" i="49"/>
  <c r="J175" i="49"/>
  <c r="J250" i="49"/>
  <c r="J293" i="49"/>
  <c r="J36" i="49"/>
  <c r="J73" i="49"/>
  <c r="J102" i="49"/>
  <c r="J130" i="49"/>
  <c r="L130" i="49" s="1"/>
  <c r="J158" i="49"/>
  <c r="L158" i="49" s="1"/>
  <c r="J183" i="49"/>
  <c r="J211" i="49"/>
  <c r="J235" i="49"/>
  <c r="J256" i="49"/>
  <c r="J277" i="49"/>
  <c r="L277" i="49" s="1"/>
  <c r="J297" i="49"/>
  <c r="J16" i="49"/>
  <c r="J56" i="49"/>
  <c r="J88" i="49"/>
  <c r="J116" i="49"/>
  <c r="J145" i="49"/>
  <c r="J169" i="49"/>
  <c r="J196" i="49"/>
  <c r="J224" i="49"/>
  <c r="L224" i="49" s="1"/>
  <c r="J245" i="49"/>
  <c r="J266" i="49"/>
  <c r="J288" i="49"/>
  <c r="J308" i="49"/>
  <c r="J27" i="49"/>
  <c r="J94" i="49"/>
  <c r="J124" i="49"/>
  <c r="L124" i="49" s="1"/>
  <c r="J152" i="49"/>
  <c r="J204" i="49"/>
  <c r="J231" i="49"/>
  <c r="J272" i="49"/>
  <c r="J313" i="49"/>
  <c r="L313" i="49" s="1"/>
  <c r="J254" i="13"/>
  <c r="J222" i="13"/>
  <c r="J94" i="13"/>
  <c r="J44" i="13"/>
  <c r="J29" i="13"/>
  <c r="G23" i="49"/>
  <c r="G29" i="49"/>
  <c r="G41" i="49"/>
  <c r="J41" i="13"/>
  <c r="G43" i="49"/>
  <c r="G45" i="49"/>
  <c r="G55" i="49"/>
  <c r="G76" i="49"/>
  <c r="J76" i="13"/>
  <c r="G86" i="49"/>
  <c r="J86" i="13"/>
  <c r="G94" i="49"/>
  <c r="G102" i="49"/>
  <c r="J102" i="13"/>
  <c r="G108" i="49"/>
  <c r="J108" i="13"/>
  <c r="G134" i="49"/>
  <c r="J134" i="13"/>
  <c r="G314" i="49"/>
  <c r="G212" i="49"/>
  <c r="J212" i="13"/>
  <c r="G285" i="49"/>
  <c r="G174" i="49"/>
  <c r="J174" i="13"/>
  <c r="G245" i="49"/>
  <c r="J245" i="13"/>
  <c r="G17" i="49"/>
  <c r="J17" i="13"/>
  <c r="G250" i="49"/>
  <c r="J250" i="13"/>
  <c r="G64" i="49"/>
  <c r="J64" i="13"/>
  <c r="G181" i="49"/>
  <c r="J181" i="13"/>
  <c r="G211" i="49"/>
  <c r="J211" i="13"/>
  <c r="G99" i="49"/>
  <c r="J99" i="13"/>
  <c r="G238" i="49"/>
  <c r="J238" i="13"/>
  <c r="G65" i="49"/>
  <c r="G216" i="49"/>
  <c r="J216" i="13"/>
  <c r="G121" i="49"/>
  <c r="G213" i="49"/>
  <c r="J213" i="13"/>
  <c r="G300" i="49"/>
  <c r="G132" i="49"/>
  <c r="J132" i="13"/>
  <c r="G210" i="49"/>
  <c r="G311" i="49"/>
  <c r="J311" i="13"/>
  <c r="G228" i="49"/>
  <c r="G272" i="49"/>
  <c r="G242" i="49"/>
  <c r="G161" i="49"/>
  <c r="J161" i="13"/>
  <c r="G277" i="49"/>
  <c r="G149" i="49"/>
  <c r="J149" i="13"/>
  <c r="G237" i="49"/>
  <c r="G304" i="49"/>
  <c r="J304" i="13"/>
  <c r="G159" i="49"/>
  <c r="G241" i="49"/>
  <c r="J241" i="13"/>
  <c r="G187" i="49"/>
  <c r="J187" i="13"/>
  <c r="G313" i="49"/>
  <c r="J313" i="13"/>
  <c r="G263" i="49"/>
  <c r="J263" i="13"/>
  <c r="G169" i="49"/>
  <c r="J169" i="13"/>
  <c r="G20" i="49"/>
  <c r="J20" i="13"/>
  <c r="G103" i="49"/>
  <c r="J103" i="13"/>
  <c r="G71" i="49"/>
  <c r="J71" i="13"/>
  <c r="G264" i="49"/>
  <c r="G269" i="49"/>
  <c r="G193" i="49"/>
  <c r="J193" i="13"/>
  <c r="G190" i="49"/>
  <c r="J190" i="13"/>
  <c r="G309" i="49"/>
  <c r="J309" i="13"/>
  <c r="G117" i="49"/>
  <c r="J117" i="13"/>
  <c r="G306" i="49"/>
  <c r="J306" i="13"/>
  <c r="G166" i="49"/>
  <c r="J166" i="13"/>
  <c r="G116" i="49"/>
  <c r="G145" i="49"/>
  <c r="G9" i="49"/>
  <c r="G307" i="49"/>
  <c r="J307" i="13"/>
  <c r="G167" i="49"/>
  <c r="G293" i="49"/>
  <c r="J293" i="13"/>
  <c r="G217" i="49"/>
  <c r="G133" i="49"/>
  <c r="J133" i="13"/>
  <c r="G147" i="49"/>
  <c r="J147" i="13"/>
  <c r="G10" i="49"/>
  <c r="G220" i="49"/>
  <c r="J220" i="13"/>
  <c r="G87" i="49"/>
  <c r="J87" i="13"/>
  <c r="G109" i="49"/>
  <c r="J109" i="13"/>
  <c r="G225" i="49"/>
  <c r="J225" i="13"/>
  <c r="G186" i="49"/>
  <c r="J186" i="13"/>
  <c r="G151" i="49"/>
  <c r="J151" i="13"/>
  <c r="G243" i="49"/>
  <c r="J243" i="13"/>
  <c r="G8" i="49"/>
  <c r="J8" i="13"/>
  <c r="G227" i="49"/>
  <c r="G148" i="49"/>
  <c r="J148" i="13"/>
  <c r="G30" i="49"/>
  <c r="J30" i="13"/>
  <c r="G171" i="49"/>
  <c r="J171" i="13"/>
  <c r="G257" i="49"/>
  <c r="J257" i="13"/>
  <c r="G137" i="49"/>
  <c r="J137" i="13"/>
  <c r="G246" i="49"/>
  <c r="G104" i="49"/>
  <c r="J104" i="13"/>
  <c r="G7" i="49"/>
  <c r="G88" i="49"/>
  <c r="J88" i="13"/>
  <c r="G26" i="49"/>
  <c r="G224" i="49"/>
  <c r="J224" i="13"/>
  <c r="G158" i="49"/>
  <c r="G298" i="49"/>
  <c r="G275" i="49"/>
  <c r="G34" i="49"/>
  <c r="G112" i="49"/>
  <c r="G27" i="49"/>
  <c r="G200" i="49"/>
  <c r="J200" i="13"/>
  <c r="G286" i="49"/>
  <c r="J286" i="13"/>
  <c r="G194" i="49"/>
  <c r="G302" i="49"/>
  <c r="G124" i="49"/>
  <c r="G46" i="49"/>
  <c r="G144" i="49"/>
  <c r="J144" i="13"/>
  <c r="G58" i="49"/>
  <c r="G182" i="49"/>
  <c r="J182" i="13"/>
  <c r="G301" i="49"/>
  <c r="G168" i="49"/>
  <c r="J168" i="13"/>
  <c r="G63" i="49"/>
  <c r="J63" i="13"/>
  <c r="G12" i="49"/>
  <c r="J12" i="13"/>
  <c r="G128" i="49"/>
  <c r="G297" i="49"/>
  <c r="G154" i="49"/>
  <c r="G122" i="49"/>
  <c r="G305" i="49"/>
  <c r="G199" i="49"/>
  <c r="G233" i="49"/>
  <c r="J154" i="13"/>
  <c r="J122" i="13"/>
  <c r="J264" i="13"/>
  <c r="J269" i="13"/>
  <c r="J58" i="13"/>
  <c r="J301" i="13"/>
  <c r="J227" i="13"/>
  <c r="J314" i="13"/>
  <c r="J242" i="13"/>
  <c r="J237" i="13"/>
  <c r="J82" i="13"/>
  <c r="J21" i="13"/>
  <c r="J232" i="13"/>
  <c r="J256" i="13"/>
  <c r="J156" i="13"/>
  <c r="J37" i="13"/>
  <c r="J162" i="13"/>
  <c r="J249" i="13"/>
  <c r="J22" i="13"/>
  <c r="J178" i="13"/>
  <c r="J179" i="13"/>
  <c r="J292" i="13"/>
  <c r="J189" i="13"/>
  <c r="J81" i="13"/>
  <c r="J204" i="13"/>
  <c r="J38" i="13"/>
  <c r="J201" i="13"/>
  <c r="J270" i="13"/>
  <c r="J283" i="13"/>
  <c r="J101" i="13"/>
  <c r="J55" i="13"/>
  <c r="J43" i="13"/>
  <c r="J23" i="13"/>
  <c r="J196" i="13"/>
  <c r="J289" i="13"/>
  <c r="J16" i="13"/>
  <c r="J239" i="13"/>
  <c r="J67" i="13"/>
  <c r="J51" i="13"/>
  <c r="J143" i="13"/>
  <c r="J230" i="13"/>
  <c r="J207" i="13"/>
  <c r="J32" i="13"/>
  <c r="J90" i="13"/>
  <c r="J13" i="13"/>
  <c r="J266" i="13"/>
  <c r="J125" i="13"/>
  <c r="J52" i="13"/>
  <c r="J11" i="13"/>
  <c r="J56" i="13"/>
  <c r="J35" i="13"/>
  <c r="J60" i="13"/>
  <c r="J183" i="13"/>
  <c r="J106" i="13"/>
  <c r="J299" i="13"/>
  <c r="J123" i="13"/>
  <c r="J84" i="13"/>
  <c r="J91" i="13"/>
  <c r="J79" i="13"/>
  <c r="J150" i="13"/>
  <c r="J15" i="13"/>
  <c r="J31" i="13"/>
  <c r="J114" i="13"/>
  <c r="J28" i="13"/>
  <c r="J163" i="13"/>
  <c r="J157" i="13"/>
  <c r="J176" i="13"/>
  <c r="J276" i="13"/>
  <c r="J126" i="13"/>
  <c r="J85" i="13"/>
  <c r="J95" i="13"/>
  <c r="J68" i="13"/>
  <c r="J75" i="13"/>
  <c r="J191" i="13"/>
  <c r="J14" i="13"/>
  <c r="J119" i="13"/>
  <c r="J223" i="13"/>
  <c r="J48" i="13"/>
  <c r="J280" i="13"/>
  <c r="J59" i="13"/>
  <c r="J130" i="13"/>
  <c r="J77" i="13"/>
  <c r="J47" i="13"/>
  <c r="J226" i="13"/>
  <c r="J39" i="13"/>
  <c r="J127" i="13"/>
  <c r="J206" i="13"/>
  <c r="J288" i="13"/>
  <c r="J248" i="13"/>
  <c r="J240" i="13"/>
  <c r="J80" i="13"/>
  <c r="J139" i="13"/>
  <c r="J107" i="13"/>
  <c r="J83" i="13"/>
  <c r="J296" i="13"/>
  <c r="J259" i="13"/>
  <c r="J19" i="13"/>
  <c r="J164" i="13"/>
  <c r="J165" i="13"/>
  <c r="J175" i="13"/>
  <c r="J235" i="13"/>
  <c r="J195" i="13"/>
  <c r="J231" i="13"/>
  <c r="J72" i="13"/>
  <c r="J172" i="13"/>
  <c r="I5" i="32" l="1"/>
  <c r="F314" i="32"/>
  <c r="K225" i="49"/>
  <c r="L225" i="49" s="1"/>
  <c r="F9" i="48"/>
  <c r="E6" i="25"/>
  <c r="M6" i="49"/>
  <c r="C5" i="11"/>
  <c r="C16" i="34"/>
  <c r="K219" i="49"/>
  <c r="L219" i="49" s="1"/>
  <c r="K244" i="49"/>
  <c r="L244" i="49" s="1"/>
  <c r="E5" i="33"/>
  <c r="D5" i="37" s="1"/>
  <c r="G5" i="32"/>
  <c r="K231" i="49"/>
  <c r="L231" i="49" s="1"/>
  <c r="K266" i="49"/>
  <c r="L266" i="49" s="1"/>
  <c r="K56" i="49"/>
  <c r="L56" i="49" s="1"/>
  <c r="K64" i="49"/>
  <c r="L64" i="49" s="1"/>
  <c r="K254" i="49"/>
  <c r="L254" i="49" s="1"/>
  <c r="K180" i="49"/>
  <c r="L180" i="49" s="1"/>
  <c r="K72" i="49"/>
  <c r="L72" i="49" s="1"/>
  <c r="K35" i="49"/>
  <c r="L35" i="49" s="1"/>
  <c r="K285" i="49"/>
  <c r="L285" i="49" s="1"/>
  <c r="K241" i="49"/>
  <c r="L241" i="49" s="1"/>
  <c r="K193" i="49"/>
  <c r="L193" i="49" s="1"/>
  <c r="K141" i="49"/>
  <c r="L141" i="49" s="1"/>
  <c r="K84" i="49"/>
  <c r="L84" i="49" s="1"/>
  <c r="K51" i="49"/>
  <c r="L51" i="49" s="1"/>
  <c r="K294" i="49"/>
  <c r="L294" i="49" s="1"/>
  <c r="K252" i="49"/>
  <c r="L252" i="49" s="1"/>
  <c r="K232" i="49"/>
  <c r="L232" i="49" s="1"/>
  <c r="K177" i="49"/>
  <c r="L177" i="49" s="1"/>
  <c r="K125" i="49"/>
  <c r="L125" i="49" s="1"/>
  <c r="K67" i="49"/>
  <c r="L67" i="49" s="1"/>
  <c r="K310" i="49"/>
  <c r="L310" i="49" s="1"/>
  <c r="K295" i="49"/>
  <c r="L295" i="49" s="1"/>
  <c r="K263" i="49"/>
  <c r="L263" i="49" s="1"/>
  <c r="K233" i="49"/>
  <c r="L233" i="49" s="1"/>
  <c r="K192" i="49"/>
  <c r="L192" i="49" s="1"/>
  <c r="K172" i="49"/>
  <c r="L172" i="49" s="1"/>
  <c r="K133" i="49"/>
  <c r="L133" i="49" s="1"/>
  <c r="K90" i="49"/>
  <c r="L90" i="49" s="1"/>
  <c r="K40" i="49"/>
  <c r="L40" i="49" s="1"/>
  <c r="K171" i="49"/>
  <c r="L171" i="49" s="1"/>
  <c r="K95" i="49"/>
  <c r="L95" i="49" s="1"/>
  <c r="K79" i="49"/>
  <c r="L79" i="49" s="1"/>
  <c r="K18" i="49"/>
  <c r="L18" i="49" s="1"/>
  <c r="K45" i="49"/>
  <c r="L45" i="49" s="1"/>
  <c r="K13" i="49"/>
  <c r="L13" i="49" s="1"/>
  <c r="K204" i="49"/>
  <c r="L204" i="49" s="1"/>
  <c r="K245" i="49"/>
  <c r="L245" i="49" s="1"/>
  <c r="K16" i="49"/>
  <c r="L16" i="49" s="1"/>
  <c r="K235" i="49"/>
  <c r="L235" i="49" s="1"/>
  <c r="K293" i="49"/>
  <c r="L293" i="49" s="1"/>
  <c r="K217" i="49"/>
  <c r="L217" i="49" s="1"/>
  <c r="K312" i="49"/>
  <c r="L312" i="49" s="1"/>
  <c r="K270" i="49"/>
  <c r="L270" i="49" s="1"/>
  <c r="K249" i="49"/>
  <c r="L249" i="49" s="1"/>
  <c r="K201" i="49"/>
  <c r="L201" i="49" s="1"/>
  <c r="K174" i="49"/>
  <c r="L174" i="49" s="1"/>
  <c r="K63" i="49"/>
  <c r="L63" i="49" s="1"/>
  <c r="K237" i="49"/>
  <c r="L237" i="49" s="1"/>
  <c r="K185" i="49"/>
  <c r="L185" i="49" s="1"/>
  <c r="K77" i="49"/>
  <c r="L77" i="49" s="1"/>
  <c r="K309" i="49"/>
  <c r="L309" i="49" s="1"/>
  <c r="K268" i="49"/>
  <c r="L268" i="49" s="1"/>
  <c r="K226" i="49"/>
  <c r="L226" i="49" s="1"/>
  <c r="K118" i="49"/>
  <c r="L118" i="49" s="1"/>
  <c r="K58" i="49"/>
  <c r="L58" i="49" s="1"/>
  <c r="K306" i="49"/>
  <c r="K242" i="49"/>
  <c r="L242" i="49" s="1"/>
  <c r="K187" i="49"/>
  <c r="L187" i="49" s="1"/>
  <c r="K106" i="49"/>
  <c r="L106" i="49" s="1"/>
  <c r="K62" i="49"/>
  <c r="L62" i="49" s="1"/>
  <c r="K229" i="49"/>
  <c r="L229" i="49" s="1"/>
  <c r="K198" i="49"/>
  <c r="L198" i="49" s="1"/>
  <c r="K182" i="49"/>
  <c r="L182" i="49" s="1"/>
  <c r="K139" i="49"/>
  <c r="L139" i="49" s="1"/>
  <c r="K123" i="49"/>
  <c r="L123" i="49" s="1"/>
  <c r="K107" i="49"/>
  <c r="L107" i="49" s="1"/>
  <c r="K91" i="49"/>
  <c r="L91" i="49" s="1"/>
  <c r="K75" i="49"/>
  <c r="L75" i="49" s="1"/>
  <c r="K55" i="49"/>
  <c r="L55" i="49" s="1"/>
  <c r="K34" i="49"/>
  <c r="L34" i="49" s="1"/>
  <c r="K12" i="49"/>
  <c r="L12" i="49" s="1"/>
  <c r="K57" i="49"/>
  <c r="L57" i="49" s="1"/>
  <c r="K41" i="49"/>
  <c r="L41" i="49" s="1"/>
  <c r="K9" i="49"/>
  <c r="L9" i="49" s="1"/>
  <c r="K272" i="49"/>
  <c r="L272" i="49" s="1"/>
  <c r="K288" i="49"/>
  <c r="L288" i="49" s="1"/>
  <c r="K196" i="49"/>
  <c r="L196" i="49" s="1"/>
  <c r="K88" i="49"/>
  <c r="L88" i="49" s="1"/>
  <c r="K183" i="49"/>
  <c r="L183" i="49" s="1"/>
  <c r="K73" i="49"/>
  <c r="L73" i="49" s="1"/>
  <c r="K175" i="49"/>
  <c r="L175" i="49" s="1"/>
  <c r="K261" i="49"/>
  <c r="L261" i="49" s="1"/>
  <c r="K165" i="49"/>
  <c r="L165" i="49" s="1"/>
  <c r="K46" i="49"/>
  <c r="L46" i="49" s="1"/>
  <c r="K301" i="49"/>
  <c r="L301" i="49" s="1"/>
  <c r="K260" i="49"/>
  <c r="L260" i="49" s="1"/>
  <c r="K216" i="49"/>
  <c r="L216" i="49" s="1"/>
  <c r="K188" i="49"/>
  <c r="L188" i="49" s="1"/>
  <c r="K136" i="49"/>
  <c r="L136" i="49" s="1"/>
  <c r="K108" i="49"/>
  <c r="L108" i="49" s="1"/>
  <c r="K78" i="49"/>
  <c r="L78" i="49" s="1"/>
  <c r="K43" i="49"/>
  <c r="L43" i="49" s="1"/>
  <c r="K311" i="49"/>
  <c r="L311" i="49" s="1"/>
  <c r="K290" i="49"/>
  <c r="L290" i="49" s="1"/>
  <c r="K269" i="49"/>
  <c r="L269" i="49" s="1"/>
  <c r="K248" i="49"/>
  <c r="L248" i="49" s="1"/>
  <c r="K227" i="49"/>
  <c r="L227" i="49" s="1"/>
  <c r="K200" i="49"/>
  <c r="L200" i="49" s="1"/>
  <c r="K173" i="49"/>
  <c r="L173" i="49" s="1"/>
  <c r="K148" i="49"/>
  <c r="L148" i="49" s="1"/>
  <c r="K92" i="49"/>
  <c r="L92" i="49" s="1"/>
  <c r="K59" i="49"/>
  <c r="L59" i="49" s="1"/>
  <c r="K22" i="49"/>
  <c r="L22" i="49" s="1"/>
  <c r="K299" i="49"/>
  <c r="L299" i="49" s="1"/>
  <c r="K257" i="49"/>
  <c r="L257" i="49" s="1"/>
  <c r="K212" i="49"/>
  <c r="L212" i="49" s="1"/>
  <c r="K184" i="49"/>
  <c r="L184" i="49" s="1"/>
  <c r="K161" i="49"/>
  <c r="L161" i="49" s="1"/>
  <c r="K132" i="49"/>
  <c r="L132" i="49" s="1"/>
  <c r="K104" i="49"/>
  <c r="L104" i="49" s="1"/>
  <c r="K76" i="49"/>
  <c r="L76" i="49" s="1"/>
  <c r="K38" i="49"/>
  <c r="L38" i="49" s="1"/>
  <c r="K314" i="49"/>
  <c r="L314" i="49" s="1"/>
  <c r="K298" i="49"/>
  <c r="L298" i="49" s="1"/>
  <c r="K267" i="49"/>
  <c r="L267" i="49" s="1"/>
  <c r="K251" i="49"/>
  <c r="L251" i="49" s="1"/>
  <c r="K236" i="49"/>
  <c r="L236" i="49" s="1"/>
  <c r="K197" i="49"/>
  <c r="L197" i="49" s="1"/>
  <c r="K176" i="49"/>
  <c r="L176" i="49" s="1"/>
  <c r="K160" i="49"/>
  <c r="L160" i="49" s="1"/>
  <c r="K138" i="49"/>
  <c r="L138" i="49" s="1"/>
  <c r="K96" i="49"/>
  <c r="L96" i="49" s="1"/>
  <c r="K74" i="49"/>
  <c r="L74" i="49" s="1"/>
  <c r="K47" i="49"/>
  <c r="L47" i="49" s="1"/>
  <c r="K19" i="49"/>
  <c r="L19" i="49" s="1"/>
  <c r="K221" i="49"/>
  <c r="L221" i="49" s="1"/>
  <c r="K206" i="49"/>
  <c r="L206" i="49" s="1"/>
  <c r="K190" i="49"/>
  <c r="L190" i="49" s="1"/>
  <c r="K163" i="49"/>
  <c r="L163" i="49" s="1"/>
  <c r="K147" i="49"/>
  <c r="L147" i="49" s="1"/>
  <c r="K115" i="49"/>
  <c r="L115" i="49" s="1"/>
  <c r="K99" i="49"/>
  <c r="L99" i="49" s="1"/>
  <c r="K83" i="49"/>
  <c r="L83" i="49" s="1"/>
  <c r="K66" i="49"/>
  <c r="L66" i="49" s="1"/>
  <c r="K44" i="49"/>
  <c r="L44" i="49" s="1"/>
  <c r="K23" i="49"/>
  <c r="L23" i="49" s="1"/>
  <c r="K65" i="49"/>
  <c r="L65" i="49" s="1"/>
  <c r="K49" i="49"/>
  <c r="L49" i="49" s="1"/>
  <c r="K33" i="49"/>
  <c r="L33" i="49" s="1"/>
  <c r="K17" i="49"/>
  <c r="L17" i="49" s="1"/>
  <c r="K94" i="49"/>
  <c r="L94" i="49" s="1"/>
  <c r="K169" i="49"/>
  <c r="L169" i="49" s="1"/>
  <c r="K256" i="49"/>
  <c r="L256" i="49" s="1"/>
  <c r="K36" i="49"/>
  <c r="L36" i="49" s="1"/>
  <c r="K239" i="49"/>
  <c r="L239" i="49" s="1"/>
  <c r="K209" i="49"/>
  <c r="L209" i="49" s="1"/>
  <c r="K157" i="49"/>
  <c r="L157" i="49" s="1"/>
  <c r="K100" i="49"/>
  <c r="L100" i="49" s="1"/>
  <c r="K264" i="49"/>
  <c r="L264" i="49" s="1"/>
  <c r="K166" i="49"/>
  <c r="L166" i="49" s="1"/>
  <c r="K113" i="49"/>
  <c r="L113" i="49" s="1"/>
  <c r="K273" i="49"/>
  <c r="L273" i="49" s="1"/>
  <c r="K205" i="49"/>
  <c r="L205" i="49" s="1"/>
  <c r="K153" i="49"/>
  <c r="L153" i="49" s="1"/>
  <c r="K97" i="49"/>
  <c r="L97" i="49" s="1"/>
  <c r="K30" i="49"/>
  <c r="L30" i="49" s="1"/>
  <c r="K247" i="49"/>
  <c r="L247" i="49" s="1"/>
  <c r="K213" i="49"/>
  <c r="L213" i="49" s="1"/>
  <c r="K68" i="49"/>
  <c r="L68" i="49" s="1"/>
  <c r="K11" i="49"/>
  <c r="L11" i="49" s="1"/>
  <c r="K218" i="49"/>
  <c r="L218" i="49" s="1"/>
  <c r="K186" i="49"/>
  <c r="L186" i="49" s="1"/>
  <c r="K159" i="49"/>
  <c r="L159" i="49" s="1"/>
  <c r="K143" i="49"/>
  <c r="L143" i="49" s="1"/>
  <c r="K111" i="49"/>
  <c r="L111" i="49" s="1"/>
  <c r="K60" i="49"/>
  <c r="L60" i="49" s="1"/>
  <c r="K39" i="49"/>
  <c r="L39" i="49" s="1"/>
  <c r="K61" i="49"/>
  <c r="L61" i="49" s="1"/>
  <c r="K29" i="49"/>
  <c r="L29" i="49" s="1"/>
  <c r="K27" i="49"/>
  <c r="L27" i="49" s="1"/>
  <c r="K145" i="49"/>
  <c r="L145" i="49" s="1"/>
  <c r="L303" i="49"/>
  <c r="K109" i="49"/>
  <c r="L109" i="49" s="1"/>
  <c r="K292" i="49"/>
  <c r="L292" i="49" s="1"/>
  <c r="K230" i="49"/>
  <c r="L230" i="49" s="1"/>
  <c r="K93" i="49"/>
  <c r="L93" i="49" s="1"/>
  <c r="K24" i="49"/>
  <c r="L24" i="49" s="1"/>
  <c r="K300" i="49"/>
  <c r="L300" i="49" s="1"/>
  <c r="K258" i="49"/>
  <c r="L258" i="49" s="1"/>
  <c r="K215" i="49"/>
  <c r="L215" i="49" s="1"/>
  <c r="K162" i="49"/>
  <c r="L162" i="49" s="1"/>
  <c r="K105" i="49"/>
  <c r="L105" i="49" s="1"/>
  <c r="K42" i="49"/>
  <c r="L42" i="49" s="1"/>
  <c r="K289" i="49"/>
  <c r="L289" i="49" s="1"/>
  <c r="K246" i="49"/>
  <c r="L246" i="49" s="1"/>
  <c r="K199" i="49"/>
  <c r="L199" i="49" s="1"/>
  <c r="K146" i="49"/>
  <c r="L146" i="49" s="1"/>
  <c r="K89" i="49"/>
  <c r="L89" i="49" s="1"/>
  <c r="K20" i="49"/>
  <c r="L20" i="49" s="1"/>
  <c r="K291" i="49"/>
  <c r="K259" i="49"/>
  <c r="L259" i="49" s="1"/>
  <c r="K228" i="49"/>
  <c r="L228" i="49" s="1"/>
  <c r="K208" i="49"/>
  <c r="L208" i="49" s="1"/>
  <c r="K167" i="49"/>
  <c r="L167" i="49" s="1"/>
  <c r="K85" i="49"/>
  <c r="L85" i="49" s="1"/>
  <c r="K32" i="49"/>
  <c r="L32" i="49" s="1"/>
  <c r="K214" i="49"/>
  <c r="L214" i="49" s="1"/>
  <c r="K25" i="49"/>
  <c r="L25" i="49" s="1"/>
  <c r="K152" i="49"/>
  <c r="L152" i="49" s="1"/>
  <c r="K308" i="49"/>
  <c r="L308" i="49" s="1"/>
  <c r="K116" i="49"/>
  <c r="L116" i="49" s="1"/>
  <c r="K297" i="49"/>
  <c r="K211" i="49"/>
  <c r="L211" i="49" s="1"/>
  <c r="K102" i="49"/>
  <c r="L102" i="49" s="1"/>
  <c r="K250" i="49"/>
  <c r="L250" i="49" s="1"/>
  <c r="K189" i="49"/>
  <c r="L189" i="49" s="1"/>
  <c r="K81" i="49"/>
  <c r="L81" i="49" s="1"/>
  <c r="K307" i="49"/>
  <c r="K286" i="49"/>
  <c r="L286" i="49" s="1"/>
  <c r="K265" i="49"/>
  <c r="L265" i="49" s="1"/>
  <c r="K243" i="49"/>
  <c r="L243" i="49" s="1"/>
  <c r="K222" i="49"/>
  <c r="L222" i="49" s="1"/>
  <c r="K195" i="49"/>
  <c r="L195" i="49" s="1"/>
  <c r="K168" i="49"/>
  <c r="L168" i="49" s="1"/>
  <c r="K142" i="49"/>
  <c r="L142" i="49" s="1"/>
  <c r="K86" i="49"/>
  <c r="L86" i="49" s="1"/>
  <c r="K52" i="49"/>
  <c r="L52" i="49" s="1"/>
  <c r="K15" i="49"/>
  <c r="L15" i="49" s="1"/>
  <c r="K274" i="49"/>
  <c r="L274" i="49" s="1"/>
  <c r="K253" i="49"/>
  <c r="L253" i="49" s="1"/>
  <c r="K234" i="49"/>
  <c r="L234" i="49" s="1"/>
  <c r="K207" i="49"/>
  <c r="L207" i="49" s="1"/>
  <c r="K179" i="49"/>
  <c r="L179" i="49" s="1"/>
  <c r="K98" i="49"/>
  <c r="L98" i="49" s="1"/>
  <c r="K70" i="49"/>
  <c r="L70" i="49" s="1"/>
  <c r="K31" i="49"/>
  <c r="L31" i="49" s="1"/>
  <c r="K304" i="49"/>
  <c r="L304" i="49" s="1"/>
  <c r="K262" i="49"/>
  <c r="L262" i="49" s="1"/>
  <c r="K240" i="49"/>
  <c r="L240" i="49" s="1"/>
  <c r="K220" i="49"/>
  <c r="L220" i="49" s="1"/>
  <c r="K140" i="49"/>
  <c r="L140" i="49" s="1"/>
  <c r="K110" i="49"/>
  <c r="L110" i="49" s="1"/>
  <c r="K82" i="49"/>
  <c r="L82" i="49" s="1"/>
  <c r="K48" i="49"/>
  <c r="L48" i="49" s="1"/>
  <c r="K10" i="49"/>
  <c r="L10" i="49" s="1"/>
  <c r="K302" i="49"/>
  <c r="L302" i="49" s="1"/>
  <c r="K287" i="49"/>
  <c r="K271" i="49"/>
  <c r="L271" i="49" s="1"/>
  <c r="K255" i="49"/>
  <c r="L255" i="49" s="1"/>
  <c r="K238" i="49"/>
  <c r="L238" i="49" s="1"/>
  <c r="K223" i="49"/>
  <c r="L223" i="49" s="1"/>
  <c r="K181" i="49"/>
  <c r="L181" i="49" s="1"/>
  <c r="K164" i="49"/>
  <c r="L164" i="49" s="1"/>
  <c r="K101" i="49"/>
  <c r="L101" i="49" s="1"/>
  <c r="K80" i="49"/>
  <c r="L80" i="49" s="1"/>
  <c r="K54" i="49"/>
  <c r="L54" i="49" s="1"/>
  <c r="K26" i="49"/>
  <c r="L26" i="49" s="1"/>
  <c r="K210" i="49"/>
  <c r="L210" i="49" s="1"/>
  <c r="K194" i="49"/>
  <c r="L194" i="49" s="1"/>
  <c r="K178" i="49"/>
  <c r="L178" i="49" s="1"/>
  <c r="K103" i="49"/>
  <c r="L103" i="49" s="1"/>
  <c r="K87" i="49"/>
  <c r="L87" i="49" s="1"/>
  <c r="K71" i="49"/>
  <c r="L71" i="49" s="1"/>
  <c r="K50" i="49"/>
  <c r="L50" i="49" s="1"/>
  <c r="K28" i="49"/>
  <c r="L28" i="49" s="1"/>
  <c r="K69" i="49"/>
  <c r="L69" i="49" s="1"/>
  <c r="K53" i="49"/>
  <c r="L53" i="49" s="1"/>
  <c r="K37" i="49"/>
  <c r="L37" i="49" s="1"/>
  <c r="K21" i="49"/>
  <c r="L21" i="49" s="1"/>
  <c r="J315" i="49"/>
  <c r="I314" i="32" l="1"/>
  <c r="G314" i="32"/>
  <c r="L291" i="49"/>
  <c r="L287" i="49"/>
  <c r="L297" i="49"/>
  <c r="L307" i="49"/>
  <c r="L306" i="49"/>
  <c r="E47" i="48"/>
  <c r="L8" i="49"/>
  <c r="K315" i="49"/>
  <c r="N315" i="49" s="1"/>
  <c r="L315" i="49" l="1"/>
  <c r="K5" i="11" l="1"/>
  <c r="L5" i="11" s="1"/>
  <c r="Q16" i="11" l="1"/>
  <c r="R16" i="11" s="1"/>
  <c r="K16" i="11"/>
  <c r="L16" i="11" s="1"/>
  <c r="Q44" i="11"/>
  <c r="R44" i="11" s="1"/>
  <c r="K44" i="11"/>
  <c r="L44" i="11" s="1"/>
  <c r="Q15" i="11"/>
  <c r="R15" i="11" s="1"/>
  <c r="K15" i="11"/>
  <c r="L15" i="11" s="1"/>
  <c r="Q49" i="11"/>
  <c r="R49" i="11" s="1"/>
  <c r="K49" i="11"/>
  <c r="L49" i="11" s="1"/>
  <c r="Q59" i="11"/>
  <c r="R59" i="11" s="1"/>
  <c r="K59" i="11"/>
  <c r="L59" i="11" s="1"/>
  <c r="Q13" i="11"/>
  <c r="R13" i="11" s="1"/>
  <c r="K13" i="11"/>
  <c r="L13" i="11" s="1"/>
  <c r="Q65" i="11"/>
  <c r="R65" i="11" s="1"/>
  <c r="K65" i="11"/>
  <c r="L65" i="11" s="1"/>
  <c r="Q47" i="11"/>
  <c r="R47" i="11" s="1"/>
  <c r="K47" i="11"/>
  <c r="L47" i="11" s="1"/>
  <c r="Q68" i="11"/>
  <c r="R68" i="11" s="1"/>
  <c r="K68" i="11"/>
  <c r="L68" i="11" s="1"/>
  <c r="Q19" i="11"/>
  <c r="R19" i="11" s="1"/>
  <c r="K19" i="11"/>
  <c r="L19" i="11" s="1"/>
  <c r="Q22" i="11"/>
  <c r="R22" i="11" s="1"/>
  <c r="K22" i="11"/>
  <c r="L22" i="11" s="1"/>
  <c r="Q62" i="11"/>
  <c r="R62" i="11" s="1"/>
  <c r="K62" i="11"/>
  <c r="L62" i="11" s="1"/>
  <c r="Q20" i="11"/>
  <c r="R20" i="11" s="1"/>
  <c r="K20" i="11"/>
  <c r="L20" i="11" s="1"/>
  <c r="Q17" i="11"/>
  <c r="R17" i="11" s="1"/>
  <c r="K17" i="11"/>
  <c r="L17" i="11" s="1"/>
  <c r="Q10" i="11"/>
  <c r="R10" i="11" s="1"/>
  <c r="K10" i="11"/>
  <c r="L10" i="11" s="1"/>
  <c r="Q6" i="11"/>
  <c r="R6" i="11" s="1"/>
  <c r="K6" i="11"/>
  <c r="L6" i="11" s="1"/>
  <c r="Q18" i="11"/>
  <c r="R18" i="11" s="1"/>
  <c r="K18" i="11"/>
  <c r="L18" i="11" s="1"/>
  <c r="Q45" i="11"/>
  <c r="R45" i="11" s="1"/>
  <c r="K45" i="11"/>
  <c r="L45" i="11" s="1"/>
  <c r="Q39" i="11"/>
  <c r="R39" i="11" s="1"/>
  <c r="K39" i="11"/>
  <c r="L39" i="11" s="1"/>
  <c r="Q76" i="11"/>
  <c r="R76" i="11" s="1"/>
  <c r="K76" i="11"/>
  <c r="L76" i="11" s="1"/>
  <c r="Q61" i="11"/>
  <c r="R61" i="11" s="1"/>
  <c r="K61" i="11"/>
  <c r="L61" i="11" s="1"/>
  <c r="Q28" i="11"/>
  <c r="R28" i="11" s="1"/>
  <c r="K28" i="11"/>
  <c r="L28" i="11" s="1"/>
  <c r="Q41" i="11"/>
  <c r="R41" i="11" s="1"/>
  <c r="K41" i="11"/>
  <c r="L41" i="11" s="1"/>
  <c r="Q21" i="11"/>
  <c r="R21" i="11" s="1"/>
  <c r="K21" i="11"/>
  <c r="L21" i="11" s="1"/>
  <c r="Q67" i="11"/>
  <c r="R67" i="11" s="1"/>
  <c r="K67" i="11"/>
  <c r="L67" i="11" s="1"/>
  <c r="Q24" i="11"/>
  <c r="R24" i="11" s="1"/>
  <c r="K24" i="11"/>
  <c r="L24" i="11" s="1"/>
  <c r="Q51" i="11"/>
  <c r="R51" i="11" s="1"/>
  <c r="K51" i="11"/>
  <c r="L51" i="11" s="1"/>
  <c r="Q8" i="11"/>
  <c r="R8" i="11" s="1"/>
  <c r="K8" i="11"/>
  <c r="L8" i="11" s="1"/>
  <c r="Q37" i="11"/>
  <c r="R37" i="11" s="1"/>
  <c r="K37" i="11"/>
  <c r="L37" i="11" s="1"/>
  <c r="Q58" i="11"/>
  <c r="R58" i="11" s="1"/>
  <c r="K58" i="11"/>
  <c r="L58" i="11" s="1"/>
  <c r="Q30" i="11"/>
  <c r="R30" i="11" s="1"/>
  <c r="K30" i="11"/>
  <c r="L30" i="11" s="1"/>
  <c r="Q27" i="11"/>
  <c r="R27" i="11" s="1"/>
  <c r="K27" i="11"/>
  <c r="L27" i="11" s="1"/>
  <c r="Q46" i="11"/>
  <c r="R46" i="11" s="1"/>
  <c r="K46" i="11"/>
  <c r="L46" i="11" s="1"/>
  <c r="Q52" i="11"/>
  <c r="R52" i="11" s="1"/>
  <c r="K52" i="11"/>
  <c r="L52" i="11" s="1"/>
  <c r="Q31" i="11"/>
  <c r="R31" i="11" s="1"/>
  <c r="K31" i="11"/>
  <c r="L31" i="11" s="1"/>
  <c r="Q43" i="11"/>
  <c r="R43" i="11" s="1"/>
  <c r="K43" i="11"/>
  <c r="L43" i="11" s="1"/>
  <c r="Q73" i="11"/>
  <c r="R73" i="11" s="1"/>
  <c r="K73" i="11"/>
  <c r="L73" i="11" s="1"/>
  <c r="Q57" i="11"/>
  <c r="R57" i="11" s="1"/>
  <c r="K57" i="11"/>
  <c r="L57" i="11" s="1"/>
  <c r="Q23" i="11"/>
  <c r="R23" i="11" s="1"/>
  <c r="K23" i="11"/>
  <c r="L23" i="11" s="1"/>
  <c r="Q25" i="11"/>
  <c r="R25" i="11" s="1"/>
  <c r="K25" i="11"/>
  <c r="L25" i="11" s="1"/>
  <c r="Q33" i="11"/>
  <c r="R33" i="11" s="1"/>
  <c r="K33" i="11"/>
  <c r="L33" i="11" s="1"/>
  <c r="Q35" i="11"/>
  <c r="R35" i="11" s="1"/>
  <c r="K35" i="11"/>
  <c r="L35" i="11" s="1"/>
  <c r="Q32" i="11"/>
  <c r="R32" i="11" s="1"/>
  <c r="K32" i="11"/>
  <c r="L32" i="11" s="1"/>
  <c r="Q70" i="11"/>
  <c r="R70" i="11" s="1"/>
  <c r="K70" i="11"/>
  <c r="L70" i="11" s="1"/>
  <c r="Q55" i="11"/>
  <c r="R55" i="11" s="1"/>
  <c r="K55" i="11"/>
  <c r="L55" i="11" s="1"/>
  <c r="Q12" i="11"/>
  <c r="R12" i="11" s="1"/>
  <c r="K12" i="11"/>
  <c r="L12" i="11" s="1"/>
  <c r="Q74" i="11"/>
  <c r="R74" i="11" s="1"/>
  <c r="K74" i="11"/>
  <c r="L74" i="11" s="1"/>
  <c r="Q53" i="11"/>
  <c r="R53" i="11" s="1"/>
  <c r="K53" i="11"/>
  <c r="L53" i="11" s="1"/>
  <c r="Q9" i="11"/>
  <c r="R9" i="11" s="1"/>
  <c r="K9" i="11"/>
  <c r="L9" i="11" s="1"/>
  <c r="Q11" i="11"/>
  <c r="R11" i="11" s="1"/>
  <c r="K11" i="11"/>
  <c r="L11" i="11" s="1"/>
  <c r="Q36" i="11"/>
  <c r="R36" i="11" s="1"/>
  <c r="K36" i="11"/>
  <c r="L36" i="11" s="1"/>
  <c r="Q63" i="11"/>
  <c r="R63" i="11" s="1"/>
  <c r="K63" i="11"/>
  <c r="L63" i="11" s="1"/>
  <c r="Q50" i="11"/>
  <c r="R50" i="11" s="1"/>
  <c r="K50" i="11"/>
  <c r="L50" i="11" s="1"/>
  <c r="Q72" i="11"/>
  <c r="R72" i="11" s="1"/>
  <c r="K72" i="11"/>
  <c r="L72" i="11" s="1"/>
  <c r="Q26" i="11"/>
  <c r="R26" i="11" s="1"/>
  <c r="K26" i="11"/>
  <c r="L26" i="11" s="1"/>
  <c r="Q66" i="11"/>
  <c r="R66" i="11" s="1"/>
  <c r="K66" i="11"/>
  <c r="L66" i="11" s="1"/>
  <c r="Q75" i="11"/>
  <c r="R75" i="11" s="1"/>
  <c r="K75" i="11"/>
  <c r="L75" i="11" s="1"/>
  <c r="Q64" i="11"/>
  <c r="R64" i="11" s="1"/>
  <c r="K64" i="11"/>
  <c r="L64" i="11" s="1"/>
  <c r="Q56" i="11"/>
  <c r="R56" i="11" s="1"/>
  <c r="K56" i="11"/>
  <c r="L56" i="11" s="1"/>
  <c r="Q38" i="11"/>
  <c r="R38" i="11" s="1"/>
  <c r="K38" i="11"/>
  <c r="L38" i="11" s="1"/>
  <c r="Q71" i="11"/>
  <c r="R71" i="11" s="1"/>
  <c r="K71" i="11"/>
  <c r="L71" i="11" s="1"/>
  <c r="Q34" i="11"/>
  <c r="R34" i="11" s="1"/>
  <c r="K34" i="11"/>
  <c r="L34" i="11" s="1"/>
  <c r="Q42" i="11"/>
  <c r="R42" i="11" s="1"/>
  <c r="K42" i="11"/>
  <c r="L42" i="11" s="1"/>
  <c r="Q60" i="11"/>
  <c r="R60" i="11" s="1"/>
  <c r="K60" i="11"/>
  <c r="L60" i="11" s="1"/>
  <c r="Q48" i="11"/>
  <c r="R48" i="11" s="1"/>
  <c r="K48" i="11"/>
  <c r="L48" i="11" s="1"/>
  <c r="Q40" i="11"/>
  <c r="R40" i="11" s="1"/>
  <c r="K40" i="11"/>
  <c r="L40" i="11" s="1"/>
  <c r="Q69" i="11"/>
  <c r="R69" i="11" s="1"/>
  <c r="K69" i="11"/>
  <c r="L69" i="11" s="1"/>
  <c r="Q14" i="11"/>
  <c r="R14" i="11" s="1"/>
  <c r="K14" i="11"/>
  <c r="L14" i="11" s="1"/>
  <c r="Q54" i="11"/>
  <c r="R54" i="11" s="1"/>
  <c r="K54" i="11"/>
  <c r="L54" i="11" s="1"/>
  <c r="Q7" i="11"/>
  <c r="R7" i="11" s="1"/>
  <c r="K7" i="11"/>
  <c r="L7" i="11" s="1"/>
  <c r="Q29" i="11"/>
  <c r="R29" i="11" s="1"/>
  <c r="K29" i="11"/>
  <c r="L29" i="11" s="1"/>
  <c r="Q5" i="11" l="1"/>
  <c r="R5" i="11" l="1"/>
  <c r="F316" i="42" l="1"/>
  <c r="M274" i="42"/>
  <c r="Y274" i="42" s="1"/>
  <c r="M316" i="42"/>
  <c r="Y316" i="42" s="1"/>
  <c r="I316" i="19" l="1"/>
  <c r="F273" i="49" l="1"/>
  <c r="F315" i="49" s="1"/>
  <c r="R316" i="19"/>
  <c r="U316" i="19" l="1"/>
  <c r="C314" i="39" s="1"/>
  <c r="G273" i="49"/>
  <c r="G315" i="49" s="1"/>
  <c r="C314" i="12"/>
  <c r="J273" i="13"/>
  <c r="J315" i="13" s="1"/>
  <c r="E273" i="25" l="1"/>
  <c r="E315" i="25" s="1"/>
  <c r="C272" i="11"/>
  <c r="C314" i="33"/>
  <c r="M273" i="49"/>
  <c r="M315" i="49" s="1"/>
  <c r="N5" i="49" s="1"/>
  <c r="S316" i="19"/>
  <c r="C325" i="34" l="1"/>
  <c r="G40" i="40"/>
  <c r="G42" i="40" s="1"/>
  <c r="E4" i="9"/>
  <c r="E314" i="33"/>
  <c r="B58" i="40"/>
  <c r="N304" i="49"/>
  <c r="O304" i="49" s="1"/>
  <c r="M304" i="25" s="1"/>
  <c r="J304" i="54" s="1"/>
  <c r="K304" i="54" s="1"/>
  <c r="N110" i="49"/>
  <c r="O110" i="49" s="1"/>
  <c r="M110" i="25" s="1"/>
  <c r="J110" i="54" s="1"/>
  <c r="K110" i="54" s="1"/>
  <c r="N153" i="49"/>
  <c r="O153" i="49" s="1"/>
  <c r="M153" i="25" s="1"/>
  <c r="J153" i="54" s="1"/>
  <c r="K153" i="54" s="1"/>
  <c r="N276" i="49"/>
  <c r="O276" i="49" s="1"/>
  <c r="M276" i="25" s="1"/>
  <c r="J276" i="54" s="1"/>
  <c r="K276" i="54" s="1"/>
  <c r="N269" i="49"/>
  <c r="O269" i="49" s="1"/>
  <c r="M269" i="25" s="1"/>
  <c r="J269" i="54" s="1"/>
  <c r="K269" i="54" s="1"/>
  <c r="N20" i="49"/>
  <c r="O20" i="49" s="1"/>
  <c r="M20" i="25" s="1"/>
  <c r="J20" i="54" s="1"/>
  <c r="K20" i="54" s="1"/>
  <c r="N152" i="49"/>
  <c r="O152" i="49" s="1"/>
  <c r="M152" i="25" s="1"/>
  <c r="J152" i="54" s="1"/>
  <c r="K152" i="54" s="1"/>
  <c r="N286" i="49"/>
  <c r="O286" i="49" s="1"/>
  <c r="M286" i="25" s="1"/>
  <c r="J286" i="54" s="1"/>
  <c r="K286" i="54" s="1"/>
  <c r="N231" i="49"/>
  <c r="O231" i="49" s="1"/>
  <c r="M231" i="25" s="1"/>
  <c r="J231" i="54" s="1"/>
  <c r="K231" i="54" s="1"/>
  <c r="N93" i="49"/>
  <c r="O93" i="49" s="1"/>
  <c r="M93" i="25" s="1"/>
  <c r="J93" i="54" s="1"/>
  <c r="K93" i="54" s="1"/>
  <c r="N246" i="49"/>
  <c r="O246" i="49" s="1"/>
  <c r="M246" i="25" s="1"/>
  <c r="J246" i="54" s="1"/>
  <c r="K246" i="54" s="1"/>
  <c r="N306" i="49"/>
  <c r="O306" i="49" s="1"/>
  <c r="M306" i="25" s="1"/>
  <c r="J306" i="54" s="1"/>
  <c r="K306" i="54" s="1"/>
  <c r="N156" i="49"/>
  <c r="O156" i="49" s="1"/>
  <c r="M156" i="25" s="1"/>
  <c r="J156" i="54" s="1"/>
  <c r="K156" i="54" s="1"/>
  <c r="N119" i="49"/>
  <c r="O119" i="49" s="1"/>
  <c r="M119" i="25" s="1"/>
  <c r="J119" i="54" s="1"/>
  <c r="K119" i="54" s="1"/>
  <c r="N45" i="49"/>
  <c r="O45" i="49" s="1"/>
  <c r="M45" i="25" s="1"/>
  <c r="J45" i="54" s="1"/>
  <c r="K45" i="54" s="1"/>
  <c r="N185" i="49"/>
  <c r="O185" i="49" s="1"/>
  <c r="M185" i="25" s="1"/>
  <c r="J185" i="54" s="1"/>
  <c r="K185" i="54" s="1"/>
  <c r="N33" i="49"/>
  <c r="O33" i="49" s="1"/>
  <c r="M33" i="25" s="1"/>
  <c r="J33" i="54" s="1"/>
  <c r="K33" i="54" s="1"/>
  <c r="N187" i="49"/>
  <c r="O187" i="49" s="1"/>
  <c r="M187" i="25" s="1"/>
  <c r="J187" i="54" s="1"/>
  <c r="K187" i="54" s="1"/>
  <c r="N174" i="49"/>
  <c r="O174" i="49" s="1"/>
  <c r="M174" i="25" s="1"/>
  <c r="J174" i="54" s="1"/>
  <c r="K174" i="54" s="1"/>
  <c r="N148" i="49"/>
  <c r="O148" i="49" s="1"/>
  <c r="M148" i="25" s="1"/>
  <c r="J148" i="54" s="1"/>
  <c r="K148" i="54" s="1"/>
  <c r="N48" i="49"/>
  <c r="O48" i="49" s="1"/>
  <c r="M48" i="25" s="1"/>
  <c r="J48" i="54" s="1"/>
  <c r="K48" i="54" s="1"/>
  <c r="N289" i="49"/>
  <c r="O289" i="49" s="1"/>
  <c r="M289" i="25" s="1"/>
  <c r="J289" i="54" s="1"/>
  <c r="K289" i="54" s="1"/>
  <c r="N224" i="49"/>
  <c r="O224" i="49" s="1"/>
  <c r="M224" i="25" s="1"/>
  <c r="J224" i="54" s="1"/>
  <c r="K224" i="54" s="1"/>
  <c r="N68" i="49"/>
  <c r="O68" i="49" s="1"/>
  <c r="M68" i="25" s="1"/>
  <c r="J68" i="54" s="1"/>
  <c r="K68" i="54" s="1"/>
  <c r="N305" i="49"/>
  <c r="O305" i="49" s="1"/>
  <c r="M305" i="25" s="1"/>
  <c r="J305" i="54" s="1"/>
  <c r="K305" i="54" s="1"/>
  <c r="N75" i="49"/>
  <c r="O75" i="49" s="1"/>
  <c r="M75" i="25" s="1"/>
  <c r="J75" i="54" s="1"/>
  <c r="K75" i="54" s="1"/>
  <c r="N16" i="49"/>
  <c r="O16" i="49" s="1"/>
  <c r="M16" i="25" s="1"/>
  <c r="J16" i="54" s="1"/>
  <c r="K16" i="54" s="1"/>
  <c r="N228" i="49"/>
  <c r="O228" i="49" s="1"/>
  <c r="M228" i="25" s="1"/>
  <c r="J228" i="54" s="1"/>
  <c r="K228" i="54" s="1"/>
  <c r="N167" i="49"/>
  <c r="O167" i="49" s="1"/>
  <c r="M167" i="25" s="1"/>
  <c r="J167" i="54" s="1"/>
  <c r="K167" i="54" s="1"/>
  <c r="N126" i="49"/>
  <c r="O126" i="49" s="1"/>
  <c r="M126" i="25" s="1"/>
  <c r="J126" i="54" s="1"/>
  <c r="K126" i="54" s="1"/>
  <c r="N259" i="49"/>
  <c r="O259" i="49" s="1"/>
  <c r="M259" i="25" s="1"/>
  <c r="J259" i="54" s="1"/>
  <c r="K259" i="54" s="1"/>
  <c r="N280" i="49"/>
  <c r="O280" i="49" s="1"/>
  <c r="M280" i="25" s="1"/>
  <c r="J280" i="54" s="1"/>
  <c r="K280" i="54" s="1"/>
  <c r="N44" i="49"/>
  <c r="O44" i="49" s="1"/>
  <c r="M44" i="25" s="1"/>
  <c r="J44" i="54" s="1"/>
  <c r="K44" i="54" s="1"/>
  <c r="N125" i="49"/>
  <c r="O125" i="49" s="1"/>
  <c r="M125" i="25" s="1"/>
  <c r="J125" i="54" s="1"/>
  <c r="K125" i="54" s="1"/>
  <c r="N25" i="49"/>
  <c r="O25" i="49" s="1"/>
  <c r="M25" i="25" s="1"/>
  <c r="J25" i="54" s="1"/>
  <c r="K25" i="54" s="1"/>
  <c r="N288" i="49"/>
  <c r="O288" i="49" s="1"/>
  <c r="M288" i="25" s="1"/>
  <c r="J288" i="54" s="1"/>
  <c r="K288" i="54" s="1"/>
  <c r="N159" i="49"/>
  <c r="O159" i="49" s="1"/>
  <c r="M159" i="25" s="1"/>
  <c r="J159" i="54" s="1"/>
  <c r="K159" i="54" s="1"/>
  <c r="N181" i="49"/>
  <c r="O181" i="49" s="1"/>
  <c r="M181" i="25" s="1"/>
  <c r="J181" i="54" s="1"/>
  <c r="K181" i="54" s="1"/>
  <c r="N158" i="49"/>
  <c r="O158" i="49" s="1"/>
  <c r="M158" i="25" s="1"/>
  <c r="J158" i="54" s="1"/>
  <c r="K158" i="54" s="1"/>
  <c r="N61" i="49"/>
  <c r="O61" i="49" s="1"/>
  <c r="M61" i="25" s="1"/>
  <c r="J61" i="54" s="1"/>
  <c r="K61" i="54" s="1"/>
  <c r="N132" i="49"/>
  <c r="O132" i="49" s="1"/>
  <c r="M132" i="25" s="1"/>
  <c r="J132" i="54" s="1"/>
  <c r="K132" i="54" s="1"/>
  <c r="N22" i="49"/>
  <c r="O22" i="49" s="1"/>
  <c r="M22" i="25" s="1"/>
  <c r="J22" i="54" s="1"/>
  <c r="K22" i="54" s="1"/>
  <c r="N108" i="49"/>
  <c r="O108" i="49" s="1"/>
  <c r="M108" i="25" s="1"/>
  <c r="J108" i="54" s="1"/>
  <c r="K108" i="54" s="1"/>
  <c r="N309" i="49"/>
  <c r="O309" i="49" s="1"/>
  <c r="M309" i="25" s="1"/>
  <c r="J309" i="54" s="1"/>
  <c r="K309" i="54" s="1"/>
  <c r="N313" i="49"/>
  <c r="O313" i="49" s="1"/>
  <c r="M313" i="25" s="1"/>
  <c r="J313" i="54" s="1"/>
  <c r="K313" i="54" s="1"/>
  <c r="N270" i="49"/>
  <c r="O270" i="49" s="1"/>
  <c r="M270" i="25" s="1"/>
  <c r="J270" i="54" s="1"/>
  <c r="K270" i="54" s="1"/>
  <c r="N207" i="49"/>
  <c r="O207" i="49" s="1"/>
  <c r="M207" i="25" s="1"/>
  <c r="J207" i="54" s="1"/>
  <c r="K207" i="54" s="1"/>
  <c r="N164" i="49"/>
  <c r="O164" i="49" s="1"/>
  <c r="M164" i="25" s="1"/>
  <c r="J164" i="54" s="1"/>
  <c r="K164" i="54" s="1"/>
  <c r="N287" i="49"/>
  <c r="O287" i="49" s="1"/>
  <c r="M287" i="25" s="1"/>
  <c r="J287" i="54" s="1"/>
  <c r="K287" i="54" s="1"/>
  <c r="N182" i="49"/>
  <c r="O182" i="49" s="1"/>
  <c r="M182" i="25" s="1"/>
  <c r="J182" i="54" s="1"/>
  <c r="K182" i="54" s="1"/>
  <c r="N87" i="49"/>
  <c r="O87" i="49" s="1"/>
  <c r="M87" i="25" s="1"/>
  <c r="J87" i="54" s="1"/>
  <c r="K87" i="54" s="1"/>
  <c r="N123" i="49"/>
  <c r="O123" i="49" s="1"/>
  <c r="M123" i="25" s="1"/>
  <c r="J123" i="54" s="1"/>
  <c r="K123" i="54" s="1"/>
  <c r="N150" i="49"/>
  <c r="O150" i="49" s="1"/>
  <c r="M150" i="25" s="1"/>
  <c r="J150" i="54" s="1"/>
  <c r="K150" i="54" s="1"/>
  <c r="N247" i="49"/>
  <c r="O247" i="49" s="1"/>
  <c r="M247" i="25" s="1"/>
  <c r="J247" i="54" s="1"/>
  <c r="K247" i="54" s="1"/>
  <c r="N103" i="49"/>
  <c r="O103" i="49" s="1"/>
  <c r="M103" i="25" s="1"/>
  <c r="J103" i="54" s="1"/>
  <c r="K103" i="54" s="1"/>
  <c r="N169" i="49"/>
  <c r="O169" i="49" s="1"/>
  <c r="M169" i="25" s="1"/>
  <c r="J169" i="54" s="1"/>
  <c r="K169" i="54" s="1"/>
  <c r="N7" i="49"/>
  <c r="O7" i="49" s="1"/>
  <c r="M7" i="25" s="1"/>
  <c r="J7" i="54" s="1"/>
  <c r="K7" i="54" s="1"/>
  <c r="N96" i="49"/>
  <c r="O96" i="49" s="1"/>
  <c r="M96" i="25" s="1"/>
  <c r="J96" i="54" s="1"/>
  <c r="K96" i="54" s="1"/>
  <c r="N219" i="49"/>
  <c r="O219" i="49" s="1"/>
  <c r="M219" i="25" s="1"/>
  <c r="J219" i="54" s="1"/>
  <c r="K219" i="54" s="1"/>
  <c r="N26" i="49"/>
  <c r="O26" i="49" s="1"/>
  <c r="M26" i="25" s="1"/>
  <c r="J26" i="54" s="1"/>
  <c r="K26" i="54" s="1"/>
  <c r="N248" i="49"/>
  <c r="O248" i="49" s="1"/>
  <c r="M248" i="25" s="1"/>
  <c r="J248" i="54" s="1"/>
  <c r="K248" i="54" s="1"/>
  <c r="N210" i="49"/>
  <c r="O210" i="49" s="1"/>
  <c r="M210" i="25" s="1"/>
  <c r="J210" i="54" s="1"/>
  <c r="K210" i="54" s="1"/>
  <c r="N216" i="49"/>
  <c r="O216" i="49" s="1"/>
  <c r="M216" i="25" s="1"/>
  <c r="J216" i="54" s="1"/>
  <c r="K216" i="54" s="1"/>
  <c r="N101" i="49"/>
  <c r="O101" i="49" s="1"/>
  <c r="M101" i="25" s="1"/>
  <c r="J101" i="54" s="1"/>
  <c r="K101" i="54" s="1"/>
  <c r="N140" i="49"/>
  <c r="O140" i="49" s="1"/>
  <c r="M140" i="25" s="1"/>
  <c r="J140" i="54" s="1"/>
  <c r="K140" i="54" s="1"/>
  <c r="N94" i="49"/>
  <c r="O94" i="49" s="1"/>
  <c r="M94" i="25" s="1"/>
  <c r="J94" i="54" s="1"/>
  <c r="K94" i="54" s="1"/>
  <c r="N253" i="49"/>
  <c r="O253" i="49" s="1"/>
  <c r="M253" i="25" s="1"/>
  <c r="J253" i="54" s="1"/>
  <c r="K253" i="54" s="1"/>
  <c r="N200" i="49"/>
  <c r="O200" i="49" s="1"/>
  <c r="M200" i="25" s="1"/>
  <c r="J200" i="54" s="1"/>
  <c r="K200" i="54" s="1"/>
  <c r="N151" i="49"/>
  <c r="O151" i="49" s="1"/>
  <c r="M151" i="25" s="1"/>
  <c r="J151" i="54" s="1"/>
  <c r="K151" i="54" s="1"/>
  <c r="N95" i="49"/>
  <c r="O95" i="49" s="1"/>
  <c r="M95" i="25" s="1"/>
  <c r="J95" i="54" s="1"/>
  <c r="K95" i="54" s="1"/>
  <c r="N76" i="49"/>
  <c r="O76" i="49" s="1"/>
  <c r="M76" i="25" s="1"/>
  <c r="J76" i="54" s="1"/>
  <c r="K76" i="54" s="1"/>
  <c r="N50" i="49"/>
  <c r="O50" i="49" s="1"/>
  <c r="M50" i="25" s="1"/>
  <c r="J50" i="54" s="1"/>
  <c r="K50" i="54" s="1"/>
  <c r="N54" i="49"/>
  <c r="O54" i="49" s="1"/>
  <c r="M54" i="25" s="1"/>
  <c r="J54" i="54" s="1"/>
  <c r="K54" i="54" s="1"/>
  <c r="N266" i="49"/>
  <c r="O266" i="49" s="1"/>
  <c r="M266" i="25" s="1"/>
  <c r="J266" i="54" s="1"/>
  <c r="K266" i="54" s="1"/>
  <c r="N172" i="49"/>
  <c r="O172" i="49" s="1"/>
  <c r="M172" i="25" s="1"/>
  <c r="J172" i="54" s="1"/>
  <c r="K172" i="54" s="1"/>
  <c r="N10" i="49"/>
  <c r="O10" i="49" s="1"/>
  <c r="M10" i="25" s="1"/>
  <c r="J10" i="54" s="1"/>
  <c r="K10" i="54" s="1"/>
  <c r="N268" i="49"/>
  <c r="O268" i="49" s="1"/>
  <c r="M268" i="25" s="1"/>
  <c r="J268" i="54" s="1"/>
  <c r="K268" i="54" s="1"/>
  <c r="N149" i="49"/>
  <c r="O149" i="49" s="1"/>
  <c r="M149" i="25" s="1"/>
  <c r="J149" i="54" s="1"/>
  <c r="K149" i="54" s="1"/>
  <c r="N249" i="49"/>
  <c r="O249" i="49" s="1"/>
  <c r="M249" i="25" s="1"/>
  <c r="J249" i="54" s="1"/>
  <c r="K249" i="54" s="1"/>
  <c r="N104" i="49"/>
  <c r="O104" i="49" s="1"/>
  <c r="M104" i="25" s="1"/>
  <c r="J104" i="54" s="1"/>
  <c r="K104" i="54" s="1"/>
  <c r="N310" i="49"/>
  <c r="O310" i="49" s="1"/>
  <c r="M310" i="25" s="1"/>
  <c r="J310" i="54" s="1"/>
  <c r="K310" i="54" s="1"/>
  <c r="N162" i="49"/>
  <c r="O162" i="49" s="1"/>
  <c r="M162" i="25" s="1"/>
  <c r="J162" i="54" s="1"/>
  <c r="K162" i="54" s="1"/>
  <c r="N295" i="49"/>
  <c r="O295" i="49" s="1"/>
  <c r="M295" i="25" s="1"/>
  <c r="J295" i="54" s="1"/>
  <c r="K295" i="54" s="1"/>
  <c r="N223" i="49"/>
  <c r="O223" i="49" s="1"/>
  <c r="M223" i="25" s="1"/>
  <c r="J223" i="54" s="1"/>
  <c r="K223" i="54" s="1"/>
  <c r="N65" i="49"/>
  <c r="O65" i="49" s="1"/>
  <c r="M65" i="25" s="1"/>
  <c r="J65" i="54" s="1"/>
  <c r="K65" i="54" s="1"/>
  <c r="N196" i="49"/>
  <c r="O196" i="49" s="1"/>
  <c r="M196" i="25" s="1"/>
  <c r="J196" i="54" s="1"/>
  <c r="K196" i="54" s="1"/>
  <c r="N90" i="49"/>
  <c r="O90" i="49" s="1"/>
  <c r="M90" i="25" s="1"/>
  <c r="J90" i="54" s="1"/>
  <c r="K90" i="54" s="1"/>
  <c r="N115" i="49"/>
  <c r="O115" i="49" s="1"/>
  <c r="M115" i="25" s="1"/>
  <c r="J115" i="54" s="1"/>
  <c r="K115" i="54" s="1"/>
  <c r="N188" i="49"/>
  <c r="O188" i="49" s="1"/>
  <c r="M188" i="25" s="1"/>
  <c r="J188" i="54" s="1"/>
  <c r="K188" i="54" s="1"/>
  <c r="N232" i="49"/>
  <c r="O232" i="49" s="1"/>
  <c r="M232" i="25" s="1"/>
  <c r="J232" i="54" s="1"/>
  <c r="K232" i="54" s="1"/>
  <c r="N91" i="49"/>
  <c r="O91" i="49" s="1"/>
  <c r="M91" i="25" s="1"/>
  <c r="J91" i="54" s="1"/>
  <c r="K91" i="54" s="1"/>
  <c r="N70" i="49"/>
  <c r="O70" i="49" s="1"/>
  <c r="M70" i="25" s="1"/>
  <c r="J70" i="54" s="1"/>
  <c r="K70" i="54" s="1"/>
  <c r="N273" i="49"/>
  <c r="O273" i="49" s="1"/>
  <c r="M273" i="25" s="1"/>
  <c r="J273" i="54" s="1"/>
  <c r="K273" i="54" s="1"/>
  <c r="N194" i="49"/>
  <c r="O194" i="49" s="1"/>
  <c r="M194" i="25" s="1"/>
  <c r="J194" i="54" s="1"/>
  <c r="K194" i="54" s="1"/>
  <c r="N308" i="49"/>
  <c r="O308" i="49" s="1"/>
  <c r="M308" i="25" s="1"/>
  <c r="J308" i="54" s="1"/>
  <c r="K308" i="54" s="1"/>
  <c r="N63" i="49"/>
  <c r="O63" i="49" s="1"/>
  <c r="M63" i="25" s="1"/>
  <c r="J63" i="54" s="1"/>
  <c r="K63" i="54" s="1"/>
  <c r="N206" i="49"/>
  <c r="O206" i="49" s="1"/>
  <c r="M206" i="25" s="1"/>
  <c r="J206" i="54" s="1"/>
  <c r="K206" i="54" s="1"/>
  <c r="N112" i="49"/>
  <c r="O112" i="49" s="1"/>
  <c r="M112" i="25" s="1"/>
  <c r="J112" i="54" s="1"/>
  <c r="K112" i="54" s="1"/>
  <c r="N230" i="49"/>
  <c r="O230" i="49" s="1"/>
  <c r="M230" i="25" s="1"/>
  <c r="J230" i="54" s="1"/>
  <c r="K230" i="54" s="1"/>
  <c r="N255" i="49"/>
  <c r="O255" i="49" s="1"/>
  <c r="M255" i="25" s="1"/>
  <c r="J255" i="54" s="1"/>
  <c r="K255" i="54" s="1"/>
  <c r="N154" i="49"/>
  <c r="O154" i="49" s="1"/>
  <c r="M154" i="25" s="1"/>
  <c r="J154" i="54" s="1"/>
  <c r="K154" i="54" s="1"/>
  <c r="N179" i="49"/>
  <c r="O179" i="49" s="1"/>
  <c r="M179" i="25" s="1"/>
  <c r="J179" i="54" s="1"/>
  <c r="K179" i="54" s="1"/>
  <c r="N258" i="49"/>
  <c r="O258" i="49" s="1"/>
  <c r="M258" i="25" s="1"/>
  <c r="J258" i="54" s="1"/>
  <c r="K258" i="54" s="1"/>
  <c r="N36" i="49"/>
  <c r="O36" i="49" s="1"/>
  <c r="M36" i="25" s="1"/>
  <c r="J36" i="54" s="1"/>
  <c r="K36" i="54" s="1"/>
  <c r="N283" i="49"/>
  <c r="O283" i="49" s="1"/>
  <c r="M283" i="25" s="1"/>
  <c r="J283" i="54" s="1"/>
  <c r="K283" i="54" s="1"/>
  <c r="N290" i="49"/>
  <c r="O290" i="49" s="1"/>
  <c r="M290" i="25" s="1"/>
  <c r="J290" i="54" s="1"/>
  <c r="K290" i="54" s="1"/>
  <c r="N14" i="49"/>
  <c r="O14" i="49" s="1"/>
  <c r="M14" i="25" s="1"/>
  <c r="J14" i="54" s="1"/>
  <c r="K14" i="54" s="1"/>
  <c r="N137" i="49"/>
  <c r="O137" i="49" s="1"/>
  <c r="M137" i="25" s="1"/>
  <c r="J137" i="54" s="1"/>
  <c r="K137" i="54" s="1"/>
  <c r="N81" i="49"/>
  <c r="O81" i="49" s="1"/>
  <c r="M81" i="25" s="1"/>
  <c r="J81" i="54" s="1"/>
  <c r="K81" i="54" s="1"/>
  <c r="N241" i="49"/>
  <c r="O241" i="49" s="1"/>
  <c r="M241" i="25" s="1"/>
  <c r="J241" i="54" s="1"/>
  <c r="K241" i="54" s="1"/>
  <c r="N42" i="49"/>
  <c r="O42" i="49" s="1"/>
  <c r="M42" i="25" s="1"/>
  <c r="J42" i="54" s="1"/>
  <c r="K42" i="54" s="1"/>
  <c r="N262" i="49"/>
  <c r="O262" i="49" s="1"/>
  <c r="M262" i="25" s="1"/>
  <c r="J262" i="54" s="1"/>
  <c r="K262" i="54" s="1"/>
  <c r="N239" i="49"/>
  <c r="O239" i="49" s="1"/>
  <c r="M239" i="25" s="1"/>
  <c r="J239" i="54" s="1"/>
  <c r="K239" i="54" s="1"/>
  <c r="N197" i="49"/>
  <c r="O197" i="49" s="1"/>
  <c r="M197" i="25" s="1"/>
  <c r="J197" i="54" s="1"/>
  <c r="K197" i="54" s="1"/>
  <c r="N296" i="49"/>
  <c r="O296" i="49" s="1"/>
  <c r="M296" i="25" s="1"/>
  <c r="J296" i="54" s="1"/>
  <c r="K296" i="54" s="1"/>
  <c r="N66" i="49"/>
  <c r="O66" i="49" s="1"/>
  <c r="M66" i="25" s="1"/>
  <c r="J66" i="54" s="1"/>
  <c r="K66" i="54" s="1"/>
  <c r="N102" i="49"/>
  <c r="O102" i="49" s="1"/>
  <c r="M102" i="25" s="1"/>
  <c r="J102" i="54" s="1"/>
  <c r="K102" i="54" s="1"/>
  <c r="N85" i="49"/>
  <c r="O85" i="49" s="1"/>
  <c r="M85" i="25" s="1"/>
  <c r="J85" i="54" s="1"/>
  <c r="K85" i="54" s="1"/>
  <c r="N43" i="49"/>
  <c r="O43" i="49" s="1"/>
  <c r="M43" i="25" s="1"/>
  <c r="J43" i="54" s="1"/>
  <c r="K43" i="54" s="1"/>
  <c r="N222" i="49"/>
  <c r="O222" i="49" s="1"/>
  <c r="M222" i="25" s="1"/>
  <c r="J222" i="54" s="1"/>
  <c r="K222" i="54" s="1"/>
  <c r="N285" i="49"/>
  <c r="O285" i="49" s="1"/>
  <c r="M285" i="25" s="1"/>
  <c r="J285" i="54" s="1"/>
  <c r="K285" i="54" s="1"/>
  <c r="N252" i="49"/>
  <c r="O252" i="49" s="1"/>
  <c r="M252" i="25" s="1"/>
  <c r="J252" i="54" s="1"/>
  <c r="K252" i="54" s="1"/>
  <c r="N260" i="49"/>
  <c r="O260" i="49" s="1"/>
  <c r="M260" i="25" s="1"/>
  <c r="J260" i="54" s="1"/>
  <c r="K260" i="54" s="1"/>
  <c r="N6" i="49"/>
  <c r="O6" i="49" s="1"/>
  <c r="N234" i="49"/>
  <c r="O234" i="49" s="1"/>
  <c r="M234" i="25" s="1"/>
  <c r="J234" i="54" s="1"/>
  <c r="K234" i="54" s="1"/>
  <c r="N209" i="49"/>
  <c r="O209" i="49" s="1"/>
  <c r="M209" i="25" s="1"/>
  <c r="J209" i="54" s="1"/>
  <c r="K209" i="54" s="1"/>
  <c r="N29" i="49"/>
  <c r="O29" i="49" s="1"/>
  <c r="M29" i="25" s="1"/>
  <c r="J29" i="54" s="1"/>
  <c r="K29" i="54" s="1"/>
  <c r="N312" i="49"/>
  <c r="O312" i="49" s="1"/>
  <c r="M312" i="25" s="1"/>
  <c r="J312" i="54" s="1"/>
  <c r="K312" i="54" s="1"/>
  <c r="N264" i="49"/>
  <c r="O264" i="49" s="1"/>
  <c r="M264" i="25" s="1"/>
  <c r="J264" i="54" s="1"/>
  <c r="K264" i="54" s="1"/>
  <c r="N84" i="49"/>
  <c r="O84" i="49" s="1"/>
  <c r="M84" i="25" s="1"/>
  <c r="J84" i="54" s="1"/>
  <c r="K84" i="54" s="1"/>
  <c r="N178" i="49"/>
  <c r="O178" i="49" s="1"/>
  <c r="M178" i="25" s="1"/>
  <c r="J178" i="54" s="1"/>
  <c r="K178" i="54" s="1"/>
  <c r="N195" i="49"/>
  <c r="O195" i="49" s="1"/>
  <c r="M195" i="25" s="1"/>
  <c r="J195" i="54" s="1"/>
  <c r="K195" i="54" s="1"/>
  <c r="N293" i="49"/>
  <c r="O293" i="49" s="1"/>
  <c r="M293" i="25" s="1"/>
  <c r="J293" i="54" s="1"/>
  <c r="K293" i="54" s="1"/>
  <c r="N100" i="49"/>
  <c r="O100" i="49" s="1"/>
  <c r="M100" i="25" s="1"/>
  <c r="J100" i="54" s="1"/>
  <c r="K100" i="54" s="1"/>
  <c r="N60" i="49"/>
  <c r="O60" i="49" s="1"/>
  <c r="M60" i="25" s="1"/>
  <c r="J60" i="54" s="1"/>
  <c r="K60" i="54" s="1"/>
  <c r="N138" i="49"/>
  <c r="O138" i="49" s="1"/>
  <c r="M138" i="25" s="1"/>
  <c r="J138" i="54" s="1"/>
  <c r="K138" i="54" s="1"/>
  <c r="N291" i="49"/>
  <c r="O291" i="49" s="1"/>
  <c r="M291" i="25" s="1"/>
  <c r="J291" i="54" s="1"/>
  <c r="K291" i="54" s="1"/>
  <c r="N39" i="49"/>
  <c r="O39" i="49" s="1"/>
  <c r="M39" i="25" s="1"/>
  <c r="J39" i="54" s="1"/>
  <c r="K39" i="54" s="1"/>
  <c r="N190" i="49"/>
  <c r="O190" i="49" s="1"/>
  <c r="M190" i="25" s="1"/>
  <c r="J190" i="54" s="1"/>
  <c r="K190" i="54" s="1"/>
  <c r="N203" i="49"/>
  <c r="O203" i="49" s="1"/>
  <c r="M203" i="25" s="1"/>
  <c r="J203" i="54" s="1"/>
  <c r="K203" i="54" s="1"/>
  <c r="N146" i="49"/>
  <c r="O146" i="49" s="1"/>
  <c r="M146" i="25" s="1"/>
  <c r="J146" i="54" s="1"/>
  <c r="K146" i="54" s="1"/>
  <c r="N27" i="49"/>
  <c r="O27" i="49" s="1"/>
  <c r="M27" i="25" s="1"/>
  <c r="J27" i="54" s="1"/>
  <c r="K27" i="54" s="1"/>
  <c r="N58" i="49"/>
  <c r="O58" i="49" s="1"/>
  <c r="M58" i="25" s="1"/>
  <c r="J58" i="54" s="1"/>
  <c r="K58" i="54" s="1"/>
  <c r="N127" i="49"/>
  <c r="O127" i="49" s="1"/>
  <c r="M127" i="25" s="1"/>
  <c r="J127" i="54" s="1"/>
  <c r="K127" i="54" s="1"/>
  <c r="N168" i="49"/>
  <c r="O168" i="49" s="1"/>
  <c r="M168" i="25" s="1"/>
  <c r="J168" i="54" s="1"/>
  <c r="K168" i="54" s="1"/>
  <c r="N250" i="49"/>
  <c r="O250" i="49" s="1"/>
  <c r="M250" i="25" s="1"/>
  <c r="J250" i="54" s="1"/>
  <c r="K250" i="54" s="1"/>
  <c r="N300" i="49"/>
  <c r="O300" i="49" s="1"/>
  <c r="M300" i="25" s="1"/>
  <c r="J300" i="54" s="1"/>
  <c r="K300" i="54" s="1"/>
  <c r="N155" i="49"/>
  <c r="O155" i="49" s="1"/>
  <c r="M155" i="25" s="1"/>
  <c r="J155" i="54" s="1"/>
  <c r="K155" i="54" s="1"/>
  <c r="N271" i="49"/>
  <c r="O271" i="49" s="1"/>
  <c r="M271" i="25" s="1"/>
  <c r="J271" i="54" s="1"/>
  <c r="K271" i="54" s="1"/>
  <c r="N37" i="49"/>
  <c r="O37" i="49" s="1"/>
  <c r="M37" i="25" s="1"/>
  <c r="J37" i="54" s="1"/>
  <c r="K37" i="54" s="1"/>
  <c r="N106" i="49"/>
  <c r="O106" i="49" s="1"/>
  <c r="M106" i="25" s="1"/>
  <c r="J106" i="54" s="1"/>
  <c r="K106" i="54" s="1"/>
  <c r="N226" i="49"/>
  <c r="O226" i="49" s="1"/>
  <c r="M226" i="25" s="1"/>
  <c r="J226" i="54" s="1"/>
  <c r="K226" i="54" s="1"/>
  <c r="N32" i="49"/>
  <c r="O32" i="49" s="1"/>
  <c r="M32" i="25" s="1"/>
  <c r="J32" i="54" s="1"/>
  <c r="K32" i="54" s="1"/>
  <c r="N180" i="49"/>
  <c r="O180" i="49" s="1"/>
  <c r="M180" i="25" s="1"/>
  <c r="J180" i="54" s="1"/>
  <c r="K180" i="54" s="1"/>
  <c r="N23" i="49"/>
  <c r="O23" i="49" s="1"/>
  <c r="M23" i="25" s="1"/>
  <c r="J23" i="54" s="1"/>
  <c r="K23" i="54" s="1"/>
  <c r="N214" i="49"/>
  <c r="O214" i="49" s="1"/>
  <c r="M214" i="25" s="1"/>
  <c r="J214" i="54" s="1"/>
  <c r="K214" i="54" s="1"/>
  <c r="N139" i="49"/>
  <c r="O139" i="49" s="1"/>
  <c r="M139" i="25" s="1"/>
  <c r="J139" i="54" s="1"/>
  <c r="K139" i="54" s="1"/>
  <c r="N9" i="49"/>
  <c r="O9" i="49" s="1"/>
  <c r="M9" i="25" s="1"/>
  <c r="J9" i="54" s="1"/>
  <c r="K9" i="54" s="1"/>
  <c r="N12" i="49"/>
  <c r="O12" i="49" s="1"/>
  <c r="M12" i="25" s="1"/>
  <c r="J12" i="54" s="1"/>
  <c r="K12" i="54" s="1"/>
  <c r="N175" i="49"/>
  <c r="O175" i="49" s="1"/>
  <c r="M175" i="25" s="1"/>
  <c r="J175" i="54" s="1"/>
  <c r="K175" i="54" s="1"/>
  <c r="N74" i="49"/>
  <c r="O74" i="49" s="1"/>
  <c r="M74" i="25" s="1"/>
  <c r="J74" i="54" s="1"/>
  <c r="K74" i="54" s="1"/>
  <c r="N133" i="49"/>
  <c r="O133" i="49" s="1"/>
  <c r="M133" i="25" s="1"/>
  <c r="J133" i="54" s="1"/>
  <c r="K133" i="54" s="1"/>
  <c r="N245" i="49"/>
  <c r="O245" i="49" s="1"/>
  <c r="M245" i="25" s="1"/>
  <c r="J245" i="54" s="1"/>
  <c r="K245" i="54" s="1"/>
  <c r="N160" i="49"/>
  <c r="O160" i="49" s="1"/>
  <c r="M160" i="25" s="1"/>
  <c r="J160" i="54" s="1"/>
  <c r="K160" i="54" s="1"/>
  <c r="N114" i="49"/>
  <c r="O114" i="49" s="1"/>
  <c r="M114" i="25" s="1"/>
  <c r="J114" i="54" s="1"/>
  <c r="K114" i="54" s="1"/>
  <c r="N166" i="49"/>
  <c r="O166" i="49" s="1"/>
  <c r="M166" i="25" s="1"/>
  <c r="J166" i="54" s="1"/>
  <c r="K166" i="54" s="1"/>
  <c r="N89" i="49"/>
  <c r="O89" i="49" s="1"/>
  <c r="M89" i="25" s="1"/>
  <c r="J89" i="54" s="1"/>
  <c r="K89" i="54" s="1"/>
  <c r="N109" i="49"/>
  <c r="O109" i="49" s="1"/>
  <c r="M109" i="25" s="1"/>
  <c r="J109" i="54" s="1"/>
  <c r="K109" i="54" s="1"/>
  <c r="N80" i="49"/>
  <c r="O80" i="49" s="1"/>
  <c r="M80" i="25" s="1"/>
  <c r="J80" i="54" s="1"/>
  <c r="K80" i="54" s="1"/>
  <c r="N15" i="49"/>
  <c r="O15" i="49" s="1"/>
  <c r="M15" i="25" s="1"/>
  <c r="J15" i="54" s="1"/>
  <c r="K15" i="54" s="1"/>
  <c r="N30" i="49"/>
  <c r="O30" i="49" s="1"/>
  <c r="M30" i="25" s="1"/>
  <c r="J30" i="54" s="1"/>
  <c r="K30" i="54" s="1"/>
  <c r="N244" i="49"/>
  <c r="O244" i="49" s="1"/>
  <c r="M244" i="25" s="1"/>
  <c r="J244" i="54" s="1"/>
  <c r="K244" i="54" s="1"/>
  <c r="N184" i="49"/>
  <c r="O184" i="49" s="1"/>
  <c r="M184" i="25" s="1"/>
  <c r="J184" i="54" s="1"/>
  <c r="K184" i="54" s="1"/>
  <c r="N131" i="49"/>
  <c r="O131" i="49" s="1"/>
  <c r="M131" i="25" s="1"/>
  <c r="J131" i="54" s="1"/>
  <c r="K131" i="54" s="1"/>
  <c r="N233" i="49"/>
  <c r="O233" i="49" s="1"/>
  <c r="M233" i="25" s="1"/>
  <c r="J233" i="54" s="1"/>
  <c r="K233" i="54" s="1"/>
  <c r="N183" i="49"/>
  <c r="O183" i="49" s="1"/>
  <c r="M183" i="25" s="1"/>
  <c r="J183" i="54" s="1"/>
  <c r="K183" i="54" s="1"/>
  <c r="N98" i="49"/>
  <c r="O98" i="49" s="1"/>
  <c r="M98" i="25" s="1"/>
  <c r="J98" i="54" s="1"/>
  <c r="K98" i="54" s="1"/>
  <c r="N275" i="49"/>
  <c r="O275" i="49" s="1"/>
  <c r="M275" i="25" s="1"/>
  <c r="J275" i="54" s="1"/>
  <c r="K275" i="54" s="1"/>
  <c r="N116" i="49"/>
  <c r="O116" i="49" s="1"/>
  <c r="M116" i="25" s="1"/>
  <c r="J116" i="54" s="1"/>
  <c r="K116" i="54" s="1"/>
  <c r="N157" i="49"/>
  <c r="O157" i="49" s="1"/>
  <c r="M157" i="25" s="1"/>
  <c r="J157" i="54" s="1"/>
  <c r="K157" i="54" s="1"/>
  <c r="N135" i="49"/>
  <c r="O135" i="49" s="1"/>
  <c r="M135" i="25" s="1"/>
  <c r="J135" i="54" s="1"/>
  <c r="K135" i="54" s="1"/>
  <c r="N24" i="49"/>
  <c r="O24" i="49" s="1"/>
  <c r="M24" i="25" s="1"/>
  <c r="J24" i="54" s="1"/>
  <c r="K24" i="54" s="1"/>
  <c r="N67" i="49"/>
  <c r="O67" i="49" s="1"/>
  <c r="M67" i="25" s="1"/>
  <c r="J67" i="54" s="1"/>
  <c r="K67" i="54" s="1"/>
  <c r="N53" i="49"/>
  <c r="O53" i="49" s="1"/>
  <c r="M53" i="25" s="1"/>
  <c r="J53" i="54" s="1"/>
  <c r="K53" i="54" s="1"/>
  <c r="N124" i="49"/>
  <c r="O124" i="49" s="1"/>
  <c r="M124" i="25" s="1"/>
  <c r="J124" i="54" s="1"/>
  <c r="K124" i="54" s="1"/>
  <c r="N227" i="49"/>
  <c r="O227" i="49" s="1"/>
  <c r="M227" i="25" s="1"/>
  <c r="J227" i="54" s="1"/>
  <c r="K227" i="54" s="1"/>
  <c r="N144" i="49"/>
  <c r="O144" i="49" s="1"/>
  <c r="M144" i="25" s="1"/>
  <c r="J144" i="54" s="1"/>
  <c r="K144" i="54" s="1"/>
  <c r="N49" i="49"/>
  <c r="O49" i="49" s="1"/>
  <c r="M49" i="25" s="1"/>
  <c r="J49" i="54" s="1"/>
  <c r="K49" i="54" s="1"/>
  <c r="N257" i="49"/>
  <c r="O257" i="49" s="1"/>
  <c r="M257" i="25" s="1"/>
  <c r="J257" i="54" s="1"/>
  <c r="K257" i="54" s="1"/>
  <c r="N83" i="49"/>
  <c r="O83" i="49" s="1"/>
  <c r="M83" i="25" s="1"/>
  <c r="J83" i="54" s="1"/>
  <c r="K83" i="54" s="1"/>
  <c r="N215" i="49"/>
  <c r="O215" i="49" s="1"/>
  <c r="M215" i="25" s="1"/>
  <c r="J215" i="54" s="1"/>
  <c r="K215" i="54" s="1"/>
  <c r="N161" i="49"/>
  <c r="O161" i="49" s="1"/>
  <c r="M161" i="25" s="1"/>
  <c r="J161" i="54" s="1"/>
  <c r="K161" i="54" s="1"/>
  <c r="N278" i="49"/>
  <c r="O278" i="49" s="1"/>
  <c r="M278" i="25" s="1"/>
  <c r="J278" i="54" s="1"/>
  <c r="K278" i="54" s="1"/>
  <c r="N292" i="49"/>
  <c r="O292" i="49" s="1"/>
  <c r="M292" i="25" s="1"/>
  <c r="J292" i="54" s="1"/>
  <c r="K292" i="54" s="1"/>
  <c r="N46" i="49"/>
  <c r="O46" i="49" s="1"/>
  <c r="M46" i="25" s="1"/>
  <c r="J46" i="54" s="1"/>
  <c r="K46" i="54" s="1"/>
  <c r="N314" i="49"/>
  <c r="O314" i="49" s="1"/>
  <c r="M314" i="25" s="1"/>
  <c r="J314" i="54" s="1"/>
  <c r="K314" i="54" s="1"/>
  <c r="N38" i="49"/>
  <c r="O38" i="49" s="1"/>
  <c r="M38" i="25" s="1"/>
  <c r="J38" i="54" s="1"/>
  <c r="K38" i="54" s="1"/>
  <c r="N240" i="49"/>
  <c r="O240" i="49" s="1"/>
  <c r="M240" i="25" s="1"/>
  <c r="J240" i="54" s="1"/>
  <c r="K240" i="54" s="1"/>
  <c r="N265" i="49"/>
  <c r="O265" i="49" s="1"/>
  <c r="M265" i="25" s="1"/>
  <c r="J265" i="54" s="1"/>
  <c r="K265" i="54" s="1"/>
  <c r="N82" i="49"/>
  <c r="O82" i="49" s="1"/>
  <c r="M82" i="25" s="1"/>
  <c r="J82" i="54" s="1"/>
  <c r="K82" i="54" s="1"/>
  <c r="N118" i="49"/>
  <c r="O118" i="49" s="1"/>
  <c r="M118" i="25" s="1"/>
  <c r="J118" i="54" s="1"/>
  <c r="K118" i="54" s="1"/>
  <c r="N213" i="49"/>
  <c r="O213" i="49" s="1"/>
  <c r="M213" i="25" s="1"/>
  <c r="J213" i="54" s="1"/>
  <c r="K213" i="54" s="1"/>
  <c r="N47" i="49"/>
  <c r="O47" i="49" s="1"/>
  <c r="M47" i="25" s="1"/>
  <c r="J47" i="54" s="1"/>
  <c r="K47" i="54" s="1"/>
  <c r="N297" i="49"/>
  <c r="O297" i="49" s="1"/>
  <c r="M297" i="25" s="1"/>
  <c r="J297" i="54" s="1"/>
  <c r="K297" i="54" s="1"/>
  <c r="N311" i="49"/>
  <c r="O311" i="49" s="1"/>
  <c r="M311" i="25" s="1"/>
  <c r="J311" i="54" s="1"/>
  <c r="K311" i="54" s="1"/>
  <c r="N31" i="49"/>
  <c r="O31" i="49" s="1"/>
  <c r="M31" i="25" s="1"/>
  <c r="J31" i="54" s="1"/>
  <c r="K31" i="54" s="1"/>
  <c r="N52" i="49"/>
  <c r="O52" i="49" s="1"/>
  <c r="M52" i="25" s="1"/>
  <c r="J52" i="54" s="1"/>
  <c r="K52" i="54" s="1"/>
  <c r="N307" i="49"/>
  <c r="O307" i="49" s="1"/>
  <c r="M307" i="25" s="1"/>
  <c r="J307" i="54" s="1"/>
  <c r="K307" i="54" s="1"/>
  <c r="N35" i="49"/>
  <c r="O35" i="49" s="1"/>
  <c r="M35" i="25" s="1"/>
  <c r="J35" i="54" s="1"/>
  <c r="K35" i="54" s="1"/>
  <c r="N217" i="49"/>
  <c r="O217" i="49" s="1"/>
  <c r="M217" i="25" s="1"/>
  <c r="J217" i="54" s="1"/>
  <c r="K217" i="54" s="1"/>
  <c r="N204" i="49"/>
  <c r="O204" i="49" s="1"/>
  <c r="M204" i="25" s="1"/>
  <c r="J204" i="54" s="1"/>
  <c r="K204" i="54" s="1"/>
  <c r="N69" i="49"/>
  <c r="O69" i="49" s="1"/>
  <c r="M69" i="25" s="1"/>
  <c r="J69" i="54" s="1"/>
  <c r="K69" i="54" s="1"/>
  <c r="N99" i="49"/>
  <c r="O99" i="49" s="1"/>
  <c r="M99" i="25" s="1"/>
  <c r="J99" i="54" s="1"/>
  <c r="K99" i="54" s="1"/>
  <c r="N62" i="49"/>
  <c r="O62" i="49" s="1"/>
  <c r="M62" i="25" s="1"/>
  <c r="J62" i="54" s="1"/>
  <c r="K62" i="54" s="1"/>
  <c r="N21" i="49"/>
  <c r="O21" i="49" s="1"/>
  <c r="M21" i="25" s="1"/>
  <c r="J21" i="54" s="1"/>
  <c r="K21" i="54" s="1"/>
  <c r="N130" i="49"/>
  <c r="O130" i="49" s="1"/>
  <c r="M130" i="25" s="1"/>
  <c r="J130" i="54" s="1"/>
  <c r="K130" i="54" s="1"/>
  <c r="N267" i="49"/>
  <c r="O267" i="49" s="1"/>
  <c r="M267" i="25" s="1"/>
  <c r="J267" i="54" s="1"/>
  <c r="K267" i="54" s="1"/>
  <c r="N208" i="49"/>
  <c r="O208" i="49" s="1"/>
  <c r="M208" i="25" s="1"/>
  <c r="J208" i="54" s="1"/>
  <c r="K208" i="54" s="1"/>
  <c r="N237" i="49"/>
  <c r="O237" i="49" s="1"/>
  <c r="M237" i="25" s="1"/>
  <c r="J237" i="54" s="1"/>
  <c r="K237" i="54" s="1"/>
  <c r="N71" i="49"/>
  <c r="O71" i="49" s="1"/>
  <c r="M71" i="25" s="1"/>
  <c r="J71" i="54" s="1"/>
  <c r="K71" i="54" s="1"/>
  <c r="N105" i="49"/>
  <c r="O105" i="49" s="1"/>
  <c r="M105" i="25" s="1"/>
  <c r="J105" i="54" s="1"/>
  <c r="K105" i="54" s="1"/>
  <c r="N212" i="49"/>
  <c r="N189" i="49"/>
  <c r="O189" i="49" s="1"/>
  <c r="M189" i="25" s="1"/>
  <c r="J189" i="54" s="1"/>
  <c r="K189" i="54" s="1"/>
  <c r="N56" i="49"/>
  <c r="O56" i="49" s="1"/>
  <c r="M56" i="25" s="1"/>
  <c r="J56" i="54" s="1"/>
  <c r="K56" i="54" s="1"/>
  <c r="N34" i="49"/>
  <c r="O34" i="49" s="1"/>
  <c r="M34" i="25" s="1"/>
  <c r="J34" i="54" s="1"/>
  <c r="K34" i="54" s="1"/>
  <c r="N40" i="49"/>
  <c r="O40" i="49" s="1"/>
  <c r="M40" i="25" s="1"/>
  <c r="J40" i="54" s="1"/>
  <c r="K40" i="54" s="1"/>
  <c r="N277" i="49"/>
  <c r="O277" i="49" s="1"/>
  <c r="M277" i="25" s="1"/>
  <c r="J277" i="54" s="1"/>
  <c r="K277" i="54" s="1"/>
  <c r="N72" i="49"/>
  <c r="O72" i="49" s="1"/>
  <c r="M72" i="25" s="1"/>
  <c r="J72" i="54" s="1"/>
  <c r="K72" i="54" s="1"/>
  <c r="N177" i="49"/>
  <c r="O177" i="49" s="1"/>
  <c r="M177" i="25" s="1"/>
  <c r="J177" i="54" s="1"/>
  <c r="K177" i="54" s="1"/>
  <c r="N142" i="49"/>
  <c r="O142" i="49" s="1"/>
  <c r="M142" i="25" s="1"/>
  <c r="J142" i="54" s="1"/>
  <c r="K142" i="54" s="1"/>
  <c r="N129" i="49"/>
  <c r="O129" i="49" s="1"/>
  <c r="M129" i="25" s="1"/>
  <c r="J129" i="54" s="1"/>
  <c r="K129" i="54" s="1"/>
  <c r="N193" i="49"/>
  <c r="O193" i="49" s="1"/>
  <c r="M193" i="25" s="1"/>
  <c r="J193" i="54" s="1"/>
  <c r="K193" i="54" s="1"/>
  <c r="N238" i="49"/>
  <c r="O238" i="49" s="1"/>
  <c r="M238" i="25" s="1"/>
  <c r="J238" i="54" s="1"/>
  <c r="K238" i="54" s="1"/>
  <c r="N220" i="49"/>
  <c r="O220" i="49" s="1"/>
  <c r="M220" i="25" s="1"/>
  <c r="J220" i="54" s="1"/>
  <c r="K220" i="54" s="1"/>
  <c r="N41" i="49"/>
  <c r="O41" i="49" s="1"/>
  <c r="M41" i="25" s="1"/>
  <c r="J41" i="54" s="1"/>
  <c r="K41" i="54" s="1"/>
  <c r="N198" i="49"/>
  <c r="O198" i="49" s="1"/>
  <c r="M198" i="25" s="1"/>
  <c r="J198" i="54" s="1"/>
  <c r="K198" i="54" s="1"/>
  <c r="N242" i="49"/>
  <c r="O242" i="49" s="1"/>
  <c r="M242" i="25" s="1"/>
  <c r="J242" i="54" s="1"/>
  <c r="K242" i="54" s="1"/>
  <c r="N218" i="49"/>
  <c r="O218" i="49" s="1"/>
  <c r="M218" i="25" s="1"/>
  <c r="J218" i="54" s="1"/>
  <c r="K218" i="54" s="1"/>
  <c r="N55" i="49"/>
  <c r="O55" i="49" s="1"/>
  <c r="M55" i="25" s="1"/>
  <c r="J55" i="54" s="1"/>
  <c r="K55" i="54" s="1"/>
  <c r="N191" i="49"/>
  <c r="O191" i="49" s="1"/>
  <c r="M191" i="25" s="1"/>
  <c r="J191" i="54" s="1"/>
  <c r="K191" i="54" s="1"/>
  <c r="N279" i="49"/>
  <c r="O279" i="49" s="1"/>
  <c r="M279" i="25" s="1"/>
  <c r="J279" i="54" s="1"/>
  <c r="K279" i="54" s="1"/>
  <c r="N73" i="49"/>
  <c r="O73" i="49" s="1"/>
  <c r="M73" i="25" s="1"/>
  <c r="J73" i="54" s="1"/>
  <c r="K73" i="54" s="1"/>
  <c r="N251" i="49"/>
  <c r="O251" i="49" s="1"/>
  <c r="M251" i="25" s="1"/>
  <c r="J251" i="54" s="1"/>
  <c r="K251" i="54" s="1"/>
  <c r="N236" i="49"/>
  <c r="O236" i="49" s="1"/>
  <c r="M236" i="25" s="1"/>
  <c r="J236" i="54" s="1"/>
  <c r="K236" i="54" s="1"/>
  <c r="N107" i="49"/>
  <c r="O107" i="49" s="1"/>
  <c r="M107" i="25" s="1"/>
  <c r="J107" i="54" s="1"/>
  <c r="K107" i="54" s="1"/>
  <c r="N141" i="49"/>
  <c r="O141" i="49" s="1"/>
  <c r="M141" i="25" s="1"/>
  <c r="J141" i="54" s="1"/>
  <c r="K141" i="54" s="1"/>
  <c r="N64" i="49"/>
  <c r="O64" i="49" s="1"/>
  <c r="M64" i="25" s="1"/>
  <c r="J64" i="54" s="1"/>
  <c r="K64" i="54" s="1"/>
  <c r="N301" i="49"/>
  <c r="O301" i="49" s="1"/>
  <c r="M301" i="25" s="1"/>
  <c r="J301" i="54" s="1"/>
  <c r="K301" i="54" s="1"/>
  <c r="N170" i="49"/>
  <c r="O170" i="49" s="1"/>
  <c r="M170" i="25" s="1"/>
  <c r="J170" i="54" s="1"/>
  <c r="K170" i="54" s="1"/>
  <c r="N111" i="49"/>
  <c r="O111" i="49" s="1"/>
  <c r="M111" i="25" s="1"/>
  <c r="J111" i="54" s="1"/>
  <c r="K111" i="54" s="1"/>
  <c r="N225" i="49"/>
  <c r="O225" i="49" s="1"/>
  <c r="M225" i="25" s="1"/>
  <c r="J225" i="54" s="1"/>
  <c r="K225" i="54" s="1"/>
  <c r="N243" i="49"/>
  <c r="O243" i="49" s="1"/>
  <c r="M243" i="25" s="1"/>
  <c r="J243" i="54" s="1"/>
  <c r="K243" i="54" s="1"/>
  <c r="N163" i="49"/>
  <c r="O163" i="49" s="1"/>
  <c r="M163" i="25" s="1"/>
  <c r="J163" i="54" s="1"/>
  <c r="K163" i="54" s="1"/>
  <c r="N202" i="49"/>
  <c r="O202" i="49" s="1"/>
  <c r="M202" i="25" s="1"/>
  <c r="J202" i="54" s="1"/>
  <c r="K202" i="54" s="1"/>
  <c r="N192" i="49"/>
  <c r="O192" i="49" s="1"/>
  <c r="M192" i="25" s="1"/>
  <c r="J192" i="54" s="1"/>
  <c r="K192" i="54" s="1"/>
  <c r="N272" i="49"/>
  <c r="O272" i="49" s="1"/>
  <c r="M272" i="25" s="1"/>
  <c r="J272" i="54" s="1"/>
  <c r="K272" i="54" s="1"/>
  <c r="N92" i="49"/>
  <c r="O92" i="49" s="1"/>
  <c r="M92" i="25" s="1"/>
  <c r="J92" i="54" s="1"/>
  <c r="K92" i="54" s="1"/>
  <c r="N57" i="49"/>
  <c r="O57" i="49" s="1"/>
  <c r="M57" i="25" s="1"/>
  <c r="J57" i="54" s="1"/>
  <c r="K57" i="54" s="1"/>
  <c r="N134" i="49"/>
  <c r="O134" i="49" s="1"/>
  <c r="M134" i="25" s="1"/>
  <c r="J134" i="54" s="1"/>
  <c r="K134" i="54" s="1"/>
  <c r="N256" i="49"/>
  <c r="O256" i="49" s="1"/>
  <c r="M256" i="25" s="1"/>
  <c r="J256" i="54" s="1"/>
  <c r="K256" i="54" s="1"/>
  <c r="N8" i="49"/>
  <c r="O8" i="49" s="1"/>
  <c r="M8" i="25" s="1"/>
  <c r="J8" i="54" s="1"/>
  <c r="K8" i="54" s="1"/>
  <c r="N113" i="49"/>
  <c r="O113" i="49" s="1"/>
  <c r="M113" i="25" s="1"/>
  <c r="J113" i="54" s="1"/>
  <c r="K113" i="54" s="1"/>
  <c r="N120" i="49"/>
  <c r="O120" i="49" s="1"/>
  <c r="M120" i="25" s="1"/>
  <c r="J120" i="54" s="1"/>
  <c r="K120" i="54" s="1"/>
  <c r="N128" i="49"/>
  <c r="O128" i="49" s="1"/>
  <c r="M128" i="25" s="1"/>
  <c r="J128" i="54" s="1"/>
  <c r="K128" i="54" s="1"/>
  <c r="N281" i="49"/>
  <c r="O281" i="49" s="1"/>
  <c r="M281" i="25" s="1"/>
  <c r="J281" i="54" s="1"/>
  <c r="K281" i="54" s="1"/>
  <c r="N121" i="49"/>
  <c r="O121" i="49" s="1"/>
  <c r="M121" i="25" s="1"/>
  <c r="J121" i="54" s="1"/>
  <c r="K121" i="54" s="1"/>
  <c r="N147" i="49"/>
  <c r="O147" i="49" s="1"/>
  <c r="M147" i="25" s="1"/>
  <c r="J147" i="54" s="1"/>
  <c r="K147" i="54" s="1"/>
  <c r="N78" i="49"/>
  <c r="O78" i="49" s="1"/>
  <c r="M78" i="25" s="1"/>
  <c r="J78" i="54" s="1"/>
  <c r="K78" i="54" s="1"/>
  <c r="N205" i="49"/>
  <c r="O205" i="49" s="1"/>
  <c r="M205" i="25" s="1"/>
  <c r="J205" i="54" s="1"/>
  <c r="K205" i="54" s="1"/>
  <c r="N299" i="49"/>
  <c r="O299" i="49" s="1"/>
  <c r="M299" i="25" s="1"/>
  <c r="J299" i="54" s="1"/>
  <c r="K299" i="54" s="1"/>
  <c r="N235" i="49"/>
  <c r="O235" i="49" s="1"/>
  <c r="M235" i="25" s="1"/>
  <c r="J235" i="54" s="1"/>
  <c r="K235" i="54" s="1"/>
  <c r="N284" i="49"/>
  <c r="O284" i="49" s="1"/>
  <c r="M284" i="25" s="1"/>
  <c r="J284" i="54" s="1"/>
  <c r="K284" i="54" s="1"/>
  <c r="N165" i="49"/>
  <c r="O165" i="49" s="1"/>
  <c r="M165" i="25" s="1"/>
  <c r="J165" i="54" s="1"/>
  <c r="K165" i="54" s="1"/>
  <c r="N263" i="49"/>
  <c r="O263" i="49" s="1"/>
  <c r="M263" i="25" s="1"/>
  <c r="J263" i="54" s="1"/>
  <c r="K263" i="54" s="1"/>
  <c r="N211" i="49"/>
  <c r="O211" i="49" s="1"/>
  <c r="M211" i="25" s="1"/>
  <c r="J211" i="54" s="1"/>
  <c r="K211" i="54" s="1"/>
  <c r="N229" i="49"/>
  <c r="O229" i="49" s="1"/>
  <c r="M229" i="25" s="1"/>
  <c r="J229" i="54" s="1"/>
  <c r="K229" i="54" s="1"/>
  <c r="N18" i="49"/>
  <c r="O18" i="49" s="1"/>
  <c r="M18" i="25" s="1"/>
  <c r="J18" i="54" s="1"/>
  <c r="K18" i="54" s="1"/>
  <c r="N274" i="49"/>
  <c r="O274" i="49" s="1"/>
  <c r="M274" i="25" s="1"/>
  <c r="J274" i="54" s="1"/>
  <c r="K274" i="54" s="1"/>
  <c r="N122" i="49"/>
  <c r="O122" i="49" s="1"/>
  <c r="M122" i="25" s="1"/>
  <c r="J122" i="54" s="1"/>
  <c r="K122" i="54" s="1"/>
  <c r="N86" i="49"/>
  <c r="O86" i="49" s="1"/>
  <c r="M86" i="25" s="1"/>
  <c r="J86" i="54" s="1"/>
  <c r="K86" i="54" s="1"/>
  <c r="N261" i="49"/>
  <c r="O261" i="49" s="1"/>
  <c r="M261" i="25" s="1"/>
  <c r="J261" i="54" s="1"/>
  <c r="K261" i="54" s="1"/>
  <c r="N199" i="49"/>
  <c r="O199" i="49" s="1"/>
  <c r="M199" i="25" s="1"/>
  <c r="J199" i="54" s="1"/>
  <c r="K199" i="54" s="1"/>
  <c r="N171" i="49"/>
  <c r="O171" i="49" s="1"/>
  <c r="M171" i="25" s="1"/>
  <c r="J171" i="54" s="1"/>
  <c r="K171" i="54" s="1"/>
  <c r="N143" i="49"/>
  <c r="O143" i="49" s="1"/>
  <c r="M143" i="25" s="1"/>
  <c r="J143" i="54" s="1"/>
  <c r="K143" i="54" s="1"/>
  <c r="N298" i="49"/>
  <c r="O298" i="49" s="1"/>
  <c r="M298" i="25" s="1"/>
  <c r="J298" i="54" s="1"/>
  <c r="N19" i="49"/>
  <c r="O19" i="49" s="1"/>
  <c r="M19" i="25" s="1"/>
  <c r="J19" i="54" s="1"/>
  <c r="K19" i="54" s="1"/>
  <c r="N79" i="49"/>
  <c r="N294" i="49"/>
  <c r="O294" i="49" s="1"/>
  <c r="M294" i="25" s="1"/>
  <c r="J294" i="54" s="1"/>
  <c r="K294" i="54" s="1"/>
  <c r="N303" i="49"/>
  <c r="O303" i="49" s="1"/>
  <c r="M303" i="25" s="1"/>
  <c r="J303" i="54" s="1"/>
  <c r="K303" i="54" s="1"/>
  <c r="N59" i="49"/>
  <c r="O59" i="49" s="1"/>
  <c r="M59" i="25" s="1"/>
  <c r="J59" i="54" s="1"/>
  <c r="K59" i="54" s="1"/>
  <c r="N186" i="49"/>
  <c r="O186" i="49" s="1"/>
  <c r="M186" i="25" s="1"/>
  <c r="J186" i="54" s="1"/>
  <c r="K186" i="54" s="1"/>
  <c r="N88" i="49"/>
  <c r="O88" i="49" s="1"/>
  <c r="M88" i="25" s="1"/>
  <c r="J88" i="54" s="1"/>
  <c r="K88" i="54" s="1"/>
  <c r="N173" i="49"/>
  <c r="O173" i="49" s="1"/>
  <c r="M173" i="25" s="1"/>
  <c r="J173" i="54" s="1"/>
  <c r="K173" i="54" s="1"/>
  <c r="N221" i="49"/>
  <c r="O221" i="49" s="1"/>
  <c r="M221" i="25" s="1"/>
  <c r="J221" i="54" s="1"/>
  <c r="K221" i="54" s="1"/>
  <c r="N136" i="49"/>
  <c r="O136" i="49" s="1"/>
  <c r="M136" i="25" s="1"/>
  <c r="J136" i="54" s="1"/>
  <c r="K136" i="54" s="1"/>
  <c r="N201" i="49"/>
  <c r="O201" i="49" s="1"/>
  <c r="M201" i="25" s="1"/>
  <c r="J201" i="54" s="1"/>
  <c r="K201" i="54" s="1"/>
  <c r="N117" i="49"/>
  <c r="O117" i="49" s="1"/>
  <c r="M117" i="25" s="1"/>
  <c r="J117" i="54" s="1"/>
  <c r="K117" i="54" s="1"/>
  <c r="N254" i="49"/>
  <c r="O254" i="49" s="1"/>
  <c r="M254" i="25" s="1"/>
  <c r="J254" i="54" s="1"/>
  <c r="K254" i="54" s="1"/>
  <c r="N97" i="49"/>
  <c r="O97" i="49" s="1"/>
  <c r="M97" i="25" s="1"/>
  <c r="J97" i="54" s="1"/>
  <c r="K97" i="54" s="1"/>
  <c r="N302" i="49"/>
  <c r="O302" i="49" s="1"/>
  <c r="M302" i="25" s="1"/>
  <c r="J302" i="54" s="1"/>
  <c r="K302" i="54" s="1"/>
  <c r="N28" i="49"/>
  <c r="O28" i="49" s="1"/>
  <c r="M28" i="25" s="1"/>
  <c r="J28" i="54" s="1"/>
  <c r="K28" i="54" s="1"/>
  <c r="N282" i="49"/>
  <c r="O282" i="49" s="1"/>
  <c r="M282" i="25" s="1"/>
  <c r="J282" i="54" s="1"/>
  <c r="K282" i="54" s="1"/>
  <c r="N11" i="49"/>
  <c r="O11" i="49" s="1"/>
  <c r="M11" i="25" s="1"/>
  <c r="J11" i="54" s="1"/>
  <c r="K11" i="54" s="1"/>
  <c r="N17" i="49"/>
  <c r="O17" i="49" s="1"/>
  <c r="M17" i="25" s="1"/>
  <c r="J17" i="54" s="1"/>
  <c r="K17" i="54" s="1"/>
  <c r="N77" i="49"/>
  <c r="O77" i="49" s="1"/>
  <c r="M77" i="25" s="1"/>
  <c r="J77" i="54" s="1"/>
  <c r="K77" i="54" s="1"/>
  <c r="N176" i="49"/>
  <c r="O176" i="49" s="1"/>
  <c r="M176" i="25" s="1"/>
  <c r="J176" i="54" s="1"/>
  <c r="K176" i="54" s="1"/>
  <c r="N145" i="49"/>
  <c r="O145" i="49" s="1"/>
  <c r="M145" i="25" s="1"/>
  <c r="J145" i="54" s="1"/>
  <c r="K145" i="54" s="1"/>
  <c r="N51" i="49"/>
  <c r="O51" i="49" s="1"/>
  <c r="M51" i="25" s="1"/>
  <c r="J51" i="54" s="1"/>
  <c r="K51" i="54" s="1"/>
  <c r="N13" i="49"/>
  <c r="O13" i="49" s="1"/>
  <c r="M13" i="25" s="1"/>
  <c r="J13" i="54" s="1"/>
  <c r="K13" i="54" s="1"/>
  <c r="G314" i="37"/>
  <c r="L315" i="13"/>
  <c r="C314" i="11"/>
  <c r="K272" i="11"/>
  <c r="Q272" i="11"/>
  <c r="H18" i="37" l="1"/>
  <c r="H10" i="37"/>
  <c r="H14" i="37"/>
  <c r="H6" i="37"/>
  <c r="H17" i="37"/>
  <c r="H21" i="37"/>
  <c r="H25" i="37"/>
  <c r="H29" i="37"/>
  <c r="H160" i="37"/>
  <c r="H170" i="37"/>
  <c r="H210" i="37"/>
  <c r="H73" i="37"/>
  <c r="H77" i="37"/>
  <c r="H173" i="37"/>
  <c r="H186" i="37"/>
  <c r="H189" i="37"/>
  <c r="H202" i="37"/>
  <c r="H205" i="37"/>
  <c r="H75" i="37"/>
  <c r="H82" i="37"/>
  <c r="H165" i="37"/>
  <c r="H181" i="37"/>
  <c r="H197" i="37"/>
  <c r="H158" i="37"/>
  <c r="H183" i="37"/>
  <c r="H199" i="37"/>
  <c r="H249" i="37"/>
  <c r="H214" i="37"/>
  <c r="H219" i="37"/>
  <c r="H221" i="37"/>
  <c r="H226" i="37"/>
  <c r="H234" i="37"/>
  <c r="H248" i="37"/>
  <c r="H252" i="37"/>
  <c r="H257" i="37"/>
  <c r="H268" i="37"/>
  <c r="H273" i="37"/>
  <c r="H284" i="37"/>
  <c r="H289" i="37"/>
  <c r="H291" i="37"/>
  <c r="H293" i="37"/>
  <c r="H295" i="37"/>
  <c r="H297" i="37"/>
  <c r="H299" i="37"/>
  <c r="H301" i="37"/>
  <c r="H303" i="37"/>
  <c r="H305" i="37"/>
  <c r="H307" i="37"/>
  <c r="H309" i="37"/>
  <c r="H311" i="37"/>
  <c r="H313" i="37"/>
  <c r="H217" i="37"/>
  <c r="H230" i="37"/>
  <c r="H237" i="37"/>
  <c r="H239" i="37"/>
  <c r="H260" i="37"/>
  <c r="H222" i="37"/>
  <c r="H227" i="37"/>
  <c r="H229" i="37"/>
  <c r="H233" i="37"/>
  <c r="H244" i="37"/>
  <c r="H253" i="37"/>
  <c r="H265" i="37"/>
  <c r="H276" i="37"/>
  <c r="H281" i="37"/>
  <c r="H288" i="37"/>
  <c r="H277" i="37"/>
  <c r="H241" i="37"/>
  <c r="H312" i="37"/>
  <c r="H304" i="37"/>
  <c r="H296" i="37"/>
  <c r="H278" i="37"/>
  <c r="H247" i="37"/>
  <c r="H225" i="37"/>
  <c r="H191" i="37"/>
  <c r="H129" i="37"/>
  <c r="H235" i="37"/>
  <c r="H279" i="37"/>
  <c r="H246" i="37"/>
  <c r="H212" i="37"/>
  <c r="H168" i="37"/>
  <c r="H144" i="37"/>
  <c r="H266" i="37"/>
  <c r="H243" i="37"/>
  <c r="H137" i="37"/>
  <c r="H206" i="37"/>
  <c r="H174" i="37"/>
  <c r="H155" i="37"/>
  <c r="H139" i="37"/>
  <c r="H123" i="37"/>
  <c r="H107" i="37"/>
  <c r="H91" i="37"/>
  <c r="H69" i="37"/>
  <c r="H61" i="37"/>
  <c r="H53" i="37"/>
  <c r="H45" i="37"/>
  <c r="H37" i="37"/>
  <c r="H26" i="37"/>
  <c r="H120" i="37"/>
  <c r="H104" i="37"/>
  <c r="H81" i="37"/>
  <c r="H198" i="37"/>
  <c r="H151" i="37"/>
  <c r="H135" i="37"/>
  <c r="H119" i="37"/>
  <c r="H103" i="37"/>
  <c r="H87" i="37"/>
  <c r="H195" i="37"/>
  <c r="H166" i="37"/>
  <c r="H148" i="37"/>
  <c r="H132" i="37"/>
  <c r="H116" i="37"/>
  <c r="H100" i="37"/>
  <c r="H83" i="37"/>
  <c r="H56" i="37"/>
  <c r="H40" i="37"/>
  <c r="H24" i="37"/>
  <c r="H251" i="37"/>
  <c r="H200" i="37"/>
  <c r="H80" i="37"/>
  <c r="H161" i="37"/>
  <c r="H59" i="37"/>
  <c r="H43" i="37"/>
  <c r="H27" i="37"/>
  <c r="H72" i="37"/>
  <c r="H12" i="37"/>
  <c r="H286" i="37"/>
  <c r="H272" i="37"/>
  <c r="H238" i="37"/>
  <c r="H310" i="37"/>
  <c r="H302" i="37"/>
  <c r="H294" i="37"/>
  <c r="H271" i="37"/>
  <c r="H242" i="37"/>
  <c r="H216" i="37"/>
  <c r="H178" i="37"/>
  <c r="H283" i="37"/>
  <c r="H172" i="37"/>
  <c r="H270" i="37"/>
  <c r="H245" i="37"/>
  <c r="H211" i="37"/>
  <c r="H164" i="37"/>
  <c r="H287" i="37"/>
  <c r="H262" i="37"/>
  <c r="H240" i="37"/>
  <c r="H136" i="37"/>
  <c r="H204" i="37"/>
  <c r="H169" i="37"/>
  <c r="H154" i="37"/>
  <c r="H138" i="37"/>
  <c r="H122" i="37"/>
  <c r="H106" i="37"/>
  <c r="H90" i="37"/>
  <c r="H66" i="37"/>
  <c r="H58" i="37"/>
  <c r="H50" i="37"/>
  <c r="H42" i="37"/>
  <c r="H34" i="37"/>
  <c r="H22" i="37"/>
  <c r="H113" i="37"/>
  <c r="H97" i="37"/>
  <c r="H79" i="37"/>
  <c r="H196" i="37"/>
  <c r="H150" i="37"/>
  <c r="H134" i="37"/>
  <c r="H118" i="37"/>
  <c r="H102" i="37"/>
  <c r="H86" i="37"/>
  <c r="H185" i="37"/>
  <c r="H163" i="37"/>
  <c r="H141" i="37"/>
  <c r="H125" i="37"/>
  <c r="H109" i="37"/>
  <c r="H93" i="37"/>
  <c r="H68" i="37"/>
  <c r="H52" i="37"/>
  <c r="H36" i="37"/>
  <c r="H20" i="37"/>
  <c r="H232" i="37"/>
  <c r="H192" i="37"/>
  <c r="H15" i="37"/>
  <c r="H76" i="37"/>
  <c r="H55" i="37"/>
  <c r="H39" i="37"/>
  <c r="H23" i="37"/>
  <c r="H13" i="37"/>
  <c r="H8" i="37"/>
  <c r="H285" i="37"/>
  <c r="H269" i="37"/>
  <c r="H209" i="37"/>
  <c r="H308" i="37"/>
  <c r="H300" i="37"/>
  <c r="H292" i="37"/>
  <c r="H259" i="37"/>
  <c r="H236" i="37"/>
  <c r="H194" i="37"/>
  <c r="H177" i="37"/>
  <c r="H274" i="37"/>
  <c r="H153" i="37"/>
  <c r="H255" i="37"/>
  <c r="H228" i="37"/>
  <c r="H203" i="37"/>
  <c r="H162" i="37"/>
  <c r="H282" i="37"/>
  <c r="H261" i="37"/>
  <c r="H223" i="37"/>
  <c r="H213" i="37"/>
  <c r="H190" i="37"/>
  <c r="H159" i="37"/>
  <c r="H147" i="37"/>
  <c r="H131" i="37"/>
  <c r="H115" i="37"/>
  <c r="H99" i="37"/>
  <c r="H71" i="37"/>
  <c r="H65" i="37"/>
  <c r="H57" i="37"/>
  <c r="H49" i="37"/>
  <c r="H41" i="37"/>
  <c r="H33" i="37"/>
  <c r="H128" i="37"/>
  <c r="H112" i="37"/>
  <c r="H96" i="37"/>
  <c r="H78" i="37"/>
  <c r="H182" i="37"/>
  <c r="H143" i="37"/>
  <c r="H127" i="37"/>
  <c r="H111" i="37"/>
  <c r="H95" i="37"/>
  <c r="H85" i="37"/>
  <c r="H179" i="37"/>
  <c r="H157" i="37"/>
  <c r="H140" i="37"/>
  <c r="H124" i="37"/>
  <c r="H108" i="37"/>
  <c r="H92" i="37"/>
  <c r="H64" i="37"/>
  <c r="H48" i="37"/>
  <c r="H32" i="37"/>
  <c r="H267" i="37"/>
  <c r="H220" i="37"/>
  <c r="H184" i="37"/>
  <c r="H208" i="37"/>
  <c r="H67" i="37"/>
  <c r="H51" i="37"/>
  <c r="H35" i="37"/>
  <c r="H19" i="37"/>
  <c r="H9" i="37"/>
  <c r="H11" i="37"/>
  <c r="H280" i="37"/>
  <c r="H264" i="37"/>
  <c r="H306" i="37"/>
  <c r="H298" i="37"/>
  <c r="H290" i="37"/>
  <c r="H256" i="37"/>
  <c r="H231" i="37"/>
  <c r="H193" i="37"/>
  <c r="H175" i="37"/>
  <c r="H263" i="37"/>
  <c r="H152" i="37"/>
  <c r="H250" i="37"/>
  <c r="H224" i="37"/>
  <c r="H187" i="37"/>
  <c r="H145" i="37"/>
  <c r="H275" i="37"/>
  <c r="H254" i="37"/>
  <c r="H218" i="37"/>
  <c r="H207" i="37"/>
  <c r="H188" i="37"/>
  <c r="H156" i="37"/>
  <c r="H146" i="37"/>
  <c r="H130" i="37"/>
  <c r="H114" i="37"/>
  <c r="H98" i="37"/>
  <c r="H70" i="37"/>
  <c r="H62" i="37"/>
  <c r="H54" i="37"/>
  <c r="H46" i="37"/>
  <c r="H38" i="37"/>
  <c r="H30" i="37"/>
  <c r="H121" i="37"/>
  <c r="H105" i="37"/>
  <c r="H89" i="37"/>
  <c r="H74" i="37"/>
  <c r="H180" i="37"/>
  <c r="H142" i="37"/>
  <c r="H126" i="37"/>
  <c r="H110" i="37"/>
  <c r="H94" i="37"/>
  <c r="H201" i="37"/>
  <c r="H167" i="37"/>
  <c r="H149" i="37"/>
  <c r="H133" i="37"/>
  <c r="H117" i="37"/>
  <c r="H101" i="37"/>
  <c r="H84" i="37"/>
  <c r="H60" i="37"/>
  <c r="H44" i="37"/>
  <c r="H28" i="37"/>
  <c r="H258" i="37"/>
  <c r="H215" i="37"/>
  <c r="H176" i="37"/>
  <c r="H171" i="37"/>
  <c r="H63" i="37"/>
  <c r="H47" i="37"/>
  <c r="H31" i="37"/>
  <c r="H88" i="37"/>
  <c r="H16" i="37"/>
  <c r="H7" i="37"/>
  <c r="F60" i="48"/>
  <c r="F61" i="48" s="1"/>
  <c r="K298" i="54"/>
  <c r="F8" i="33"/>
  <c r="F16" i="33"/>
  <c r="F25" i="33"/>
  <c r="F33" i="33"/>
  <c r="F41" i="33"/>
  <c r="F20" i="33"/>
  <c r="F28" i="33"/>
  <c r="F36" i="33"/>
  <c r="F63" i="33"/>
  <c r="F66" i="33"/>
  <c r="F80" i="33"/>
  <c r="F84" i="33"/>
  <c r="F101" i="33"/>
  <c r="F105" i="33"/>
  <c r="F133" i="33"/>
  <c r="F137" i="33"/>
  <c r="F197" i="33"/>
  <c r="F134" i="33"/>
  <c r="F158" i="33"/>
  <c r="F270" i="33"/>
  <c r="F272" i="33"/>
  <c r="F278" i="33"/>
  <c r="F282" i="33"/>
  <c r="F305" i="33"/>
  <c r="F284" i="33"/>
  <c r="F273" i="33"/>
  <c r="F297" i="33"/>
  <c r="F309" i="33"/>
  <c r="F280" i="33"/>
  <c r="F259" i="33"/>
  <c r="F254" i="33"/>
  <c r="F253" i="33"/>
  <c r="F231" i="33"/>
  <c r="F226" i="33"/>
  <c r="F225" i="33"/>
  <c r="F279" i="33"/>
  <c r="F255" i="33"/>
  <c r="F250" i="33"/>
  <c r="F249" i="33"/>
  <c r="F227" i="33"/>
  <c r="F222" i="33"/>
  <c r="F221" i="33"/>
  <c r="F268" i="33"/>
  <c r="F236" i="33"/>
  <c r="F234" i="33"/>
  <c r="F233" i="33"/>
  <c r="F208" i="33"/>
  <c r="F264" i="33"/>
  <c r="F230" i="33"/>
  <c r="F229" i="33"/>
  <c r="F205" i="33"/>
  <c r="F207" i="33"/>
  <c r="F196" i="33"/>
  <c r="F175" i="33"/>
  <c r="F147" i="33"/>
  <c r="F193" i="33"/>
  <c r="F288" i="33"/>
  <c r="F274" i="33"/>
  <c r="F300" i="33"/>
  <c r="F295" i="33"/>
  <c r="F294" i="33"/>
  <c r="F275" i="33"/>
  <c r="F313" i="33"/>
  <c r="F292" i="33"/>
  <c r="F287" i="33"/>
  <c r="F286" i="33"/>
  <c r="F244" i="33"/>
  <c r="F216" i="33"/>
  <c r="F212" i="33"/>
  <c r="F283" i="33"/>
  <c r="F266" i="33"/>
  <c r="F265" i="33"/>
  <c r="F240" i="33"/>
  <c r="F238" i="33"/>
  <c r="F251" i="33"/>
  <c r="F246" i="33"/>
  <c r="F245" i="33"/>
  <c r="F224" i="33"/>
  <c r="F247" i="33"/>
  <c r="F242" i="33"/>
  <c r="F241" i="33"/>
  <c r="F220" i="33"/>
  <c r="F235" i="33"/>
  <c r="F211" i="33"/>
  <c r="F191" i="33"/>
  <c r="F165" i="33"/>
  <c r="F304" i="33"/>
  <c r="F299" i="33"/>
  <c r="F298" i="33"/>
  <c r="F271" i="33"/>
  <c r="F311" i="33"/>
  <c r="F310" i="33"/>
  <c r="F285" i="33"/>
  <c r="F296" i="33"/>
  <c r="F291" i="33"/>
  <c r="F290" i="33"/>
  <c r="F308" i="33"/>
  <c r="F303" i="33"/>
  <c r="F302" i="33"/>
  <c r="F281" i="33"/>
  <c r="F260" i="33"/>
  <c r="F232" i="33"/>
  <c r="F206" i="33"/>
  <c r="F256" i="33"/>
  <c r="F228" i="33"/>
  <c r="F267" i="33"/>
  <c r="F262" i="33"/>
  <c r="F261" i="33"/>
  <c r="F263" i="33"/>
  <c r="F258" i="33"/>
  <c r="F257" i="33"/>
  <c r="F181" i="33"/>
  <c r="F164" i="33"/>
  <c r="F153" i="33"/>
  <c r="F204" i="33"/>
  <c r="F289" i="33"/>
  <c r="F301" i="33"/>
  <c r="F277" i="33"/>
  <c r="F312" i="33"/>
  <c r="F307" i="33"/>
  <c r="F306" i="33"/>
  <c r="F293" i="33"/>
  <c r="F243" i="33"/>
  <c r="F215" i="33"/>
  <c r="F210" i="33"/>
  <c r="F209" i="33"/>
  <c r="F269" i="33"/>
  <c r="F252" i="33"/>
  <c r="F237" i="33"/>
  <c r="F223" i="33"/>
  <c r="F218" i="33"/>
  <c r="F217" i="33"/>
  <c r="F248" i="33"/>
  <c r="F219" i="33"/>
  <c r="F214" i="33"/>
  <c r="F213" i="33"/>
  <c r="F239" i="33"/>
  <c r="F180" i="33"/>
  <c r="F159" i="33"/>
  <c r="F152" i="33"/>
  <c r="F135" i="33"/>
  <c r="F199" i="33"/>
  <c r="F176" i="33"/>
  <c r="F148" i="33"/>
  <c r="F188" i="33"/>
  <c r="F167" i="33"/>
  <c r="F145" i="33"/>
  <c r="F184" i="33"/>
  <c r="F163" i="33"/>
  <c r="F141" i="33"/>
  <c r="F190" i="33"/>
  <c r="F182" i="33"/>
  <c r="F174" i="33"/>
  <c r="F162" i="33"/>
  <c r="F146" i="33"/>
  <c r="F119" i="33"/>
  <c r="F102" i="33"/>
  <c r="F130" i="33"/>
  <c r="F128" i="33"/>
  <c r="F126" i="33"/>
  <c r="F104" i="33"/>
  <c r="F127" i="33"/>
  <c r="F112" i="33"/>
  <c r="F107" i="33"/>
  <c r="F100" i="33"/>
  <c r="F82" i="33"/>
  <c r="F68" i="33"/>
  <c r="F79" i="33"/>
  <c r="F93" i="33"/>
  <c r="F92" i="33"/>
  <c r="F74" i="33"/>
  <c r="F58" i="33"/>
  <c r="F29" i="33"/>
  <c r="F85" i="33"/>
  <c r="F171" i="33"/>
  <c r="F143" i="33"/>
  <c r="F136" i="33"/>
  <c r="F183" i="33"/>
  <c r="F144" i="33"/>
  <c r="F179" i="33"/>
  <c r="F157" i="33"/>
  <c r="F140" i="33"/>
  <c r="F202" i="33"/>
  <c r="F154" i="33"/>
  <c r="F142" i="33"/>
  <c r="F131" i="33"/>
  <c r="F114" i="33"/>
  <c r="F116" i="33"/>
  <c r="F103" i="33"/>
  <c r="F111" i="33"/>
  <c r="F123" i="33"/>
  <c r="F99" i="33"/>
  <c r="F129" i="33"/>
  <c r="F121" i="33"/>
  <c r="F113" i="33"/>
  <c r="F94" i="33"/>
  <c r="F89" i="33"/>
  <c r="F88" i="33"/>
  <c r="F70" i="33"/>
  <c r="F90" i="33"/>
  <c r="F67" i="33"/>
  <c r="F95" i="33"/>
  <c r="F86" i="33"/>
  <c r="F76" i="33"/>
  <c r="F203" i="33"/>
  <c r="F201" i="33"/>
  <c r="F187" i="33"/>
  <c r="F161" i="33"/>
  <c r="F173" i="33"/>
  <c r="F139" i="33"/>
  <c r="F195" i="33"/>
  <c r="F169" i="33"/>
  <c r="F156" i="33"/>
  <c r="F194" i="33"/>
  <c r="F186" i="33"/>
  <c r="F178" i="33"/>
  <c r="F170" i="33"/>
  <c r="F138" i="33"/>
  <c r="F115" i="33"/>
  <c r="F106" i="33"/>
  <c r="F118" i="33"/>
  <c r="F97" i="33"/>
  <c r="F83" i="33"/>
  <c r="F98" i="33"/>
  <c r="F78" i="33"/>
  <c r="F96" i="33"/>
  <c r="F75" i="33"/>
  <c r="F53" i="33"/>
  <c r="F30" i="33"/>
  <c r="F192" i="33"/>
  <c r="F177" i="33"/>
  <c r="F160" i="33"/>
  <c r="F149" i="33"/>
  <c r="F200" i="33"/>
  <c r="F189" i="33"/>
  <c r="F172" i="33"/>
  <c r="F155" i="33"/>
  <c r="F185" i="33"/>
  <c r="F168" i="33"/>
  <c r="F151" i="33"/>
  <c r="F132" i="33"/>
  <c r="F198" i="33"/>
  <c r="F166" i="33"/>
  <c r="F150" i="33"/>
  <c r="F120" i="33"/>
  <c r="F110" i="33"/>
  <c r="F124" i="33"/>
  <c r="F122" i="33"/>
  <c r="F108" i="33"/>
  <c r="F125" i="33"/>
  <c r="F117" i="33"/>
  <c r="F109" i="33"/>
  <c r="F71" i="33"/>
  <c r="F91" i="33"/>
  <c r="F65" i="33"/>
  <c r="F87" i="33"/>
  <c r="F72" i="33"/>
  <c r="F81" i="33"/>
  <c r="F73" i="33"/>
  <c r="F38" i="33"/>
  <c r="F50" i="33"/>
  <c r="F46" i="33"/>
  <c r="F22" i="33"/>
  <c r="F13" i="33"/>
  <c r="F7" i="33"/>
  <c r="F26" i="33"/>
  <c r="F18" i="33"/>
  <c r="F9" i="33"/>
  <c r="F49" i="33"/>
  <c r="F64" i="33"/>
  <c r="F17" i="33"/>
  <c r="F56" i="33"/>
  <c r="F48" i="33"/>
  <c r="F6" i="33"/>
  <c r="F34" i="33"/>
  <c r="F40" i="33"/>
  <c r="F21" i="33"/>
  <c r="F11" i="33"/>
  <c r="F59" i="33"/>
  <c r="F77" i="33"/>
  <c r="F69" i="33"/>
  <c r="F55" i="33"/>
  <c r="F37" i="33"/>
  <c r="F45" i="33"/>
  <c r="F44" i="33"/>
  <c r="F39" i="33"/>
  <c r="F31" i="33"/>
  <c r="F23" i="33"/>
  <c r="F19" i="33"/>
  <c r="F42" i="33"/>
  <c r="F15" i="33"/>
  <c r="F32" i="33"/>
  <c r="F14" i="33"/>
  <c r="F12" i="33"/>
  <c r="F54" i="33"/>
  <c r="F61" i="33"/>
  <c r="F51" i="33"/>
  <c r="F62" i="33"/>
  <c r="F57" i="33"/>
  <c r="F47" i="33"/>
  <c r="F60" i="33"/>
  <c r="F52" i="33"/>
  <c r="F24" i="33"/>
  <c r="F27" i="33"/>
  <c r="F276" i="33"/>
  <c r="F35" i="33"/>
  <c r="F43" i="33"/>
  <c r="F10" i="33"/>
  <c r="O79" i="49"/>
  <c r="M79" i="25" s="1"/>
  <c r="J79" i="54" s="1"/>
  <c r="K79" i="54" s="1"/>
  <c r="O212" i="49"/>
  <c r="M212" i="25" s="1"/>
  <c r="J212" i="54" s="1"/>
  <c r="K212" i="54" s="1"/>
  <c r="E48" i="48"/>
  <c r="F48" i="48" s="1"/>
  <c r="F50" i="48" s="1"/>
  <c r="H314" i="37"/>
  <c r="H5" i="37"/>
  <c r="M6" i="25"/>
  <c r="J6" i="54" s="1"/>
  <c r="B60" i="40"/>
  <c r="B61" i="40"/>
  <c r="B49" i="40" s="1"/>
  <c r="P5" i="13" s="1"/>
  <c r="R272" i="11"/>
  <c r="Q314" i="11"/>
  <c r="J2" i="33"/>
  <c r="F5" i="33"/>
  <c r="I2" i="33"/>
  <c r="D314" i="37"/>
  <c r="K2" i="33"/>
  <c r="H2" i="33"/>
  <c r="G2" i="33"/>
  <c r="K314" i="11"/>
  <c r="L272" i="11"/>
  <c r="D4" i="9"/>
  <c r="D5" i="9"/>
  <c r="D6" i="34"/>
  <c r="D5" i="34"/>
  <c r="D8" i="34"/>
  <c r="F15" i="34"/>
  <c r="E8" i="37" l="1"/>
  <c r="F8" i="37" s="1"/>
  <c r="I8" i="37" s="1"/>
  <c r="G19" i="34" s="1"/>
  <c r="H19" i="34" s="1"/>
  <c r="E12" i="37"/>
  <c r="F12" i="37" s="1"/>
  <c r="I12" i="37" s="1"/>
  <c r="G23" i="34" s="1"/>
  <c r="H23" i="34" s="1"/>
  <c r="E17" i="37"/>
  <c r="F17" i="37" s="1"/>
  <c r="I17" i="37" s="1"/>
  <c r="G28" i="34" s="1"/>
  <c r="H28" i="34" s="1"/>
  <c r="E21" i="37"/>
  <c r="F21" i="37" s="1"/>
  <c r="I21" i="37" s="1"/>
  <c r="G32" i="34" s="1"/>
  <c r="H32" i="34" s="1"/>
  <c r="E25" i="37"/>
  <c r="F25" i="37" s="1"/>
  <c r="I25" i="37" s="1"/>
  <c r="G36" i="34" s="1"/>
  <c r="H36" i="34" s="1"/>
  <c r="E29" i="37"/>
  <c r="F29" i="37" s="1"/>
  <c r="I29" i="37" s="1"/>
  <c r="G40" i="34" s="1"/>
  <c r="H40" i="34" s="1"/>
  <c r="E33" i="37"/>
  <c r="F33" i="37" s="1"/>
  <c r="I33" i="37" s="1"/>
  <c r="G44" i="34" s="1"/>
  <c r="H44" i="34" s="1"/>
  <c r="E37" i="37"/>
  <c r="F37" i="37" s="1"/>
  <c r="I37" i="37" s="1"/>
  <c r="G48" i="34" s="1"/>
  <c r="H48" i="34" s="1"/>
  <c r="E41" i="37"/>
  <c r="F41" i="37" s="1"/>
  <c r="I41" i="37" s="1"/>
  <c r="G52" i="34" s="1"/>
  <c r="H52" i="34" s="1"/>
  <c r="E45" i="37"/>
  <c r="F45" i="37" s="1"/>
  <c r="I45" i="37" s="1"/>
  <c r="G56" i="34" s="1"/>
  <c r="H56" i="34" s="1"/>
  <c r="E49" i="37"/>
  <c r="F49" i="37" s="1"/>
  <c r="I49" i="37" s="1"/>
  <c r="G60" i="34" s="1"/>
  <c r="H60" i="34" s="1"/>
  <c r="E53" i="37"/>
  <c r="F53" i="37" s="1"/>
  <c r="I53" i="37" s="1"/>
  <c r="G64" i="34" s="1"/>
  <c r="H64" i="34" s="1"/>
  <c r="E57" i="37"/>
  <c r="F57" i="37" s="1"/>
  <c r="I57" i="37" s="1"/>
  <c r="G68" i="34" s="1"/>
  <c r="H68" i="34" s="1"/>
  <c r="E61" i="37"/>
  <c r="F61" i="37" s="1"/>
  <c r="I61" i="37" s="1"/>
  <c r="G72" i="34" s="1"/>
  <c r="H72" i="34" s="1"/>
  <c r="E65" i="37"/>
  <c r="F65" i="37" s="1"/>
  <c r="I65" i="37" s="1"/>
  <c r="G76" i="34" s="1"/>
  <c r="H76" i="34" s="1"/>
  <c r="E69" i="37"/>
  <c r="F69" i="37" s="1"/>
  <c r="I69" i="37" s="1"/>
  <c r="G80" i="34" s="1"/>
  <c r="H80" i="34" s="1"/>
  <c r="E76" i="37"/>
  <c r="F76" i="37" s="1"/>
  <c r="I76" i="37" s="1"/>
  <c r="G87" i="34" s="1"/>
  <c r="H87" i="34" s="1"/>
  <c r="E78" i="37"/>
  <c r="F78" i="37" s="1"/>
  <c r="I78" i="37" s="1"/>
  <c r="G89" i="34" s="1"/>
  <c r="H89" i="34" s="1"/>
  <c r="E154" i="37"/>
  <c r="F154" i="37" s="1"/>
  <c r="I154" i="37" s="1"/>
  <c r="G165" i="34" s="1"/>
  <c r="H165" i="34" s="1"/>
  <c r="E73" i="37"/>
  <c r="F73" i="37" s="1"/>
  <c r="I73" i="37" s="1"/>
  <c r="G84" i="34" s="1"/>
  <c r="H84" i="34" s="1"/>
  <c r="E80" i="37"/>
  <c r="F80" i="37" s="1"/>
  <c r="I80" i="37" s="1"/>
  <c r="G91" i="34" s="1"/>
  <c r="H91" i="34" s="1"/>
  <c r="E82" i="37"/>
  <c r="F82" i="37" s="1"/>
  <c r="I82" i="37" s="1"/>
  <c r="G93" i="34" s="1"/>
  <c r="H93" i="34" s="1"/>
  <c r="E158" i="37"/>
  <c r="F158" i="37" s="1"/>
  <c r="I158" i="37" s="1"/>
  <c r="G169" i="34" s="1"/>
  <c r="H169" i="34" s="1"/>
  <c r="E165" i="37"/>
  <c r="F165" i="37" s="1"/>
  <c r="I165" i="37" s="1"/>
  <c r="G176" i="34" s="1"/>
  <c r="H176" i="34" s="1"/>
  <c r="E173" i="37"/>
  <c r="F173" i="37" s="1"/>
  <c r="I173" i="37" s="1"/>
  <c r="G184" i="34" s="1"/>
  <c r="H184" i="34" s="1"/>
  <c r="E176" i="37"/>
  <c r="F176" i="37" s="1"/>
  <c r="I176" i="37" s="1"/>
  <c r="G187" i="34" s="1"/>
  <c r="H187" i="34" s="1"/>
  <c r="E181" i="37"/>
  <c r="F181" i="37" s="1"/>
  <c r="I181" i="37" s="1"/>
  <c r="G192" i="34" s="1"/>
  <c r="H192" i="34" s="1"/>
  <c r="E184" i="37"/>
  <c r="F184" i="37" s="1"/>
  <c r="I184" i="37" s="1"/>
  <c r="G195" i="34" s="1"/>
  <c r="H195" i="34" s="1"/>
  <c r="E189" i="37"/>
  <c r="F189" i="37" s="1"/>
  <c r="I189" i="37" s="1"/>
  <c r="G200" i="34" s="1"/>
  <c r="H200" i="34" s="1"/>
  <c r="E192" i="37"/>
  <c r="F192" i="37" s="1"/>
  <c r="I192" i="37" s="1"/>
  <c r="G203" i="34" s="1"/>
  <c r="H203" i="34" s="1"/>
  <c r="E197" i="37"/>
  <c r="F197" i="37" s="1"/>
  <c r="I197" i="37" s="1"/>
  <c r="G208" i="34" s="1"/>
  <c r="H208" i="34" s="1"/>
  <c r="E200" i="37"/>
  <c r="F200" i="37" s="1"/>
  <c r="I200" i="37" s="1"/>
  <c r="G211" i="34" s="1"/>
  <c r="H211" i="34" s="1"/>
  <c r="E205" i="37"/>
  <c r="F205" i="37" s="1"/>
  <c r="I205" i="37" s="1"/>
  <c r="G216" i="34" s="1"/>
  <c r="H216" i="34" s="1"/>
  <c r="E210" i="37"/>
  <c r="F210" i="37" s="1"/>
  <c r="I210" i="37" s="1"/>
  <c r="G221" i="34" s="1"/>
  <c r="H221" i="34" s="1"/>
  <c r="E20" i="37"/>
  <c r="F20" i="37" s="1"/>
  <c r="I20" i="37" s="1"/>
  <c r="G31" i="34" s="1"/>
  <c r="H31" i="34" s="1"/>
  <c r="E24" i="37"/>
  <c r="F24" i="37" s="1"/>
  <c r="I24" i="37" s="1"/>
  <c r="G35" i="34" s="1"/>
  <c r="H35" i="34" s="1"/>
  <c r="E28" i="37"/>
  <c r="F28" i="37" s="1"/>
  <c r="I28" i="37" s="1"/>
  <c r="G39" i="34" s="1"/>
  <c r="H39" i="34" s="1"/>
  <c r="E32" i="37"/>
  <c r="F32" i="37" s="1"/>
  <c r="I32" i="37" s="1"/>
  <c r="G43" i="34" s="1"/>
  <c r="H43" i="34" s="1"/>
  <c r="E36" i="37"/>
  <c r="F36" i="37" s="1"/>
  <c r="I36" i="37" s="1"/>
  <c r="G47" i="34" s="1"/>
  <c r="H47" i="34" s="1"/>
  <c r="E40" i="37"/>
  <c r="F40" i="37" s="1"/>
  <c r="I40" i="37" s="1"/>
  <c r="G51" i="34" s="1"/>
  <c r="H51" i="34" s="1"/>
  <c r="E44" i="37"/>
  <c r="F44" i="37" s="1"/>
  <c r="I44" i="37" s="1"/>
  <c r="G55" i="34" s="1"/>
  <c r="H55" i="34" s="1"/>
  <c r="E48" i="37"/>
  <c r="F48" i="37" s="1"/>
  <c r="I48" i="37" s="1"/>
  <c r="G59" i="34" s="1"/>
  <c r="H59" i="34" s="1"/>
  <c r="E52" i="37"/>
  <c r="F52" i="37" s="1"/>
  <c r="I52" i="37" s="1"/>
  <c r="G63" i="34" s="1"/>
  <c r="H63" i="34" s="1"/>
  <c r="E56" i="37"/>
  <c r="F56" i="37" s="1"/>
  <c r="I56" i="37" s="1"/>
  <c r="G67" i="34" s="1"/>
  <c r="H67" i="34" s="1"/>
  <c r="E60" i="37"/>
  <c r="F60" i="37" s="1"/>
  <c r="I60" i="37" s="1"/>
  <c r="G71" i="34" s="1"/>
  <c r="H71" i="34" s="1"/>
  <c r="E64" i="37"/>
  <c r="F64" i="37" s="1"/>
  <c r="I64" i="37" s="1"/>
  <c r="G75" i="34" s="1"/>
  <c r="H75" i="34" s="1"/>
  <c r="E68" i="37"/>
  <c r="F68" i="37" s="1"/>
  <c r="I68" i="37" s="1"/>
  <c r="G79" i="34" s="1"/>
  <c r="H79" i="34" s="1"/>
  <c r="E84" i="37"/>
  <c r="F84" i="37" s="1"/>
  <c r="I84" i="37" s="1"/>
  <c r="G95" i="34" s="1"/>
  <c r="H95" i="34" s="1"/>
  <c r="E86" i="37"/>
  <c r="F86" i="37" s="1"/>
  <c r="I86" i="37" s="1"/>
  <c r="G97" i="34" s="1"/>
  <c r="H97" i="34" s="1"/>
  <c r="E91" i="37"/>
  <c r="F91" i="37" s="1"/>
  <c r="I91" i="37" s="1"/>
  <c r="G102" i="34" s="1"/>
  <c r="H102" i="34" s="1"/>
  <c r="E93" i="37"/>
  <c r="F93" i="37" s="1"/>
  <c r="I93" i="37" s="1"/>
  <c r="G104" i="34" s="1"/>
  <c r="H104" i="34" s="1"/>
  <c r="E95" i="37"/>
  <c r="F95" i="37" s="1"/>
  <c r="I95" i="37" s="1"/>
  <c r="G106" i="34" s="1"/>
  <c r="H106" i="34" s="1"/>
  <c r="E97" i="37"/>
  <c r="F97" i="37" s="1"/>
  <c r="I97" i="37" s="1"/>
  <c r="G108" i="34" s="1"/>
  <c r="H108" i="34" s="1"/>
  <c r="E99" i="37"/>
  <c r="F99" i="37" s="1"/>
  <c r="I99" i="37" s="1"/>
  <c r="G110" i="34" s="1"/>
  <c r="H110" i="34" s="1"/>
  <c r="E101" i="37"/>
  <c r="F101" i="37" s="1"/>
  <c r="I101" i="37" s="1"/>
  <c r="G112" i="34" s="1"/>
  <c r="H112" i="34" s="1"/>
  <c r="E103" i="37"/>
  <c r="F103" i="37" s="1"/>
  <c r="I103" i="37" s="1"/>
  <c r="G114" i="34" s="1"/>
  <c r="H114" i="34" s="1"/>
  <c r="E105" i="37"/>
  <c r="F105" i="37" s="1"/>
  <c r="I105" i="37" s="1"/>
  <c r="G116" i="34" s="1"/>
  <c r="H116" i="34" s="1"/>
  <c r="E107" i="37"/>
  <c r="F107" i="37" s="1"/>
  <c r="I107" i="37" s="1"/>
  <c r="G118" i="34" s="1"/>
  <c r="H118" i="34" s="1"/>
  <c r="E109" i="37"/>
  <c r="F109" i="37" s="1"/>
  <c r="I109" i="37" s="1"/>
  <c r="G120" i="34" s="1"/>
  <c r="H120" i="34" s="1"/>
  <c r="E111" i="37"/>
  <c r="F111" i="37" s="1"/>
  <c r="I111" i="37" s="1"/>
  <c r="G122" i="34" s="1"/>
  <c r="H122" i="34" s="1"/>
  <c r="E113" i="37"/>
  <c r="F113" i="37" s="1"/>
  <c r="I113" i="37" s="1"/>
  <c r="G124" i="34" s="1"/>
  <c r="H124" i="34" s="1"/>
  <c r="E115" i="37"/>
  <c r="F115" i="37" s="1"/>
  <c r="I115" i="37" s="1"/>
  <c r="G126" i="34" s="1"/>
  <c r="H126" i="34" s="1"/>
  <c r="E117" i="37"/>
  <c r="F117" i="37" s="1"/>
  <c r="I117" i="37" s="1"/>
  <c r="G128" i="34" s="1"/>
  <c r="H128" i="34" s="1"/>
  <c r="E119" i="37"/>
  <c r="F119" i="37" s="1"/>
  <c r="I119" i="37" s="1"/>
  <c r="G130" i="34" s="1"/>
  <c r="H130" i="34" s="1"/>
  <c r="E121" i="37"/>
  <c r="F121" i="37" s="1"/>
  <c r="I121" i="37" s="1"/>
  <c r="G132" i="34" s="1"/>
  <c r="H132" i="34" s="1"/>
  <c r="E123" i="37"/>
  <c r="F123" i="37" s="1"/>
  <c r="I123" i="37" s="1"/>
  <c r="G134" i="34" s="1"/>
  <c r="H134" i="34" s="1"/>
  <c r="E125" i="37"/>
  <c r="F125" i="37" s="1"/>
  <c r="I125" i="37" s="1"/>
  <c r="G136" i="34" s="1"/>
  <c r="H136" i="34" s="1"/>
  <c r="E127" i="37"/>
  <c r="F127" i="37" s="1"/>
  <c r="I127" i="37" s="1"/>
  <c r="G138" i="34" s="1"/>
  <c r="H138" i="34" s="1"/>
  <c r="E129" i="37"/>
  <c r="F129" i="37" s="1"/>
  <c r="I129" i="37" s="1"/>
  <c r="G140" i="34" s="1"/>
  <c r="H140" i="34" s="1"/>
  <c r="E131" i="37"/>
  <c r="F131" i="37" s="1"/>
  <c r="I131" i="37" s="1"/>
  <c r="G142" i="34" s="1"/>
  <c r="H142" i="34" s="1"/>
  <c r="E133" i="37"/>
  <c r="F133" i="37" s="1"/>
  <c r="I133" i="37" s="1"/>
  <c r="G144" i="34" s="1"/>
  <c r="H144" i="34" s="1"/>
  <c r="E135" i="37"/>
  <c r="F135" i="37" s="1"/>
  <c r="I135" i="37" s="1"/>
  <c r="G146" i="34" s="1"/>
  <c r="H146" i="34" s="1"/>
  <c r="E137" i="37"/>
  <c r="F137" i="37" s="1"/>
  <c r="I137" i="37" s="1"/>
  <c r="G148" i="34" s="1"/>
  <c r="H148" i="34" s="1"/>
  <c r="E139" i="37"/>
  <c r="F139" i="37" s="1"/>
  <c r="I139" i="37" s="1"/>
  <c r="G150" i="34" s="1"/>
  <c r="H150" i="34" s="1"/>
  <c r="E141" i="37"/>
  <c r="F141" i="37" s="1"/>
  <c r="I141" i="37" s="1"/>
  <c r="G152" i="34" s="1"/>
  <c r="H152" i="34" s="1"/>
  <c r="E143" i="37"/>
  <c r="F143" i="37" s="1"/>
  <c r="I143" i="37" s="1"/>
  <c r="G154" i="34" s="1"/>
  <c r="H154" i="34" s="1"/>
  <c r="E145" i="37"/>
  <c r="F145" i="37" s="1"/>
  <c r="I145" i="37" s="1"/>
  <c r="G156" i="34" s="1"/>
  <c r="H156" i="34" s="1"/>
  <c r="E147" i="37"/>
  <c r="F147" i="37" s="1"/>
  <c r="I147" i="37" s="1"/>
  <c r="G158" i="34" s="1"/>
  <c r="H158" i="34" s="1"/>
  <c r="E149" i="37"/>
  <c r="F149" i="37" s="1"/>
  <c r="I149" i="37" s="1"/>
  <c r="G160" i="34" s="1"/>
  <c r="H160" i="34" s="1"/>
  <c r="E151" i="37"/>
  <c r="F151" i="37" s="1"/>
  <c r="I151" i="37" s="1"/>
  <c r="G162" i="34" s="1"/>
  <c r="H162" i="34" s="1"/>
  <c r="E153" i="37"/>
  <c r="F153" i="37" s="1"/>
  <c r="I153" i="37" s="1"/>
  <c r="G164" i="34" s="1"/>
  <c r="H164" i="34" s="1"/>
  <c r="E162" i="37"/>
  <c r="F162" i="37" s="1"/>
  <c r="I162" i="37" s="1"/>
  <c r="G173" i="34" s="1"/>
  <c r="H173" i="34" s="1"/>
  <c r="E167" i="37"/>
  <c r="F167" i="37" s="1"/>
  <c r="I167" i="37" s="1"/>
  <c r="G178" i="34" s="1"/>
  <c r="H178" i="34" s="1"/>
  <c r="E172" i="37"/>
  <c r="F172" i="37" s="1"/>
  <c r="I172" i="37" s="1"/>
  <c r="G183" i="34" s="1"/>
  <c r="H183" i="34" s="1"/>
  <c r="E178" i="37"/>
  <c r="F178" i="37" s="1"/>
  <c r="I178" i="37" s="1"/>
  <c r="G189" i="34" s="1"/>
  <c r="H189" i="34" s="1"/>
  <c r="E186" i="37"/>
  <c r="F186" i="37" s="1"/>
  <c r="I186" i="37" s="1"/>
  <c r="G197" i="34" s="1"/>
  <c r="H197" i="34" s="1"/>
  <c r="E194" i="37"/>
  <c r="F194" i="37" s="1"/>
  <c r="I194" i="37" s="1"/>
  <c r="G205" i="34" s="1"/>
  <c r="H205" i="34" s="1"/>
  <c r="E202" i="37"/>
  <c r="F202" i="37" s="1"/>
  <c r="I202" i="37" s="1"/>
  <c r="G213" i="34" s="1"/>
  <c r="H213" i="34" s="1"/>
  <c r="E209" i="37"/>
  <c r="F209" i="37" s="1"/>
  <c r="I209" i="37" s="1"/>
  <c r="G220" i="34" s="1"/>
  <c r="H220" i="34" s="1"/>
  <c r="E212" i="37"/>
  <c r="F212" i="37" s="1"/>
  <c r="I212" i="37" s="1"/>
  <c r="G223" i="34" s="1"/>
  <c r="H223" i="34" s="1"/>
  <c r="E222" i="37"/>
  <c r="F222" i="37" s="1"/>
  <c r="I222" i="37" s="1"/>
  <c r="G233" i="34" s="1"/>
  <c r="H233" i="34" s="1"/>
  <c r="E224" i="37"/>
  <c r="F224" i="37" s="1"/>
  <c r="I224" i="37" s="1"/>
  <c r="G235" i="34" s="1"/>
  <c r="H235" i="34" s="1"/>
  <c r="E229" i="37"/>
  <c r="F229" i="37" s="1"/>
  <c r="I229" i="37" s="1"/>
  <c r="G240" i="34" s="1"/>
  <c r="H240" i="34" s="1"/>
  <c r="E234" i="37"/>
  <c r="F234" i="37" s="1"/>
  <c r="I234" i="37" s="1"/>
  <c r="G245" i="34" s="1"/>
  <c r="H245" i="34" s="1"/>
  <c r="E241" i="37"/>
  <c r="F241" i="37" s="1"/>
  <c r="I241" i="37" s="1"/>
  <c r="G252" i="34" s="1"/>
  <c r="H252" i="34" s="1"/>
  <c r="E248" i="37"/>
  <c r="F248" i="37" s="1"/>
  <c r="I248" i="37" s="1"/>
  <c r="G259" i="34" s="1"/>
  <c r="H259" i="34" s="1"/>
  <c r="E253" i="37"/>
  <c r="F253" i="37" s="1"/>
  <c r="I253" i="37" s="1"/>
  <c r="G264" i="34" s="1"/>
  <c r="H264" i="34" s="1"/>
  <c r="E255" i="37"/>
  <c r="F255" i="37" s="1"/>
  <c r="I255" i="37" s="1"/>
  <c r="G266" i="34" s="1"/>
  <c r="H266" i="34" s="1"/>
  <c r="E264" i="37"/>
  <c r="F264" i="37" s="1"/>
  <c r="I264" i="37" s="1"/>
  <c r="G275" i="34" s="1"/>
  <c r="H275" i="34" s="1"/>
  <c r="E9" i="37"/>
  <c r="F9" i="37" s="1"/>
  <c r="I9" i="37" s="1"/>
  <c r="G20" i="34" s="1"/>
  <c r="H20" i="34" s="1"/>
  <c r="E13" i="37"/>
  <c r="F13" i="37" s="1"/>
  <c r="I13" i="37" s="1"/>
  <c r="G24" i="34" s="1"/>
  <c r="H24" i="34" s="1"/>
  <c r="E16" i="37"/>
  <c r="F16" i="37" s="1"/>
  <c r="I16" i="37" s="1"/>
  <c r="G27" i="34" s="1"/>
  <c r="H27" i="34" s="1"/>
  <c r="E180" i="37"/>
  <c r="F180" i="37" s="1"/>
  <c r="I180" i="37" s="1"/>
  <c r="G191" i="34" s="1"/>
  <c r="H191" i="34" s="1"/>
  <c r="E182" i="37"/>
  <c r="F182" i="37" s="1"/>
  <c r="I182" i="37" s="1"/>
  <c r="G193" i="34" s="1"/>
  <c r="H193" i="34" s="1"/>
  <c r="E196" i="37"/>
  <c r="F196" i="37" s="1"/>
  <c r="I196" i="37" s="1"/>
  <c r="G207" i="34" s="1"/>
  <c r="H207" i="34" s="1"/>
  <c r="E198" i="37"/>
  <c r="F198" i="37" s="1"/>
  <c r="I198" i="37" s="1"/>
  <c r="G209" i="34" s="1"/>
  <c r="H209" i="34" s="1"/>
  <c r="E208" i="37"/>
  <c r="F208" i="37" s="1"/>
  <c r="I208" i="37" s="1"/>
  <c r="G219" i="34" s="1"/>
  <c r="H219" i="34" s="1"/>
  <c r="E88" i="37"/>
  <c r="F88" i="37" s="1"/>
  <c r="I88" i="37" s="1"/>
  <c r="G99" i="34" s="1"/>
  <c r="H99" i="34" s="1"/>
  <c r="E161" i="37"/>
  <c r="F161" i="37" s="1"/>
  <c r="I161" i="37" s="1"/>
  <c r="G172" i="34" s="1"/>
  <c r="H172" i="34" s="1"/>
  <c r="E168" i="37"/>
  <c r="F168" i="37" s="1"/>
  <c r="I168" i="37" s="1"/>
  <c r="G179" i="34" s="1"/>
  <c r="H179" i="34" s="1"/>
  <c r="E171" i="37"/>
  <c r="F171" i="37" s="1"/>
  <c r="I171" i="37" s="1"/>
  <c r="G182" i="34" s="1"/>
  <c r="H182" i="34" s="1"/>
  <c r="E177" i="37"/>
  <c r="F177" i="37" s="1"/>
  <c r="I177" i="37" s="1"/>
  <c r="G188" i="34" s="1"/>
  <c r="H188" i="34" s="1"/>
  <c r="E193" i="37"/>
  <c r="F193" i="37" s="1"/>
  <c r="I193" i="37" s="1"/>
  <c r="G204" i="34" s="1"/>
  <c r="H204" i="34" s="1"/>
  <c r="E90" i="37"/>
  <c r="F90" i="37" s="1"/>
  <c r="I90" i="37" s="1"/>
  <c r="G101" i="34" s="1"/>
  <c r="H101" i="34" s="1"/>
  <c r="E72" i="37"/>
  <c r="F72" i="37" s="1"/>
  <c r="I72" i="37" s="1"/>
  <c r="G83" i="34" s="1"/>
  <c r="H83" i="34" s="1"/>
  <c r="E157" i="37"/>
  <c r="F157" i="37" s="1"/>
  <c r="I157" i="37" s="1"/>
  <c r="G168" i="34" s="1"/>
  <c r="H168" i="34" s="1"/>
  <c r="E185" i="37"/>
  <c r="F185" i="37" s="1"/>
  <c r="I185" i="37" s="1"/>
  <c r="G196" i="34" s="1"/>
  <c r="H196" i="34" s="1"/>
  <c r="E201" i="37"/>
  <c r="F201" i="37" s="1"/>
  <c r="I201" i="37" s="1"/>
  <c r="G212" i="34" s="1"/>
  <c r="H212" i="34" s="1"/>
  <c r="E217" i="37"/>
  <c r="F217" i="37" s="1"/>
  <c r="I217" i="37" s="1"/>
  <c r="G228" i="34" s="1"/>
  <c r="H228" i="34" s="1"/>
  <c r="E228" i="37"/>
  <c r="F228" i="37" s="1"/>
  <c r="I228" i="37" s="1"/>
  <c r="G239" i="34" s="1"/>
  <c r="H239" i="34" s="1"/>
  <c r="E230" i="37"/>
  <c r="F230" i="37" s="1"/>
  <c r="I230" i="37" s="1"/>
  <c r="G241" i="34" s="1"/>
  <c r="H241" i="34" s="1"/>
  <c r="E232" i="37"/>
  <c r="F232" i="37" s="1"/>
  <c r="I232" i="37" s="1"/>
  <c r="G243" i="34" s="1"/>
  <c r="H243" i="34" s="1"/>
  <c r="E237" i="37"/>
  <c r="F237" i="37" s="1"/>
  <c r="I237" i="37" s="1"/>
  <c r="G248" i="34" s="1"/>
  <c r="H248" i="34" s="1"/>
  <c r="E245" i="37"/>
  <c r="F245" i="37" s="1"/>
  <c r="I245" i="37" s="1"/>
  <c r="G256" i="34" s="1"/>
  <c r="H256" i="34" s="1"/>
  <c r="E260" i="37"/>
  <c r="F260" i="37" s="1"/>
  <c r="I260" i="37" s="1"/>
  <c r="G271" i="34" s="1"/>
  <c r="H271" i="34" s="1"/>
  <c r="E272" i="37"/>
  <c r="F272" i="37" s="1"/>
  <c r="I272" i="37" s="1"/>
  <c r="G283" i="34" s="1"/>
  <c r="H283" i="34" s="1"/>
  <c r="E277" i="37"/>
  <c r="F277" i="37" s="1"/>
  <c r="I277" i="37" s="1"/>
  <c r="G288" i="34" s="1"/>
  <c r="H288" i="34" s="1"/>
  <c r="E279" i="37"/>
  <c r="F279" i="37" s="1"/>
  <c r="I279" i="37" s="1"/>
  <c r="G290" i="34" s="1"/>
  <c r="H290" i="34" s="1"/>
  <c r="E169" i="37"/>
  <c r="F169" i="37" s="1"/>
  <c r="I169" i="37" s="1"/>
  <c r="G180" i="34" s="1"/>
  <c r="H180" i="34" s="1"/>
  <c r="E188" i="37"/>
  <c r="F188" i="37" s="1"/>
  <c r="I188" i="37" s="1"/>
  <c r="G199" i="34" s="1"/>
  <c r="H199" i="34" s="1"/>
  <c r="E204" i="37"/>
  <c r="F204" i="37" s="1"/>
  <c r="I204" i="37" s="1"/>
  <c r="G215" i="34" s="1"/>
  <c r="H215" i="34" s="1"/>
  <c r="E233" i="37"/>
  <c r="F233" i="37" s="1"/>
  <c r="I233" i="37" s="1"/>
  <c r="G244" i="34" s="1"/>
  <c r="H244" i="34" s="1"/>
  <c r="E244" i="37"/>
  <c r="F244" i="37" s="1"/>
  <c r="I244" i="37" s="1"/>
  <c r="G255" i="34" s="1"/>
  <c r="H255" i="34" s="1"/>
  <c r="E263" i="37"/>
  <c r="F263" i="37" s="1"/>
  <c r="I263" i="37" s="1"/>
  <c r="G274" i="34" s="1"/>
  <c r="H274" i="34" s="1"/>
  <c r="E265" i="37"/>
  <c r="F265" i="37" s="1"/>
  <c r="I265" i="37" s="1"/>
  <c r="G276" i="34" s="1"/>
  <c r="H276" i="34" s="1"/>
  <c r="E267" i="37"/>
  <c r="F267" i="37" s="1"/>
  <c r="I267" i="37" s="1"/>
  <c r="G278" i="34" s="1"/>
  <c r="H278" i="34" s="1"/>
  <c r="E276" i="37"/>
  <c r="F276" i="37" s="1"/>
  <c r="I276" i="37" s="1"/>
  <c r="G287" i="34" s="1"/>
  <c r="H287" i="34" s="1"/>
  <c r="E281" i="37"/>
  <c r="F281" i="37" s="1"/>
  <c r="I281" i="37" s="1"/>
  <c r="G292" i="34" s="1"/>
  <c r="H292" i="34" s="1"/>
  <c r="E283" i="37"/>
  <c r="F283" i="37" s="1"/>
  <c r="I283" i="37" s="1"/>
  <c r="G294" i="34" s="1"/>
  <c r="H294" i="34" s="1"/>
  <c r="E174" i="37"/>
  <c r="F174" i="37" s="1"/>
  <c r="I174" i="37" s="1"/>
  <c r="G185" i="34" s="1"/>
  <c r="H185" i="34" s="1"/>
  <c r="E190" i="37"/>
  <c r="F190" i="37" s="1"/>
  <c r="I190" i="37" s="1"/>
  <c r="G201" i="34" s="1"/>
  <c r="H201" i="34" s="1"/>
  <c r="E206" i="37"/>
  <c r="F206" i="37" s="1"/>
  <c r="I206" i="37" s="1"/>
  <c r="G217" i="34" s="1"/>
  <c r="H217" i="34" s="1"/>
  <c r="E213" i="37"/>
  <c r="F213" i="37" s="1"/>
  <c r="I213" i="37" s="1"/>
  <c r="G224" i="34" s="1"/>
  <c r="H224" i="34" s="1"/>
  <c r="E216" i="37"/>
  <c r="F216" i="37" s="1"/>
  <c r="I216" i="37" s="1"/>
  <c r="G227" i="34" s="1"/>
  <c r="H227" i="34" s="1"/>
  <c r="E220" i="37"/>
  <c r="F220" i="37" s="1"/>
  <c r="I220" i="37" s="1"/>
  <c r="G231" i="34" s="1"/>
  <c r="H231" i="34" s="1"/>
  <c r="E225" i="37"/>
  <c r="F225" i="37" s="1"/>
  <c r="I225" i="37" s="1"/>
  <c r="G236" i="34" s="1"/>
  <c r="H236" i="34" s="1"/>
  <c r="E236" i="37"/>
  <c r="F236" i="37" s="1"/>
  <c r="I236" i="37" s="1"/>
  <c r="G247" i="34" s="1"/>
  <c r="H247" i="34" s="1"/>
  <c r="E247" i="37"/>
  <c r="F247" i="37" s="1"/>
  <c r="I247" i="37" s="1"/>
  <c r="G258" i="34" s="1"/>
  <c r="H258" i="34" s="1"/>
  <c r="E249" i="37"/>
  <c r="F249" i="37" s="1"/>
  <c r="I249" i="37" s="1"/>
  <c r="G260" i="34" s="1"/>
  <c r="H260" i="34" s="1"/>
  <c r="E251" i="37"/>
  <c r="F251" i="37" s="1"/>
  <c r="I251" i="37" s="1"/>
  <c r="G262" i="34" s="1"/>
  <c r="H262" i="34" s="1"/>
  <c r="E256" i="37"/>
  <c r="F256" i="37" s="1"/>
  <c r="I256" i="37" s="1"/>
  <c r="G267" i="34" s="1"/>
  <c r="H267" i="34" s="1"/>
  <c r="E259" i="37"/>
  <c r="F259" i="37" s="1"/>
  <c r="I259" i="37" s="1"/>
  <c r="G270" i="34" s="1"/>
  <c r="H270" i="34" s="1"/>
  <c r="E269" i="37"/>
  <c r="F269" i="37" s="1"/>
  <c r="I269" i="37" s="1"/>
  <c r="G280" i="34" s="1"/>
  <c r="H280" i="34" s="1"/>
  <c r="E271" i="37"/>
  <c r="F271" i="37" s="1"/>
  <c r="I271" i="37" s="1"/>
  <c r="G282" i="34" s="1"/>
  <c r="H282" i="34" s="1"/>
  <c r="E280" i="37"/>
  <c r="F280" i="37" s="1"/>
  <c r="I280" i="37" s="1"/>
  <c r="G291" i="34" s="1"/>
  <c r="H291" i="34" s="1"/>
  <c r="E285" i="37"/>
  <c r="F285" i="37" s="1"/>
  <c r="I285" i="37" s="1"/>
  <c r="G296" i="34" s="1"/>
  <c r="H296" i="34" s="1"/>
  <c r="E290" i="37"/>
  <c r="F290" i="37" s="1"/>
  <c r="I290" i="37" s="1"/>
  <c r="G301" i="34" s="1"/>
  <c r="H301" i="34" s="1"/>
  <c r="E292" i="37"/>
  <c r="F292" i="37" s="1"/>
  <c r="I292" i="37" s="1"/>
  <c r="G303" i="34" s="1"/>
  <c r="H303" i="34" s="1"/>
  <c r="E294" i="37"/>
  <c r="F294" i="37" s="1"/>
  <c r="I294" i="37" s="1"/>
  <c r="G305" i="34" s="1"/>
  <c r="H305" i="34" s="1"/>
  <c r="E296" i="37"/>
  <c r="F296" i="37" s="1"/>
  <c r="I296" i="37" s="1"/>
  <c r="G307" i="34" s="1"/>
  <c r="H307" i="34" s="1"/>
  <c r="E298" i="37"/>
  <c r="F298" i="37" s="1"/>
  <c r="I298" i="37" s="1"/>
  <c r="G309" i="34" s="1"/>
  <c r="H309" i="34" s="1"/>
  <c r="E300" i="37"/>
  <c r="F300" i="37" s="1"/>
  <c r="I300" i="37" s="1"/>
  <c r="G311" i="34" s="1"/>
  <c r="H311" i="34" s="1"/>
  <c r="E302" i="37"/>
  <c r="F302" i="37" s="1"/>
  <c r="I302" i="37" s="1"/>
  <c r="G313" i="34" s="1"/>
  <c r="H313" i="34" s="1"/>
  <c r="E304" i="37"/>
  <c r="F304" i="37" s="1"/>
  <c r="I304" i="37" s="1"/>
  <c r="G315" i="34" s="1"/>
  <c r="H315" i="34" s="1"/>
  <c r="E306" i="37"/>
  <c r="F306" i="37" s="1"/>
  <c r="I306" i="37" s="1"/>
  <c r="G317" i="34" s="1"/>
  <c r="H317" i="34" s="1"/>
  <c r="E308" i="37"/>
  <c r="F308" i="37" s="1"/>
  <c r="I308" i="37" s="1"/>
  <c r="G319" i="34" s="1"/>
  <c r="H319" i="34" s="1"/>
  <c r="E310" i="37"/>
  <c r="F310" i="37" s="1"/>
  <c r="I310" i="37" s="1"/>
  <c r="G321" i="34" s="1"/>
  <c r="H321" i="34" s="1"/>
  <c r="E312" i="37"/>
  <c r="F312" i="37" s="1"/>
  <c r="I312" i="37" s="1"/>
  <c r="G323" i="34" s="1"/>
  <c r="H323" i="34" s="1"/>
  <c r="E214" i="37"/>
  <c r="F214" i="37" s="1"/>
  <c r="I214" i="37" s="1"/>
  <c r="G225" i="34" s="1"/>
  <c r="H225" i="34" s="1"/>
  <c r="E218" i="37"/>
  <c r="F218" i="37" s="1"/>
  <c r="I218" i="37" s="1"/>
  <c r="G229" i="34" s="1"/>
  <c r="H229" i="34" s="1"/>
  <c r="E221" i="37"/>
  <c r="F221" i="37" s="1"/>
  <c r="I221" i="37" s="1"/>
  <c r="G232" i="34" s="1"/>
  <c r="H232" i="34" s="1"/>
  <c r="E226" i="37"/>
  <c r="F226" i="37" s="1"/>
  <c r="I226" i="37" s="1"/>
  <c r="G237" i="34" s="1"/>
  <c r="H237" i="34" s="1"/>
  <c r="E240" i="37"/>
  <c r="F240" i="37" s="1"/>
  <c r="I240" i="37" s="1"/>
  <c r="G251" i="34" s="1"/>
  <c r="H251" i="34" s="1"/>
  <c r="E243" i="37"/>
  <c r="F243" i="37" s="1"/>
  <c r="I243" i="37" s="1"/>
  <c r="G254" i="34" s="1"/>
  <c r="H254" i="34" s="1"/>
  <c r="E252" i="37"/>
  <c r="F252" i="37" s="1"/>
  <c r="I252" i="37" s="1"/>
  <c r="G263" i="34" s="1"/>
  <c r="H263" i="34" s="1"/>
  <c r="E257" i="37"/>
  <c r="F257" i="37" s="1"/>
  <c r="I257" i="37" s="1"/>
  <c r="G268" i="34" s="1"/>
  <c r="H268" i="34" s="1"/>
  <c r="E261" i="37"/>
  <c r="F261" i="37" s="1"/>
  <c r="I261" i="37" s="1"/>
  <c r="G272" i="34" s="1"/>
  <c r="H272" i="34" s="1"/>
  <c r="E268" i="37"/>
  <c r="F268" i="37" s="1"/>
  <c r="I268" i="37" s="1"/>
  <c r="G279" i="34" s="1"/>
  <c r="H279" i="34" s="1"/>
  <c r="E273" i="37"/>
  <c r="F273" i="37" s="1"/>
  <c r="I273" i="37" s="1"/>
  <c r="G284" i="34" s="1"/>
  <c r="H284" i="34" s="1"/>
  <c r="E275" i="37"/>
  <c r="F275" i="37" s="1"/>
  <c r="I275" i="37" s="1"/>
  <c r="G286" i="34" s="1"/>
  <c r="H286" i="34" s="1"/>
  <c r="E284" i="37"/>
  <c r="F284" i="37" s="1"/>
  <c r="I284" i="37" s="1"/>
  <c r="G295" i="34" s="1"/>
  <c r="H295" i="34" s="1"/>
  <c r="E287" i="37"/>
  <c r="F287" i="37" s="1"/>
  <c r="I287" i="37" s="1"/>
  <c r="G298" i="34" s="1"/>
  <c r="H298" i="34" s="1"/>
  <c r="E289" i="37"/>
  <c r="F289" i="37" s="1"/>
  <c r="I289" i="37" s="1"/>
  <c r="G300" i="34" s="1"/>
  <c r="H300" i="34" s="1"/>
  <c r="E43" i="37"/>
  <c r="F43" i="37" s="1"/>
  <c r="I43" i="37" s="1"/>
  <c r="G54" i="34" s="1"/>
  <c r="H54" i="34" s="1"/>
  <c r="E270" i="37"/>
  <c r="F270" i="37" s="1"/>
  <c r="I270" i="37" s="1"/>
  <c r="G281" i="34" s="1"/>
  <c r="H281" i="34" s="1"/>
  <c r="E199" i="37"/>
  <c r="F199" i="37" s="1"/>
  <c r="I199" i="37" s="1"/>
  <c r="G210" i="34" s="1"/>
  <c r="H210" i="34" s="1"/>
  <c r="E295" i="37"/>
  <c r="F295" i="37" s="1"/>
  <c r="I295" i="37" s="1"/>
  <c r="G306" i="34" s="1"/>
  <c r="H306" i="34" s="1"/>
  <c r="E258" i="37"/>
  <c r="F258" i="37" s="1"/>
  <c r="I258" i="37" s="1"/>
  <c r="G269" i="34" s="1"/>
  <c r="H269" i="34" s="1"/>
  <c r="E140" i="37"/>
  <c r="F140" i="37" s="1"/>
  <c r="I140" i="37" s="1"/>
  <c r="G151" i="34" s="1"/>
  <c r="H151" i="34" s="1"/>
  <c r="E79" i="37"/>
  <c r="F79" i="37" s="1"/>
  <c r="I79" i="37" s="1"/>
  <c r="G90" i="34" s="1"/>
  <c r="H90" i="34" s="1"/>
  <c r="E164" i="37"/>
  <c r="F164" i="37" s="1"/>
  <c r="I164" i="37" s="1"/>
  <c r="G175" i="34" s="1"/>
  <c r="H175" i="34" s="1"/>
  <c r="E118" i="37"/>
  <c r="F118" i="37" s="1"/>
  <c r="I118" i="37" s="1"/>
  <c r="G129" i="34" s="1"/>
  <c r="H129" i="34" s="1"/>
  <c r="E239" i="37"/>
  <c r="F239" i="37" s="1"/>
  <c r="I239" i="37" s="1"/>
  <c r="G250" i="34" s="1"/>
  <c r="H250" i="34" s="1"/>
  <c r="E38" i="37"/>
  <c r="F38" i="37" s="1"/>
  <c r="I38" i="37" s="1"/>
  <c r="G49" i="34" s="1"/>
  <c r="H49" i="34" s="1"/>
  <c r="E195" i="37"/>
  <c r="F195" i="37" s="1"/>
  <c r="I195" i="37" s="1"/>
  <c r="G206" i="34" s="1"/>
  <c r="H206" i="34" s="1"/>
  <c r="E159" i="37"/>
  <c r="F159" i="37" s="1"/>
  <c r="I159" i="37" s="1"/>
  <c r="G170" i="34" s="1"/>
  <c r="H170" i="34" s="1"/>
  <c r="E136" i="37"/>
  <c r="F136" i="37" s="1"/>
  <c r="I136" i="37" s="1"/>
  <c r="G147" i="34" s="1"/>
  <c r="H147" i="34" s="1"/>
  <c r="E71" i="37"/>
  <c r="F71" i="37" s="1"/>
  <c r="I71" i="37" s="1"/>
  <c r="G82" i="34" s="1"/>
  <c r="H82" i="34" s="1"/>
  <c r="E120" i="37"/>
  <c r="F120" i="37" s="1"/>
  <c r="I120" i="37" s="1"/>
  <c r="G131" i="34" s="1"/>
  <c r="H131" i="34" s="1"/>
  <c r="E215" i="37"/>
  <c r="F215" i="37" s="1"/>
  <c r="I215" i="37" s="1"/>
  <c r="G226" i="34" s="1"/>
  <c r="H226" i="34" s="1"/>
  <c r="E75" i="37"/>
  <c r="F75" i="37" s="1"/>
  <c r="I75" i="37" s="1"/>
  <c r="G86" i="34" s="1"/>
  <c r="H86" i="34" s="1"/>
  <c r="E110" i="37"/>
  <c r="F110" i="37" s="1"/>
  <c r="I110" i="37" s="1"/>
  <c r="G121" i="34" s="1"/>
  <c r="H121" i="34" s="1"/>
  <c r="E122" i="37"/>
  <c r="F122" i="37" s="1"/>
  <c r="I122" i="37" s="1"/>
  <c r="G133" i="34" s="1"/>
  <c r="H133" i="34" s="1"/>
  <c r="E286" i="37"/>
  <c r="F286" i="37" s="1"/>
  <c r="I286" i="37" s="1"/>
  <c r="G297" i="34" s="1"/>
  <c r="H297" i="34" s="1"/>
  <c r="E26" i="37"/>
  <c r="F26" i="37" s="1"/>
  <c r="I26" i="37" s="1"/>
  <c r="G37" i="34" s="1"/>
  <c r="H37" i="34" s="1"/>
  <c r="E18" i="37"/>
  <c r="F18" i="37" s="1"/>
  <c r="I18" i="37" s="1"/>
  <c r="G29" i="34" s="1"/>
  <c r="H29" i="34" s="1"/>
  <c r="E50" i="37"/>
  <c r="F50" i="37" s="1"/>
  <c r="I50" i="37" s="1"/>
  <c r="G61" i="34" s="1"/>
  <c r="H61" i="34" s="1"/>
  <c r="E231" i="37"/>
  <c r="F231" i="37" s="1"/>
  <c r="I231" i="37" s="1"/>
  <c r="G242" i="34" s="1"/>
  <c r="H242" i="34" s="1"/>
  <c r="E94" i="37"/>
  <c r="F94" i="37" s="1"/>
  <c r="I94" i="37" s="1"/>
  <c r="G105" i="34" s="1"/>
  <c r="H105" i="34" s="1"/>
  <c r="E39" i="37"/>
  <c r="F39" i="37" s="1"/>
  <c r="I39" i="37" s="1"/>
  <c r="G50" i="34" s="1"/>
  <c r="H50" i="34" s="1"/>
  <c r="E126" i="37"/>
  <c r="F126" i="37" s="1"/>
  <c r="I126" i="37" s="1"/>
  <c r="G137" i="34" s="1"/>
  <c r="H137" i="34" s="1"/>
  <c r="E262" i="37"/>
  <c r="F262" i="37" s="1"/>
  <c r="I262" i="37" s="1"/>
  <c r="G273" i="34" s="1"/>
  <c r="H273" i="34" s="1"/>
  <c r="E238" i="37"/>
  <c r="F238" i="37" s="1"/>
  <c r="I238" i="37" s="1"/>
  <c r="G249" i="34" s="1"/>
  <c r="H249" i="34" s="1"/>
  <c r="E102" i="37"/>
  <c r="F102" i="37" s="1"/>
  <c r="I102" i="37" s="1"/>
  <c r="G113" i="34" s="1"/>
  <c r="H113" i="34" s="1"/>
  <c r="E278" i="37"/>
  <c r="F278" i="37" s="1"/>
  <c r="I278" i="37" s="1"/>
  <c r="G289" i="34" s="1"/>
  <c r="H289" i="34" s="1"/>
  <c r="E227" i="37"/>
  <c r="F227" i="37" s="1"/>
  <c r="I227" i="37" s="1"/>
  <c r="G238" i="34" s="1"/>
  <c r="H238" i="34" s="1"/>
  <c r="E305" i="37"/>
  <c r="F305" i="37" s="1"/>
  <c r="I305" i="37" s="1"/>
  <c r="G316" i="34" s="1"/>
  <c r="H316" i="34" s="1"/>
  <c r="E62" i="37"/>
  <c r="F62" i="37" s="1"/>
  <c r="I62" i="37" s="1"/>
  <c r="G73" i="34" s="1"/>
  <c r="H73" i="34" s="1"/>
  <c r="E219" i="37"/>
  <c r="F219" i="37" s="1"/>
  <c r="I219" i="37" s="1"/>
  <c r="G230" i="34" s="1"/>
  <c r="H230" i="34" s="1"/>
  <c r="E10" i="37"/>
  <c r="F10" i="37" s="1"/>
  <c r="I10" i="37" s="1"/>
  <c r="G21" i="34" s="1"/>
  <c r="H21" i="34" s="1"/>
  <c r="E179" i="37"/>
  <c r="F179" i="37" s="1"/>
  <c r="I179" i="37" s="1"/>
  <c r="G190" i="34" s="1"/>
  <c r="H190" i="34" s="1"/>
  <c r="E311" i="37"/>
  <c r="F311" i="37" s="1"/>
  <c r="I311" i="37" s="1"/>
  <c r="G322" i="34" s="1"/>
  <c r="H322" i="34" s="1"/>
  <c r="E142" i="37"/>
  <c r="F142" i="37" s="1"/>
  <c r="I142" i="37" s="1"/>
  <c r="G153" i="34" s="1"/>
  <c r="H153" i="34" s="1"/>
  <c r="E63" i="37"/>
  <c r="F63" i="37" s="1"/>
  <c r="I63" i="37" s="1"/>
  <c r="G74" i="34" s="1"/>
  <c r="H74" i="34" s="1"/>
  <c r="E183" i="37"/>
  <c r="F183" i="37" s="1"/>
  <c r="I183" i="37" s="1"/>
  <c r="G194" i="34" s="1"/>
  <c r="H194" i="34" s="1"/>
  <c r="E70" i="37"/>
  <c r="F70" i="37" s="1"/>
  <c r="I70" i="37" s="1"/>
  <c r="G81" i="34" s="1"/>
  <c r="H81" i="34" s="1"/>
  <c r="E156" i="37"/>
  <c r="F156" i="37" s="1"/>
  <c r="I156" i="37" s="1"/>
  <c r="G167" i="34" s="1"/>
  <c r="H167" i="34" s="1"/>
  <c r="E152" i="37"/>
  <c r="F152" i="37" s="1"/>
  <c r="I152" i="37" s="1"/>
  <c r="G163" i="34" s="1"/>
  <c r="H163" i="34" s="1"/>
  <c r="E313" i="37"/>
  <c r="F313" i="37" s="1"/>
  <c r="I313" i="37" s="1"/>
  <c r="G324" i="34" s="1"/>
  <c r="H324" i="34" s="1"/>
  <c r="E83" i="37"/>
  <c r="F83" i="37" s="1"/>
  <c r="I83" i="37" s="1"/>
  <c r="G94" i="34" s="1"/>
  <c r="H94" i="34" s="1"/>
  <c r="E11" i="37"/>
  <c r="F11" i="37" s="1"/>
  <c r="I11" i="37" s="1"/>
  <c r="G22" i="34" s="1"/>
  <c r="H22" i="34" s="1"/>
  <c r="E34" i="37"/>
  <c r="F34" i="37" s="1"/>
  <c r="I34" i="37" s="1"/>
  <c r="G45" i="34" s="1"/>
  <c r="H45" i="34" s="1"/>
  <c r="E132" i="37"/>
  <c r="F132" i="37" s="1"/>
  <c r="I132" i="37" s="1"/>
  <c r="G143" i="34" s="1"/>
  <c r="H143" i="34" s="1"/>
  <c r="E128" i="37"/>
  <c r="F128" i="37" s="1"/>
  <c r="I128" i="37" s="1"/>
  <c r="G139" i="34" s="1"/>
  <c r="H139" i="34" s="1"/>
  <c r="E266" i="37"/>
  <c r="F266" i="37" s="1"/>
  <c r="I266" i="37" s="1"/>
  <c r="G277" i="34" s="1"/>
  <c r="H277" i="34" s="1"/>
  <c r="E42" i="37"/>
  <c r="F42" i="37" s="1"/>
  <c r="I42" i="37" s="1"/>
  <c r="G53" i="34" s="1"/>
  <c r="H53" i="34" s="1"/>
  <c r="E77" i="37"/>
  <c r="F77" i="37" s="1"/>
  <c r="I77" i="37" s="1"/>
  <c r="G88" i="34" s="1"/>
  <c r="H88" i="34" s="1"/>
  <c r="E288" i="37"/>
  <c r="F288" i="37" s="1"/>
  <c r="I288" i="37" s="1"/>
  <c r="G299" i="34" s="1"/>
  <c r="H299" i="34" s="1"/>
  <c r="E148" i="37"/>
  <c r="F148" i="37" s="1"/>
  <c r="I148" i="37" s="1"/>
  <c r="G159" i="34" s="1"/>
  <c r="H159" i="34" s="1"/>
  <c r="E144" i="37"/>
  <c r="F144" i="37" s="1"/>
  <c r="I144" i="37" s="1"/>
  <c r="G155" i="34" s="1"/>
  <c r="H155" i="34" s="1"/>
  <c r="E6" i="37"/>
  <c r="F6" i="37" s="1"/>
  <c r="I6" i="37" s="1"/>
  <c r="G17" i="34" s="1"/>
  <c r="H17" i="34" s="1"/>
  <c r="E15" i="37"/>
  <c r="F15" i="37" s="1"/>
  <c r="I15" i="37" s="1"/>
  <c r="G26" i="34" s="1"/>
  <c r="H26" i="34" s="1"/>
  <c r="E14" i="37"/>
  <c r="F14" i="37" s="1"/>
  <c r="I14" i="37" s="1"/>
  <c r="G25" i="34" s="1"/>
  <c r="H25" i="34" s="1"/>
  <c r="E191" i="37"/>
  <c r="F191" i="37" s="1"/>
  <c r="I191" i="37" s="1"/>
  <c r="G202" i="34" s="1"/>
  <c r="H202" i="34" s="1"/>
  <c r="E207" i="37"/>
  <c r="F207" i="37" s="1"/>
  <c r="I207" i="37" s="1"/>
  <c r="G218" i="34" s="1"/>
  <c r="H218" i="34" s="1"/>
  <c r="E22" i="37"/>
  <c r="F22" i="37" s="1"/>
  <c r="I22" i="37" s="1"/>
  <c r="G33" i="34" s="1"/>
  <c r="H33" i="34" s="1"/>
  <c r="E163" i="37"/>
  <c r="F163" i="37" s="1"/>
  <c r="I163" i="37" s="1"/>
  <c r="G174" i="34" s="1"/>
  <c r="H174" i="34" s="1"/>
  <c r="E211" i="37"/>
  <c r="F211" i="37" s="1"/>
  <c r="I211" i="37" s="1"/>
  <c r="G222" i="34" s="1"/>
  <c r="H222" i="34" s="1"/>
  <c r="E116" i="37"/>
  <c r="F116" i="37" s="1"/>
  <c r="I116" i="37" s="1"/>
  <c r="G127" i="34" s="1"/>
  <c r="H127" i="34" s="1"/>
  <c r="E301" i="37"/>
  <c r="F301" i="37" s="1"/>
  <c r="I301" i="37" s="1"/>
  <c r="G312" i="34" s="1"/>
  <c r="H312" i="34" s="1"/>
  <c r="E54" i="37"/>
  <c r="F54" i="37" s="1"/>
  <c r="I54" i="37" s="1"/>
  <c r="G65" i="34" s="1"/>
  <c r="H65" i="34" s="1"/>
  <c r="E23" i="37"/>
  <c r="F23" i="37" s="1"/>
  <c r="I23" i="37" s="1"/>
  <c r="G34" i="34" s="1"/>
  <c r="H34" i="34" s="1"/>
  <c r="E223" i="37"/>
  <c r="F223" i="37" s="1"/>
  <c r="I223" i="37" s="1"/>
  <c r="G234" i="34" s="1"/>
  <c r="H234" i="34" s="1"/>
  <c r="E85" i="37"/>
  <c r="F85" i="37" s="1"/>
  <c r="I85" i="37" s="1"/>
  <c r="G96" i="34" s="1"/>
  <c r="H96" i="34" s="1"/>
  <c r="E124" i="37"/>
  <c r="F124" i="37" s="1"/>
  <c r="I124" i="37" s="1"/>
  <c r="G135" i="34" s="1"/>
  <c r="H135" i="34" s="1"/>
  <c r="E303" i="37"/>
  <c r="F303" i="37" s="1"/>
  <c r="I303" i="37" s="1"/>
  <c r="G314" i="34" s="1"/>
  <c r="H314" i="34" s="1"/>
  <c r="E170" i="37"/>
  <c r="F170" i="37" s="1"/>
  <c r="I170" i="37" s="1"/>
  <c r="G181" i="34" s="1"/>
  <c r="H181" i="34" s="1"/>
  <c r="E89" i="37"/>
  <c r="F89" i="37" s="1"/>
  <c r="I89" i="37" s="1"/>
  <c r="G100" i="34" s="1"/>
  <c r="H100" i="34" s="1"/>
  <c r="E299" i="37"/>
  <c r="F299" i="37" s="1"/>
  <c r="I299" i="37" s="1"/>
  <c r="G310" i="34" s="1"/>
  <c r="H310" i="34" s="1"/>
  <c r="E46" i="37"/>
  <c r="F46" i="37" s="1"/>
  <c r="I46" i="37" s="1"/>
  <c r="G57" i="34" s="1"/>
  <c r="H57" i="34" s="1"/>
  <c r="E309" i="37"/>
  <c r="F309" i="37" s="1"/>
  <c r="I309" i="37" s="1"/>
  <c r="G320" i="34" s="1"/>
  <c r="H320" i="34" s="1"/>
  <c r="E203" i="37"/>
  <c r="F203" i="37" s="1"/>
  <c r="I203" i="37" s="1"/>
  <c r="G214" i="34" s="1"/>
  <c r="H214" i="34" s="1"/>
  <c r="E55" i="37"/>
  <c r="F55" i="37" s="1"/>
  <c r="I55" i="37" s="1"/>
  <c r="G66" i="34" s="1"/>
  <c r="H66" i="34" s="1"/>
  <c r="E293" i="37"/>
  <c r="F293" i="37" s="1"/>
  <c r="I293" i="37" s="1"/>
  <c r="G304" i="34" s="1"/>
  <c r="H304" i="34" s="1"/>
  <c r="E67" i="37"/>
  <c r="F67" i="37" s="1"/>
  <c r="I67" i="37" s="1"/>
  <c r="G78" i="34" s="1"/>
  <c r="H78" i="34" s="1"/>
  <c r="E114" i="37"/>
  <c r="F114" i="37" s="1"/>
  <c r="I114" i="37" s="1"/>
  <c r="G125" i="34" s="1"/>
  <c r="H125" i="34" s="1"/>
  <c r="E27" i="37"/>
  <c r="F27" i="37" s="1"/>
  <c r="I27" i="37" s="1"/>
  <c r="G38" i="34" s="1"/>
  <c r="H38" i="34" s="1"/>
  <c r="E254" i="37"/>
  <c r="F254" i="37" s="1"/>
  <c r="I254" i="37" s="1"/>
  <c r="G265" i="34" s="1"/>
  <c r="H265" i="34" s="1"/>
  <c r="E98" i="37"/>
  <c r="F98" i="37" s="1"/>
  <c r="I98" i="37" s="1"/>
  <c r="G109" i="34" s="1"/>
  <c r="H109" i="34" s="1"/>
  <c r="E274" i="37"/>
  <c r="F274" i="37" s="1"/>
  <c r="I274" i="37" s="1"/>
  <c r="G285" i="34" s="1"/>
  <c r="H285" i="34" s="1"/>
  <c r="E307" i="37"/>
  <c r="F307" i="37" s="1"/>
  <c r="I307" i="37" s="1"/>
  <c r="G318" i="34" s="1"/>
  <c r="H318" i="34" s="1"/>
  <c r="E187" i="37"/>
  <c r="F187" i="37" s="1"/>
  <c r="I187" i="37" s="1"/>
  <c r="G198" i="34" s="1"/>
  <c r="H198" i="34" s="1"/>
  <c r="E58" i="37"/>
  <c r="F58" i="37" s="1"/>
  <c r="I58" i="37" s="1"/>
  <c r="G69" i="34" s="1"/>
  <c r="H69" i="34" s="1"/>
  <c r="E66" i="37"/>
  <c r="F66" i="37" s="1"/>
  <c r="I66" i="37" s="1"/>
  <c r="G77" i="34" s="1"/>
  <c r="H77" i="34" s="1"/>
  <c r="E92" i="37"/>
  <c r="F92" i="37" s="1"/>
  <c r="I92" i="37" s="1"/>
  <c r="G103" i="34" s="1"/>
  <c r="H103" i="34" s="1"/>
  <c r="E31" i="37"/>
  <c r="F31" i="37" s="1"/>
  <c r="I31" i="37" s="1"/>
  <c r="G42" i="34" s="1"/>
  <c r="H42" i="34" s="1"/>
  <c r="E250" i="37"/>
  <c r="F250" i="37" s="1"/>
  <c r="I250" i="37" s="1"/>
  <c r="G261" i="34" s="1"/>
  <c r="H261" i="34" s="1"/>
  <c r="E146" i="37"/>
  <c r="F146" i="37" s="1"/>
  <c r="I146" i="37" s="1"/>
  <c r="G157" i="34" s="1"/>
  <c r="H157" i="34" s="1"/>
  <c r="E242" i="37"/>
  <c r="F242" i="37" s="1"/>
  <c r="I242" i="37" s="1"/>
  <c r="G253" i="34" s="1"/>
  <c r="H253" i="34" s="1"/>
  <c r="E160" i="37"/>
  <c r="F160" i="37" s="1"/>
  <c r="I160" i="37" s="1"/>
  <c r="G171" i="34" s="1"/>
  <c r="H171" i="34" s="1"/>
  <c r="E246" i="37"/>
  <c r="F246" i="37" s="1"/>
  <c r="I246" i="37" s="1"/>
  <c r="G257" i="34" s="1"/>
  <c r="H257" i="34" s="1"/>
  <c r="E47" i="37"/>
  <c r="F47" i="37" s="1"/>
  <c r="I47" i="37" s="1"/>
  <c r="G58" i="34" s="1"/>
  <c r="H58" i="34" s="1"/>
  <c r="E59" i="37"/>
  <c r="F59" i="37" s="1"/>
  <c r="I59" i="37" s="1"/>
  <c r="G70" i="34" s="1"/>
  <c r="H70" i="34" s="1"/>
  <c r="E7" i="37"/>
  <c r="F7" i="37" s="1"/>
  <c r="I7" i="37" s="1"/>
  <c r="G18" i="34" s="1"/>
  <c r="H18" i="34" s="1"/>
  <c r="E108" i="37"/>
  <c r="F108" i="37" s="1"/>
  <c r="I108" i="37" s="1"/>
  <c r="G119" i="34" s="1"/>
  <c r="H119" i="34" s="1"/>
  <c r="E81" i="37"/>
  <c r="F81" i="37" s="1"/>
  <c r="I81" i="37" s="1"/>
  <c r="G92" i="34" s="1"/>
  <c r="H92" i="34" s="1"/>
  <c r="E297" i="37"/>
  <c r="F297" i="37" s="1"/>
  <c r="I297" i="37" s="1"/>
  <c r="G308" i="34" s="1"/>
  <c r="H308" i="34" s="1"/>
  <c r="E87" i="37"/>
  <c r="F87" i="37" s="1"/>
  <c r="I87" i="37" s="1"/>
  <c r="G98" i="34" s="1"/>
  <c r="H98" i="34" s="1"/>
  <c r="E155" i="37"/>
  <c r="F155" i="37" s="1"/>
  <c r="I155" i="37" s="1"/>
  <c r="G166" i="34" s="1"/>
  <c r="H166" i="34" s="1"/>
  <c r="E106" i="37"/>
  <c r="F106" i="37" s="1"/>
  <c r="I106" i="37" s="1"/>
  <c r="G117" i="34" s="1"/>
  <c r="H117" i="34" s="1"/>
  <c r="E166" i="37"/>
  <c r="F166" i="37" s="1"/>
  <c r="I166" i="37" s="1"/>
  <c r="G177" i="34" s="1"/>
  <c r="H177" i="34" s="1"/>
  <c r="E30" i="37"/>
  <c r="F30" i="37" s="1"/>
  <c r="I30" i="37" s="1"/>
  <c r="G41" i="34" s="1"/>
  <c r="H41" i="34" s="1"/>
  <c r="E150" i="37"/>
  <c r="F150" i="37" s="1"/>
  <c r="I150" i="37" s="1"/>
  <c r="G161" i="34" s="1"/>
  <c r="H161" i="34" s="1"/>
  <c r="E235" i="37"/>
  <c r="F235" i="37" s="1"/>
  <c r="I235" i="37" s="1"/>
  <c r="G246" i="34" s="1"/>
  <c r="H246" i="34" s="1"/>
  <c r="E130" i="37"/>
  <c r="F130" i="37" s="1"/>
  <c r="I130" i="37" s="1"/>
  <c r="G141" i="34" s="1"/>
  <c r="H141" i="34" s="1"/>
  <c r="E100" i="37"/>
  <c r="F100" i="37" s="1"/>
  <c r="I100" i="37" s="1"/>
  <c r="G111" i="34" s="1"/>
  <c r="H111" i="34" s="1"/>
  <c r="E112" i="37"/>
  <c r="F112" i="37" s="1"/>
  <c r="I112" i="37" s="1"/>
  <c r="G123" i="34" s="1"/>
  <c r="H123" i="34" s="1"/>
  <c r="E19" i="37"/>
  <c r="F19" i="37" s="1"/>
  <c r="I19" i="37" s="1"/>
  <c r="G30" i="34" s="1"/>
  <c r="H30" i="34" s="1"/>
  <c r="E291" i="37"/>
  <c r="F291" i="37" s="1"/>
  <c r="I291" i="37" s="1"/>
  <c r="G302" i="34" s="1"/>
  <c r="H302" i="34" s="1"/>
  <c r="E35" i="37"/>
  <c r="F35" i="37" s="1"/>
  <c r="I35" i="37" s="1"/>
  <c r="G46" i="34" s="1"/>
  <c r="H46" i="34" s="1"/>
  <c r="E175" i="37"/>
  <c r="F175" i="37" s="1"/>
  <c r="I175" i="37" s="1"/>
  <c r="G186" i="34" s="1"/>
  <c r="H186" i="34" s="1"/>
  <c r="E96" i="37"/>
  <c r="F96" i="37" s="1"/>
  <c r="I96" i="37" s="1"/>
  <c r="G107" i="34" s="1"/>
  <c r="H107" i="34" s="1"/>
  <c r="E74" i="37"/>
  <c r="F74" i="37" s="1"/>
  <c r="I74" i="37" s="1"/>
  <c r="G85" i="34" s="1"/>
  <c r="H85" i="34" s="1"/>
  <c r="E282" i="37"/>
  <c r="F282" i="37" s="1"/>
  <c r="I282" i="37" s="1"/>
  <c r="G293" i="34" s="1"/>
  <c r="H293" i="34" s="1"/>
  <c r="E134" i="37"/>
  <c r="F134" i="37" s="1"/>
  <c r="I134" i="37" s="1"/>
  <c r="G145" i="34" s="1"/>
  <c r="H145" i="34" s="1"/>
  <c r="E51" i="37"/>
  <c r="F51" i="37" s="1"/>
  <c r="I51" i="37" s="1"/>
  <c r="G62" i="34" s="1"/>
  <c r="H62" i="34" s="1"/>
  <c r="E104" i="37"/>
  <c r="F104" i="37" s="1"/>
  <c r="I104" i="37" s="1"/>
  <c r="G115" i="34" s="1"/>
  <c r="H115" i="34" s="1"/>
  <c r="E138" i="37"/>
  <c r="F138" i="37" s="1"/>
  <c r="I138" i="37" s="1"/>
  <c r="G149" i="34" s="1"/>
  <c r="H149" i="34" s="1"/>
  <c r="K6" i="54"/>
  <c r="K315" i="54" s="1"/>
  <c r="J315" i="54"/>
  <c r="O315" i="49"/>
  <c r="K28" i="33"/>
  <c r="K36" i="33"/>
  <c r="K23" i="33"/>
  <c r="K31" i="33"/>
  <c r="K39" i="33"/>
  <c r="K11" i="33"/>
  <c r="K63" i="33"/>
  <c r="K66" i="33"/>
  <c r="K62" i="33"/>
  <c r="K94" i="33"/>
  <c r="K132" i="33"/>
  <c r="K131" i="33"/>
  <c r="K133" i="33"/>
  <c r="K137" i="33"/>
  <c r="K197" i="33"/>
  <c r="K205" i="33"/>
  <c r="K272" i="33"/>
  <c r="K295" i="33"/>
  <c r="K275" i="33"/>
  <c r="K313" i="33"/>
  <c r="K312" i="33"/>
  <c r="K287" i="33"/>
  <c r="K244" i="33"/>
  <c r="K243" i="33"/>
  <c r="K216" i="33"/>
  <c r="K215" i="33"/>
  <c r="K212" i="33"/>
  <c r="K306" i="33"/>
  <c r="K298" i="33"/>
  <c r="K290" i="33"/>
  <c r="K266" i="33"/>
  <c r="K240" i="33"/>
  <c r="K238" i="33"/>
  <c r="K246" i="33"/>
  <c r="K224" i="33"/>
  <c r="K223" i="33"/>
  <c r="K242" i="33"/>
  <c r="K220" i="33"/>
  <c r="K219" i="33"/>
  <c r="K191" i="33"/>
  <c r="K165" i="33"/>
  <c r="K265" i="33"/>
  <c r="K257" i="33"/>
  <c r="K249" i="33"/>
  <c r="K241" i="33"/>
  <c r="K229" i="33"/>
  <c r="K221" i="33"/>
  <c r="K213" i="33"/>
  <c r="K192" i="33"/>
  <c r="K299" i="33"/>
  <c r="K274" i="33"/>
  <c r="K311" i="33"/>
  <c r="K285" i="33"/>
  <c r="K284" i="33"/>
  <c r="K273" i="33"/>
  <c r="K291" i="33"/>
  <c r="K303" i="33"/>
  <c r="K281" i="33"/>
  <c r="K280" i="33"/>
  <c r="K279" i="33"/>
  <c r="K260" i="33"/>
  <c r="K259" i="33"/>
  <c r="K232" i="33"/>
  <c r="K231" i="33"/>
  <c r="K206" i="33"/>
  <c r="K278" i="33"/>
  <c r="K256" i="33"/>
  <c r="K255" i="33"/>
  <c r="K228" i="33"/>
  <c r="K227" i="33"/>
  <c r="K262" i="33"/>
  <c r="K258" i="33"/>
  <c r="K270" i="33"/>
  <c r="K181" i="33"/>
  <c r="K164" i="33"/>
  <c r="K153" i="33"/>
  <c r="K289" i="33"/>
  <c r="K288" i="33"/>
  <c r="K271" i="33"/>
  <c r="K301" i="33"/>
  <c r="K300" i="33"/>
  <c r="K277" i="33"/>
  <c r="K307" i="33"/>
  <c r="K293" i="33"/>
  <c r="K292" i="33"/>
  <c r="K283" i="33"/>
  <c r="K310" i="33"/>
  <c r="K302" i="33"/>
  <c r="K294" i="33"/>
  <c r="K286" i="33"/>
  <c r="K282" i="33"/>
  <c r="K210" i="33"/>
  <c r="K269" i="33"/>
  <c r="K252" i="33"/>
  <c r="K251" i="33"/>
  <c r="K237" i="33"/>
  <c r="K218" i="33"/>
  <c r="K248" i="33"/>
  <c r="K247" i="33"/>
  <c r="K214" i="33"/>
  <c r="K180" i="33"/>
  <c r="K152" i="33"/>
  <c r="K261" i="33"/>
  <c r="K253" i="33"/>
  <c r="K245" i="33"/>
  <c r="K233" i="33"/>
  <c r="K225" i="33"/>
  <c r="K217" i="33"/>
  <c r="K209" i="33"/>
  <c r="K203" i="33"/>
  <c r="K201" i="33"/>
  <c r="K199" i="33"/>
  <c r="K305" i="33"/>
  <c r="K304" i="33"/>
  <c r="K297" i="33"/>
  <c r="K296" i="33"/>
  <c r="K309" i="33"/>
  <c r="K308" i="33"/>
  <c r="K254" i="33"/>
  <c r="K226" i="33"/>
  <c r="K250" i="33"/>
  <c r="K222" i="33"/>
  <c r="K268" i="33"/>
  <c r="K267" i="33"/>
  <c r="K236" i="33"/>
  <c r="K234" i="33"/>
  <c r="K208" i="33"/>
  <c r="K264" i="33"/>
  <c r="K263" i="33"/>
  <c r="K230" i="33"/>
  <c r="K196" i="33"/>
  <c r="K175" i="33"/>
  <c r="K147" i="33"/>
  <c r="K171" i="33"/>
  <c r="K143" i="33"/>
  <c r="K136" i="33"/>
  <c r="K183" i="33"/>
  <c r="K144" i="33"/>
  <c r="K211" i="33"/>
  <c r="K179" i="33"/>
  <c r="K157" i="33"/>
  <c r="K140" i="33"/>
  <c r="K114" i="33"/>
  <c r="K116" i="33"/>
  <c r="K103" i="33"/>
  <c r="K111" i="33"/>
  <c r="K198" i="33"/>
  <c r="K182" i="33"/>
  <c r="K166" i="33"/>
  <c r="K154" i="33"/>
  <c r="K138" i="33"/>
  <c r="K123" i="33"/>
  <c r="K99" i="33"/>
  <c r="K89" i="33"/>
  <c r="K67" i="33"/>
  <c r="K95" i="33"/>
  <c r="K76" i="33"/>
  <c r="K125" i="33"/>
  <c r="K109" i="33"/>
  <c r="K101" i="33"/>
  <c r="K80" i="33"/>
  <c r="K204" i="33"/>
  <c r="K187" i="33"/>
  <c r="K161" i="33"/>
  <c r="K173" i="33"/>
  <c r="K139" i="33"/>
  <c r="K207" i="33"/>
  <c r="K195" i="33"/>
  <c r="K169" i="33"/>
  <c r="K156" i="33"/>
  <c r="K115" i="33"/>
  <c r="K194" i="33"/>
  <c r="K178" i="33"/>
  <c r="K162" i="33"/>
  <c r="K150" i="33"/>
  <c r="K118" i="33"/>
  <c r="K83" i="33"/>
  <c r="K82" i="33"/>
  <c r="K98" i="33"/>
  <c r="K121" i="33"/>
  <c r="K75" i="33"/>
  <c r="K74" i="33"/>
  <c r="K77" i="33"/>
  <c r="K69" i="33"/>
  <c r="K193" i="33"/>
  <c r="K177" i="33"/>
  <c r="K160" i="33"/>
  <c r="K149" i="33"/>
  <c r="K200" i="33"/>
  <c r="K189" i="33"/>
  <c r="K172" i="33"/>
  <c r="K155" i="33"/>
  <c r="K239" i="33"/>
  <c r="K185" i="33"/>
  <c r="K168" i="33"/>
  <c r="K151" i="33"/>
  <c r="K120" i="33"/>
  <c r="K110" i="33"/>
  <c r="K159" i="33"/>
  <c r="K135" i="33"/>
  <c r="K124" i="33"/>
  <c r="K122" i="33"/>
  <c r="K190" i="33"/>
  <c r="K174" i="33"/>
  <c r="K146" i="33"/>
  <c r="K134" i="33"/>
  <c r="K108" i="33"/>
  <c r="K97" i="33"/>
  <c r="K96" i="33"/>
  <c r="K71" i="33"/>
  <c r="K70" i="33"/>
  <c r="K91" i="33"/>
  <c r="K90" i="33"/>
  <c r="K102" i="33"/>
  <c r="K87" i="33"/>
  <c r="K86" i="33"/>
  <c r="K117" i="33"/>
  <c r="K105" i="33"/>
  <c r="K72" i="33"/>
  <c r="K81" i="33"/>
  <c r="K59" i="33"/>
  <c r="K176" i="33"/>
  <c r="K148" i="33"/>
  <c r="K188" i="33"/>
  <c r="K167" i="33"/>
  <c r="K145" i="33"/>
  <c r="K235" i="33"/>
  <c r="K184" i="33"/>
  <c r="K163" i="33"/>
  <c r="K141" i="33"/>
  <c r="K119" i="33"/>
  <c r="K130" i="33"/>
  <c r="K128" i="33"/>
  <c r="K126" i="33"/>
  <c r="K104" i="33"/>
  <c r="K127" i="33"/>
  <c r="K112" i="33"/>
  <c r="K202" i="33"/>
  <c r="K186" i="33"/>
  <c r="K170" i="33"/>
  <c r="K158" i="33"/>
  <c r="K142" i="33"/>
  <c r="K107" i="33"/>
  <c r="K100" i="33"/>
  <c r="K68" i="33"/>
  <c r="K65" i="33"/>
  <c r="K106" i="33"/>
  <c r="K79" i="33"/>
  <c r="K78" i="33"/>
  <c r="K129" i="33"/>
  <c r="K113" i="33"/>
  <c r="K93" i="33"/>
  <c r="K85" i="33"/>
  <c r="K73" i="33"/>
  <c r="K53" i="33"/>
  <c r="K92" i="33"/>
  <c r="K61" i="33"/>
  <c r="K57" i="33"/>
  <c r="K56" i="33"/>
  <c r="K48" i="33"/>
  <c r="K17" i="33"/>
  <c r="K6" i="33"/>
  <c r="K34" i="33"/>
  <c r="K33" i="33"/>
  <c r="K21" i="33"/>
  <c r="K15" i="33"/>
  <c r="K64" i="33"/>
  <c r="K30" i="33"/>
  <c r="K88" i="33"/>
  <c r="K55" i="33"/>
  <c r="K40" i="33"/>
  <c r="K37" i="33"/>
  <c r="K29" i="33"/>
  <c r="K42" i="33"/>
  <c r="K25" i="33"/>
  <c r="K14" i="33"/>
  <c r="K8" i="33"/>
  <c r="K58" i="33"/>
  <c r="K54" i="33"/>
  <c r="K49" i="33"/>
  <c r="K51" i="33"/>
  <c r="K47" i="33"/>
  <c r="K60" i="33"/>
  <c r="K52" i="33"/>
  <c r="K44" i="33"/>
  <c r="K12" i="33"/>
  <c r="K19" i="33"/>
  <c r="K24" i="33"/>
  <c r="K84" i="33"/>
  <c r="K38" i="33"/>
  <c r="K32" i="33"/>
  <c r="K50" i="33"/>
  <c r="K45" i="33"/>
  <c r="K46" i="33"/>
  <c r="K22" i="33"/>
  <c r="K16" i="33"/>
  <c r="K13" i="33"/>
  <c r="K7" i="33"/>
  <c r="K26" i="33"/>
  <c r="K18" i="33"/>
  <c r="K9" i="33"/>
  <c r="K41" i="33"/>
  <c r="K20" i="33"/>
  <c r="K43" i="33"/>
  <c r="K35" i="33"/>
  <c r="K10" i="33"/>
  <c r="K276" i="33"/>
  <c r="K27" i="33"/>
  <c r="J8" i="33"/>
  <c r="J28" i="33"/>
  <c r="J36" i="33"/>
  <c r="J12" i="33"/>
  <c r="J16" i="33"/>
  <c r="J24" i="33"/>
  <c r="J32" i="33"/>
  <c r="J40" i="33"/>
  <c r="J44" i="33"/>
  <c r="J20" i="33"/>
  <c r="J25" i="33"/>
  <c r="J33" i="33"/>
  <c r="J63" i="33"/>
  <c r="J80" i="33"/>
  <c r="J84" i="33"/>
  <c r="J92" i="33"/>
  <c r="J64" i="33"/>
  <c r="J96" i="33"/>
  <c r="J101" i="33"/>
  <c r="J105" i="33"/>
  <c r="J132" i="33"/>
  <c r="J133" i="33"/>
  <c r="J137" i="33"/>
  <c r="J197" i="33"/>
  <c r="J134" i="33"/>
  <c r="J138" i="33"/>
  <c r="J142" i="33"/>
  <c r="J146" i="33"/>
  <c r="J154" i="33"/>
  <c r="J158" i="33"/>
  <c r="J162" i="33"/>
  <c r="J166" i="33"/>
  <c r="J270" i="33"/>
  <c r="J278" i="33"/>
  <c r="J282" i="33"/>
  <c r="J286" i="33"/>
  <c r="J289" i="33"/>
  <c r="J274" i="33"/>
  <c r="J301" i="33"/>
  <c r="J277" i="33"/>
  <c r="J273" i="33"/>
  <c r="J312" i="33"/>
  <c r="J307" i="33"/>
  <c r="J293" i="33"/>
  <c r="J243" i="33"/>
  <c r="J215" i="33"/>
  <c r="J283" i="33"/>
  <c r="J210" i="33"/>
  <c r="J310" i="33"/>
  <c r="J294" i="33"/>
  <c r="J269" i="33"/>
  <c r="J252" i="33"/>
  <c r="J237" i="33"/>
  <c r="J223" i="33"/>
  <c r="J218" i="33"/>
  <c r="J248" i="33"/>
  <c r="J219" i="33"/>
  <c r="J214" i="33"/>
  <c r="J235" i="33"/>
  <c r="J211" i="33"/>
  <c r="J180" i="33"/>
  <c r="J152" i="33"/>
  <c r="J203" i="33"/>
  <c r="J201" i="33"/>
  <c r="J199" i="33"/>
  <c r="J305" i="33"/>
  <c r="J284" i="33"/>
  <c r="J297" i="33"/>
  <c r="J309" i="33"/>
  <c r="J280" i="33"/>
  <c r="J259" i="33"/>
  <c r="J254" i="33"/>
  <c r="J231" i="33"/>
  <c r="J226" i="33"/>
  <c r="J255" i="33"/>
  <c r="J250" i="33"/>
  <c r="J227" i="33"/>
  <c r="J222" i="33"/>
  <c r="J306" i="33"/>
  <c r="J290" i="33"/>
  <c r="J268" i="33"/>
  <c r="J236" i="33"/>
  <c r="J234" i="33"/>
  <c r="J208" i="33"/>
  <c r="J264" i="33"/>
  <c r="J230" i="33"/>
  <c r="J196" i="33"/>
  <c r="J175" i="33"/>
  <c r="J147" i="33"/>
  <c r="J288" i="33"/>
  <c r="J300" i="33"/>
  <c r="J295" i="33"/>
  <c r="J275" i="33"/>
  <c r="J313" i="33"/>
  <c r="J292" i="33"/>
  <c r="J287" i="33"/>
  <c r="J244" i="33"/>
  <c r="J216" i="33"/>
  <c r="J212" i="33"/>
  <c r="J266" i="33"/>
  <c r="J240" i="33"/>
  <c r="J238" i="33"/>
  <c r="J302" i="33"/>
  <c r="J251" i="33"/>
  <c r="J246" i="33"/>
  <c r="J224" i="33"/>
  <c r="J247" i="33"/>
  <c r="J242" i="33"/>
  <c r="J220" i="33"/>
  <c r="J239" i="33"/>
  <c r="J191" i="33"/>
  <c r="J165" i="33"/>
  <c r="J192" i="33"/>
  <c r="J304" i="33"/>
  <c r="J299" i="33"/>
  <c r="J271" i="33"/>
  <c r="J311" i="33"/>
  <c r="J285" i="33"/>
  <c r="J296" i="33"/>
  <c r="J291" i="33"/>
  <c r="J308" i="33"/>
  <c r="J303" i="33"/>
  <c r="J281" i="33"/>
  <c r="J260" i="33"/>
  <c r="J232" i="33"/>
  <c r="J206" i="33"/>
  <c r="J279" i="33"/>
  <c r="J256" i="33"/>
  <c r="J228" i="33"/>
  <c r="J298" i="33"/>
  <c r="J267" i="33"/>
  <c r="J262" i="33"/>
  <c r="J272" i="33"/>
  <c r="J263" i="33"/>
  <c r="J258" i="33"/>
  <c r="J207" i="33"/>
  <c r="J181" i="33"/>
  <c r="J164" i="33"/>
  <c r="J153" i="33"/>
  <c r="J204" i="33"/>
  <c r="J177" i="33"/>
  <c r="J160" i="33"/>
  <c r="J149" i="33"/>
  <c r="J261" i="33"/>
  <c r="J245" i="33"/>
  <c r="J233" i="33"/>
  <c r="J217" i="33"/>
  <c r="J200" i="33"/>
  <c r="J189" i="33"/>
  <c r="J172" i="33"/>
  <c r="J155" i="33"/>
  <c r="J185" i="33"/>
  <c r="J168" i="33"/>
  <c r="J151" i="33"/>
  <c r="J202" i="33"/>
  <c r="J120" i="33"/>
  <c r="J110" i="33"/>
  <c r="J124" i="33"/>
  <c r="J122" i="33"/>
  <c r="J108" i="33"/>
  <c r="J129" i="33"/>
  <c r="J121" i="33"/>
  <c r="J113" i="33"/>
  <c r="J71" i="33"/>
  <c r="J91" i="33"/>
  <c r="J65" i="33"/>
  <c r="J87" i="33"/>
  <c r="J72" i="33"/>
  <c r="J59" i="33"/>
  <c r="J193" i="33"/>
  <c r="J176" i="33"/>
  <c r="J148" i="33"/>
  <c r="J257" i="33"/>
  <c r="J241" i="33"/>
  <c r="J229" i="33"/>
  <c r="J213" i="33"/>
  <c r="J205" i="33"/>
  <c r="J188" i="33"/>
  <c r="J167" i="33"/>
  <c r="J145" i="33"/>
  <c r="J184" i="33"/>
  <c r="J163" i="33"/>
  <c r="J141" i="33"/>
  <c r="J194" i="33"/>
  <c r="J186" i="33"/>
  <c r="J178" i="33"/>
  <c r="J170" i="33"/>
  <c r="J119" i="33"/>
  <c r="J130" i="33"/>
  <c r="J128" i="33"/>
  <c r="J126" i="33"/>
  <c r="J104" i="33"/>
  <c r="J127" i="33"/>
  <c r="J112" i="33"/>
  <c r="J135" i="33"/>
  <c r="J107" i="33"/>
  <c r="J100" i="33"/>
  <c r="J82" i="33"/>
  <c r="J68" i="33"/>
  <c r="J79" i="33"/>
  <c r="J106" i="33"/>
  <c r="J98" i="33"/>
  <c r="J93" i="33"/>
  <c r="J74" i="33"/>
  <c r="J171" i="33"/>
  <c r="J143" i="33"/>
  <c r="J136" i="33"/>
  <c r="J253" i="33"/>
  <c r="J225" i="33"/>
  <c r="J183" i="33"/>
  <c r="J144" i="33"/>
  <c r="J179" i="33"/>
  <c r="J157" i="33"/>
  <c r="J140" i="33"/>
  <c r="J198" i="33"/>
  <c r="J150" i="33"/>
  <c r="J131" i="33"/>
  <c r="J114" i="33"/>
  <c r="J116" i="33"/>
  <c r="J103" i="33"/>
  <c r="J111" i="33"/>
  <c r="J159" i="33"/>
  <c r="J123" i="33"/>
  <c r="J99" i="33"/>
  <c r="J125" i="33"/>
  <c r="J117" i="33"/>
  <c r="J109" i="33"/>
  <c r="J94" i="33"/>
  <c r="J89" i="33"/>
  <c r="J70" i="33"/>
  <c r="J90" i="33"/>
  <c r="J67" i="33"/>
  <c r="J86" i="33"/>
  <c r="J76" i="33"/>
  <c r="J81" i="33"/>
  <c r="J187" i="33"/>
  <c r="J161" i="33"/>
  <c r="J265" i="33"/>
  <c r="J249" i="33"/>
  <c r="J221" i="33"/>
  <c r="J209" i="33"/>
  <c r="J173" i="33"/>
  <c r="J139" i="33"/>
  <c r="J195" i="33"/>
  <c r="J169" i="33"/>
  <c r="J156" i="33"/>
  <c r="J190" i="33"/>
  <c r="J182" i="33"/>
  <c r="J174" i="33"/>
  <c r="J115" i="33"/>
  <c r="J118" i="33"/>
  <c r="J97" i="33"/>
  <c r="J83" i="33"/>
  <c r="J78" i="33"/>
  <c r="J102" i="33"/>
  <c r="J95" i="33"/>
  <c r="J75" i="33"/>
  <c r="J30" i="33"/>
  <c r="J54" i="33"/>
  <c r="J61" i="33"/>
  <c r="J51" i="33"/>
  <c r="J66" i="33"/>
  <c r="J62" i="33"/>
  <c r="J57" i="33"/>
  <c r="J47" i="33"/>
  <c r="J56" i="33"/>
  <c r="J48" i="33"/>
  <c r="J37" i="33"/>
  <c r="J58" i="33"/>
  <c r="J77" i="33"/>
  <c r="J69" i="33"/>
  <c r="J38" i="33"/>
  <c r="J50" i="33"/>
  <c r="J46" i="33"/>
  <c r="J22" i="33"/>
  <c r="J13" i="33"/>
  <c r="J7" i="33"/>
  <c r="J26" i="33"/>
  <c r="J18" i="33"/>
  <c r="J9" i="33"/>
  <c r="J53" i="33"/>
  <c r="J85" i="33"/>
  <c r="J49" i="33"/>
  <c r="J88" i="33"/>
  <c r="J17" i="33"/>
  <c r="J60" i="33"/>
  <c r="J52" i="33"/>
  <c r="J6" i="33"/>
  <c r="J34" i="33"/>
  <c r="J21" i="33"/>
  <c r="J11" i="33"/>
  <c r="J41" i="33"/>
  <c r="J73" i="33"/>
  <c r="J55" i="33"/>
  <c r="J45" i="33"/>
  <c r="J39" i="33"/>
  <c r="J31" i="33"/>
  <c r="J23" i="33"/>
  <c r="J19" i="33"/>
  <c r="J42" i="33"/>
  <c r="J29" i="33"/>
  <c r="J15" i="33"/>
  <c r="J14" i="33"/>
  <c r="J35" i="33"/>
  <c r="J10" i="33"/>
  <c r="J276" i="33"/>
  <c r="J27" i="33"/>
  <c r="J43" i="33"/>
  <c r="G11" i="33"/>
  <c r="G28" i="33"/>
  <c r="G62" i="33"/>
  <c r="G63" i="33"/>
  <c r="G272" i="33"/>
  <c r="G299" i="33"/>
  <c r="G274" i="33"/>
  <c r="G311" i="33"/>
  <c r="G285" i="33"/>
  <c r="G284" i="33"/>
  <c r="G291" i="33"/>
  <c r="G303" i="33"/>
  <c r="G281" i="33"/>
  <c r="G280" i="33"/>
  <c r="G260" i="33"/>
  <c r="G259" i="33"/>
  <c r="G232" i="33"/>
  <c r="G231" i="33"/>
  <c r="G206" i="33"/>
  <c r="G256" i="33"/>
  <c r="G255" i="33"/>
  <c r="G228" i="33"/>
  <c r="G227" i="33"/>
  <c r="G262" i="33"/>
  <c r="G258" i="33"/>
  <c r="G181" i="33"/>
  <c r="G164" i="33"/>
  <c r="G153" i="33"/>
  <c r="G205" i="33"/>
  <c r="G204" i="33"/>
  <c r="G289" i="33"/>
  <c r="G288" i="33"/>
  <c r="G301" i="33"/>
  <c r="G300" i="33"/>
  <c r="G277" i="33"/>
  <c r="G275" i="33"/>
  <c r="G307" i="33"/>
  <c r="G293" i="33"/>
  <c r="G292" i="33"/>
  <c r="G239" i="33"/>
  <c r="G306" i="33"/>
  <c r="G298" i="33"/>
  <c r="G290" i="33"/>
  <c r="G235" i="33"/>
  <c r="G210" i="33"/>
  <c r="G269" i="33"/>
  <c r="G252" i="33"/>
  <c r="G251" i="33"/>
  <c r="G237" i="33"/>
  <c r="G218" i="33"/>
  <c r="G248" i="33"/>
  <c r="G247" i="33"/>
  <c r="G214" i="33"/>
  <c r="G180" i="33"/>
  <c r="G152" i="33"/>
  <c r="G265" i="33"/>
  <c r="G257" i="33"/>
  <c r="G249" i="33"/>
  <c r="G241" i="33"/>
  <c r="G229" i="33"/>
  <c r="G221" i="33"/>
  <c r="G305" i="33"/>
  <c r="G304" i="33"/>
  <c r="G282" i="33"/>
  <c r="G273" i="33"/>
  <c r="G297" i="33"/>
  <c r="G296" i="33"/>
  <c r="G309" i="33"/>
  <c r="G308" i="33"/>
  <c r="G278" i="33"/>
  <c r="G279" i="33"/>
  <c r="G254" i="33"/>
  <c r="G226" i="33"/>
  <c r="G250" i="33"/>
  <c r="G222" i="33"/>
  <c r="G268" i="33"/>
  <c r="G267" i="33"/>
  <c r="G236" i="33"/>
  <c r="G234" i="33"/>
  <c r="G208" i="33"/>
  <c r="G207" i="33"/>
  <c r="G264" i="33"/>
  <c r="G263" i="33"/>
  <c r="G230" i="33"/>
  <c r="G270" i="33"/>
  <c r="G202" i="33"/>
  <c r="G196" i="33"/>
  <c r="G175" i="33"/>
  <c r="G174" i="33"/>
  <c r="G147" i="33"/>
  <c r="G146" i="33"/>
  <c r="G193" i="33"/>
  <c r="G271" i="33"/>
  <c r="G295" i="33"/>
  <c r="G313" i="33"/>
  <c r="G312" i="33"/>
  <c r="G287" i="33"/>
  <c r="G283" i="33"/>
  <c r="G244" i="33"/>
  <c r="G243" i="33"/>
  <c r="G216" i="33"/>
  <c r="G215" i="33"/>
  <c r="G212" i="33"/>
  <c r="G211" i="33"/>
  <c r="G310" i="33"/>
  <c r="G302" i="33"/>
  <c r="G294" i="33"/>
  <c r="G286" i="33"/>
  <c r="G266" i="33"/>
  <c r="G240" i="33"/>
  <c r="G238" i="33"/>
  <c r="G246" i="33"/>
  <c r="G224" i="33"/>
  <c r="G223" i="33"/>
  <c r="G242" i="33"/>
  <c r="G220" i="33"/>
  <c r="G219" i="33"/>
  <c r="G191" i="33"/>
  <c r="G190" i="33"/>
  <c r="G165" i="33"/>
  <c r="G261" i="33"/>
  <c r="G253" i="33"/>
  <c r="G245" i="33"/>
  <c r="G233" i="33"/>
  <c r="G225" i="33"/>
  <c r="G217" i="33"/>
  <c r="G192" i="33"/>
  <c r="G187" i="33"/>
  <c r="G186" i="33"/>
  <c r="G161" i="33"/>
  <c r="G158" i="33"/>
  <c r="G173" i="33"/>
  <c r="G139" i="33"/>
  <c r="G138" i="33"/>
  <c r="G195" i="33"/>
  <c r="G194" i="33"/>
  <c r="G169" i="33"/>
  <c r="G156" i="33"/>
  <c r="G197" i="33"/>
  <c r="G133" i="33"/>
  <c r="G129" i="33"/>
  <c r="G115" i="33"/>
  <c r="G118" i="33"/>
  <c r="G117" i="33"/>
  <c r="G83" i="33"/>
  <c r="G82" i="33"/>
  <c r="G65" i="33"/>
  <c r="G106" i="33"/>
  <c r="G75" i="33"/>
  <c r="G74" i="33"/>
  <c r="G85" i="33"/>
  <c r="G73" i="33"/>
  <c r="G64" i="33"/>
  <c r="G30" i="33"/>
  <c r="G92" i="33"/>
  <c r="G213" i="33"/>
  <c r="G199" i="33"/>
  <c r="G177" i="33"/>
  <c r="G160" i="33"/>
  <c r="G149" i="33"/>
  <c r="G200" i="33"/>
  <c r="G189" i="33"/>
  <c r="G172" i="33"/>
  <c r="G155" i="33"/>
  <c r="G154" i="33"/>
  <c r="G185" i="33"/>
  <c r="G168" i="33"/>
  <c r="G151" i="33"/>
  <c r="G150" i="33"/>
  <c r="G120" i="33"/>
  <c r="G110" i="33"/>
  <c r="G109" i="33"/>
  <c r="G132" i="33"/>
  <c r="G124" i="33"/>
  <c r="G122" i="33"/>
  <c r="G121" i="33"/>
  <c r="G108" i="33"/>
  <c r="G105" i="33"/>
  <c r="G96" i="33"/>
  <c r="G71" i="33"/>
  <c r="G70" i="33"/>
  <c r="G95" i="33"/>
  <c r="G91" i="33"/>
  <c r="G90" i="33"/>
  <c r="G87" i="33"/>
  <c r="G86" i="33"/>
  <c r="G72" i="33"/>
  <c r="G209" i="33"/>
  <c r="G176" i="33"/>
  <c r="G148" i="33"/>
  <c r="G134" i="33"/>
  <c r="G188" i="33"/>
  <c r="G167" i="33"/>
  <c r="G166" i="33"/>
  <c r="G145" i="33"/>
  <c r="G184" i="33"/>
  <c r="G163" i="33"/>
  <c r="G162" i="33"/>
  <c r="G141" i="33"/>
  <c r="G119" i="33"/>
  <c r="G130" i="33"/>
  <c r="G128" i="33"/>
  <c r="G126" i="33"/>
  <c r="G125" i="33"/>
  <c r="G104" i="33"/>
  <c r="G101" i="33"/>
  <c r="G131" i="33"/>
  <c r="G127" i="33"/>
  <c r="G112" i="33"/>
  <c r="G107" i="33"/>
  <c r="G100" i="33"/>
  <c r="G80" i="33"/>
  <c r="G68" i="33"/>
  <c r="G94" i="33"/>
  <c r="G79" i="33"/>
  <c r="G78" i="33"/>
  <c r="G93" i="33"/>
  <c r="G77" i="33"/>
  <c r="G69" i="33"/>
  <c r="G58" i="33"/>
  <c r="G53" i="33"/>
  <c r="G88" i="33"/>
  <c r="G203" i="33"/>
  <c r="G201" i="33"/>
  <c r="G198" i="33"/>
  <c r="G171" i="33"/>
  <c r="G170" i="33"/>
  <c r="G143" i="33"/>
  <c r="G142" i="33"/>
  <c r="G136" i="33"/>
  <c r="G183" i="33"/>
  <c r="G182" i="33"/>
  <c r="G144" i="33"/>
  <c r="G179" i="33"/>
  <c r="G178" i="33"/>
  <c r="G157" i="33"/>
  <c r="G140" i="33"/>
  <c r="G137" i="33"/>
  <c r="G114" i="33"/>
  <c r="G113" i="33"/>
  <c r="G116" i="33"/>
  <c r="G103" i="33"/>
  <c r="G159" i="33"/>
  <c r="G135" i="33"/>
  <c r="G111" i="33"/>
  <c r="G123" i="33"/>
  <c r="G99" i="33"/>
  <c r="G97" i="33"/>
  <c r="G89" i="33"/>
  <c r="G98" i="33"/>
  <c r="G67" i="33"/>
  <c r="G102" i="33"/>
  <c r="G84" i="33"/>
  <c r="G76" i="33"/>
  <c r="G81" i="33"/>
  <c r="G55" i="33"/>
  <c r="G37" i="33"/>
  <c r="G29" i="33"/>
  <c r="G42" i="33"/>
  <c r="G24" i="33"/>
  <c r="G25" i="33"/>
  <c r="G23" i="33"/>
  <c r="G14" i="33"/>
  <c r="G54" i="33"/>
  <c r="G49" i="33"/>
  <c r="G51" i="33"/>
  <c r="G47" i="33"/>
  <c r="G56" i="33"/>
  <c r="G48" i="33"/>
  <c r="G12" i="33"/>
  <c r="G32" i="33"/>
  <c r="G38" i="33"/>
  <c r="G50" i="33"/>
  <c r="G45" i="33"/>
  <c r="G46" i="33"/>
  <c r="G22" i="33"/>
  <c r="G16" i="33"/>
  <c r="G13" i="33"/>
  <c r="G7" i="33"/>
  <c r="G40" i="33"/>
  <c r="G26" i="33"/>
  <c r="G18" i="33"/>
  <c r="G9" i="33"/>
  <c r="G41" i="33"/>
  <c r="G39" i="33"/>
  <c r="G20" i="33"/>
  <c r="G19" i="33"/>
  <c r="G59" i="33"/>
  <c r="G66" i="33"/>
  <c r="G61" i="33"/>
  <c r="G15" i="33"/>
  <c r="G57" i="33"/>
  <c r="G36" i="33"/>
  <c r="G60" i="33"/>
  <c r="G52" i="33"/>
  <c r="G44" i="33"/>
  <c r="G17" i="33"/>
  <c r="G6" i="33"/>
  <c r="G34" i="33"/>
  <c r="G33" i="33"/>
  <c r="G31" i="33"/>
  <c r="G21" i="33"/>
  <c r="G8" i="33"/>
  <c r="G27" i="33"/>
  <c r="G43" i="33"/>
  <c r="G10" i="33"/>
  <c r="G35" i="33"/>
  <c r="G276" i="33"/>
  <c r="I8" i="33"/>
  <c r="I21" i="33"/>
  <c r="I44" i="33"/>
  <c r="I48" i="33"/>
  <c r="I52" i="33"/>
  <c r="I56" i="33"/>
  <c r="I60" i="33"/>
  <c r="I9" i="33"/>
  <c r="I25" i="33"/>
  <c r="I33" i="33"/>
  <c r="I41" i="33"/>
  <c r="I80" i="33"/>
  <c r="I84" i="33"/>
  <c r="I88" i="33"/>
  <c r="I92" i="33"/>
  <c r="I69" i="33"/>
  <c r="I73" i="33"/>
  <c r="I77" i="33"/>
  <c r="I81" i="33"/>
  <c r="I85" i="33"/>
  <c r="I63" i="33"/>
  <c r="I93" i="33"/>
  <c r="I101" i="33"/>
  <c r="I105" i="33"/>
  <c r="I109" i="33"/>
  <c r="I113" i="33"/>
  <c r="I117" i="33"/>
  <c r="I121" i="33"/>
  <c r="I125" i="33"/>
  <c r="I129" i="33"/>
  <c r="I95" i="33"/>
  <c r="I102" i="33"/>
  <c r="I106" i="33"/>
  <c r="I133" i="33"/>
  <c r="I137" i="33"/>
  <c r="I197" i="33"/>
  <c r="I134" i="33"/>
  <c r="I138" i="33"/>
  <c r="I142" i="33"/>
  <c r="I146" i="33"/>
  <c r="I150" i="33"/>
  <c r="I154" i="33"/>
  <c r="I158" i="33"/>
  <c r="I162" i="33"/>
  <c r="I166" i="33"/>
  <c r="I170" i="33"/>
  <c r="I174" i="33"/>
  <c r="I178" i="33"/>
  <c r="I182" i="33"/>
  <c r="I186" i="33"/>
  <c r="I190" i="33"/>
  <c r="I194" i="33"/>
  <c r="I198" i="33"/>
  <c r="I202" i="33"/>
  <c r="I135" i="33"/>
  <c r="I159" i="33"/>
  <c r="I205" i="33"/>
  <c r="I209" i="33"/>
  <c r="I213" i="33"/>
  <c r="I217" i="33"/>
  <c r="I221" i="33"/>
  <c r="I225" i="33"/>
  <c r="I229" i="33"/>
  <c r="I233" i="33"/>
  <c r="I241" i="33"/>
  <c r="I245" i="33"/>
  <c r="I249" i="33"/>
  <c r="I253" i="33"/>
  <c r="I257" i="33"/>
  <c r="I261" i="33"/>
  <c r="I265" i="33"/>
  <c r="I270" i="33"/>
  <c r="I207" i="33"/>
  <c r="I211" i="33"/>
  <c r="I235" i="33"/>
  <c r="I239" i="33"/>
  <c r="I278" i="33"/>
  <c r="I282" i="33"/>
  <c r="I286" i="33"/>
  <c r="I290" i="33"/>
  <c r="I294" i="33"/>
  <c r="I298" i="33"/>
  <c r="I302" i="33"/>
  <c r="I306" i="33"/>
  <c r="I310" i="33"/>
  <c r="I279" i="33"/>
  <c r="I283" i="33"/>
  <c r="I289" i="33"/>
  <c r="I288" i="33"/>
  <c r="I301" i="33"/>
  <c r="I300" i="33"/>
  <c r="I295" i="33"/>
  <c r="I277" i="33"/>
  <c r="I293" i="33"/>
  <c r="I292" i="33"/>
  <c r="I287" i="33"/>
  <c r="I272" i="33"/>
  <c r="I266" i="33"/>
  <c r="I238" i="33"/>
  <c r="I252" i="33"/>
  <c r="I251" i="33"/>
  <c r="I246" i="33"/>
  <c r="I248" i="33"/>
  <c r="I247" i="33"/>
  <c r="I242" i="33"/>
  <c r="I165" i="33"/>
  <c r="I203" i="33"/>
  <c r="I199" i="33"/>
  <c r="I192" i="33"/>
  <c r="I305" i="33"/>
  <c r="I304" i="33"/>
  <c r="I299" i="33"/>
  <c r="I271" i="33"/>
  <c r="I311" i="33"/>
  <c r="I297" i="33"/>
  <c r="I296" i="33"/>
  <c r="I291" i="33"/>
  <c r="I309" i="33"/>
  <c r="I308" i="33"/>
  <c r="I303" i="33"/>
  <c r="I206" i="33"/>
  <c r="I268" i="33"/>
  <c r="I267" i="33"/>
  <c r="I262" i="33"/>
  <c r="I236" i="33"/>
  <c r="I208" i="33"/>
  <c r="I264" i="33"/>
  <c r="I263" i="33"/>
  <c r="I258" i="33"/>
  <c r="I181" i="33"/>
  <c r="I175" i="33"/>
  <c r="I164" i="33"/>
  <c r="I153" i="33"/>
  <c r="I147" i="33"/>
  <c r="I313" i="33"/>
  <c r="I312" i="33"/>
  <c r="I307" i="33"/>
  <c r="I244" i="33"/>
  <c r="I243" i="33"/>
  <c r="I216" i="33"/>
  <c r="I215" i="33"/>
  <c r="I212" i="33"/>
  <c r="I240" i="33"/>
  <c r="I210" i="33"/>
  <c r="I269" i="33"/>
  <c r="I237" i="33"/>
  <c r="I224" i="33"/>
  <c r="I223" i="33"/>
  <c r="I218" i="33"/>
  <c r="I220" i="33"/>
  <c r="I219" i="33"/>
  <c r="I214" i="33"/>
  <c r="I191" i="33"/>
  <c r="I180" i="33"/>
  <c r="I152" i="33"/>
  <c r="I201" i="33"/>
  <c r="I274" i="33"/>
  <c r="I285" i="33"/>
  <c r="I284" i="33"/>
  <c r="I275" i="33"/>
  <c r="I273" i="33"/>
  <c r="I281" i="33"/>
  <c r="I280" i="33"/>
  <c r="I260" i="33"/>
  <c r="I259" i="33"/>
  <c r="I254" i="33"/>
  <c r="I232" i="33"/>
  <c r="I231" i="33"/>
  <c r="I226" i="33"/>
  <c r="I256" i="33"/>
  <c r="I255" i="33"/>
  <c r="I250" i="33"/>
  <c r="I228" i="33"/>
  <c r="I227" i="33"/>
  <c r="I222" i="33"/>
  <c r="I234" i="33"/>
  <c r="I230" i="33"/>
  <c r="I196" i="33"/>
  <c r="I193" i="33"/>
  <c r="I136" i="33"/>
  <c r="I155" i="33"/>
  <c r="I144" i="33"/>
  <c r="I157" i="33"/>
  <c r="I151" i="33"/>
  <c r="I140" i="33"/>
  <c r="I116" i="33"/>
  <c r="I110" i="33"/>
  <c r="I103" i="33"/>
  <c r="I122" i="33"/>
  <c r="I111" i="33"/>
  <c r="I123" i="33"/>
  <c r="I99" i="33"/>
  <c r="I98" i="33"/>
  <c r="I94" i="33"/>
  <c r="I89" i="33"/>
  <c r="I71" i="33"/>
  <c r="I70" i="33"/>
  <c r="I96" i="33"/>
  <c r="I91" i="33"/>
  <c r="I90" i="33"/>
  <c r="I87" i="33"/>
  <c r="I86" i="33"/>
  <c r="I76" i="33"/>
  <c r="I161" i="33"/>
  <c r="I173" i="33"/>
  <c r="I167" i="33"/>
  <c r="I169" i="33"/>
  <c r="I163" i="33"/>
  <c r="I156" i="33"/>
  <c r="I130" i="33"/>
  <c r="I126" i="33"/>
  <c r="I115" i="33"/>
  <c r="I97" i="33"/>
  <c r="I79" i="33"/>
  <c r="I78" i="33"/>
  <c r="I177" i="33"/>
  <c r="I171" i="33"/>
  <c r="I160" i="33"/>
  <c r="I149" i="33"/>
  <c r="I143" i="33"/>
  <c r="I200" i="33"/>
  <c r="I189" i="33"/>
  <c r="I183" i="33"/>
  <c r="I172" i="33"/>
  <c r="I185" i="33"/>
  <c r="I179" i="33"/>
  <c r="I168" i="33"/>
  <c r="I120" i="33"/>
  <c r="I114" i="33"/>
  <c r="I124" i="33"/>
  <c r="I108" i="33"/>
  <c r="I67" i="33"/>
  <c r="I65" i="33"/>
  <c r="I72" i="33"/>
  <c r="I59" i="33"/>
  <c r="I204" i="33"/>
  <c r="I187" i="33"/>
  <c r="I176" i="33"/>
  <c r="I148" i="33"/>
  <c r="I188" i="33"/>
  <c r="I145" i="33"/>
  <c r="I139" i="33"/>
  <c r="I195" i="33"/>
  <c r="I184" i="33"/>
  <c r="I141" i="33"/>
  <c r="I119" i="33"/>
  <c r="I131" i="33"/>
  <c r="I128" i="33"/>
  <c r="I104" i="33"/>
  <c r="I127" i="33"/>
  <c r="I112" i="33"/>
  <c r="I132" i="33"/>
  <c r="I118" i="33"/>
  <c r="I107" i="33"/>
  <c r="I100" i="33"/>
  <c r="I83" i="33"/>
  <c r="I82" i="33"/>
  <c r="I68" i="33"/>
  <c r="I75" i="33"/>
  <c r="I74" i="33"/>
  <c r="I66" i="33"/>
  <c r="I64" i="33"/>
  <c r="I54" i="33"/>
  <c r="I49" i="33"/>
  <c r="I26" i="33"/>
  <c r="I34" i="33"/>
  <c r="I40" i="33"/>
  <c r="I32" i="33"/>
  <c r="I24" i="33"/>
  <c r="I12" i="33"/>
  <c r="I6" i="33"/>
  <c r="I29" i="33"/>
  <c r="I11" i="33"/>
  <c r="I53" i="33"/>
  <c r="I55" i="33"/>
  <c r="I38" i="33"/>
  <c r="I13" i="33"/>
  <c r="I50" i="33"/>
  <c r="I45" i="33"/>
  <c r="I46" i="33"/>
  <c r="I22" i="33"/>
  <c r="I16" i="33"/>
  <c r="I39" i="33"/>
  <c r="I31" i="33"/>
  <c r="I23" i="33"/>
  <c r="I19" i="33"/>
  <c r="I15" i="33"/>
  <c r="I36" i="33"/>
  <c r="I20" i="33"/>
  <c r="I14" i="33"/>
  <c r="I30" i="33"/>
  <c r="I61" i="33"/>
  <c r="I51" i="33"/>
  <c r="I62" i="33"/>
  <c r="I57" i="33"/>
  <c r="I47" i="33"/>
  <c r="I42" i="33"/>
  <c r="I28" i="33"/>
  <c r="I58" i="33"/>
  <c r="I7" i="33"/>
  <c r="I18" i="33"/>
  <c r="I37" i="33"/>
  <c r="I17" i="33"/>
  <c r="I27" i="33"/>
  <c r="I43" i="33"/>
  <c r="I276" i="33"/>
  <c r="I35" i="33"/>
  <c r="I10" i="33"/>
  <c r="H14" i="33"/>
  <c r="H26" i="33"/>
  <c r="H42" i="33"/>
  <c r="H64" i="33"/>
  <c r="H66" i="33"/>
  <c r="H93" i="33"/>
  <c r="H98" i="33"/>
  <c r="H132" i="33"/>
  <c r="H272" i="33"/>
  <c r="H305" i="33"/>
  <c r="H304" i="33"/>
  <c r="H299" i="33"/>
  <c r="H271" i="33"/>
  <c r="H311" i="33"/>
  <c r="H297" i="33"/>
  <c r="H296" i="33"/>
  <c r="H291" i="33"/>
  <c r="H309" i="33"/>
  <c r="H308" i="33"/>
  <c r="H303" i="33"/>
  <c r="H306" i="33"/>
  <c r="H290" i="33"/>
  <c r="H282" i="33"/>
  <c r="H206" i="33"/>
  <c r="H268" i="33"/>
  <c r="H267" i="33"/>
  <c r="H262" i="33"/>
  <c r="H236" i="33"/>
  <c r="H208" i="33"/>
  <c r="H264" i="33"/>
  <c r="H263" i="33"/>
  <c r="H258" i="33"/>
  <c r="H261" i="33"/>
  <c r="H245" i="33"/>
  <c r="H225" i="33"/>
  <c r="H196" i="33"/>
  <c r="H181" i="33"/>
  <c r="H175" i="33"/>
  <c r="H153" i="33"/>
  <c r="H147" i="33"/>
  <c r="H313" i="33"/>
  <c r="H312" i="33"/>
  <c r="H307" i="33"/>
  <c r="H302" i="33"/>
  <c r="H286" i="33"/>
  <c r="H270" i="33"/>
  <c r="H244" i="33"/>
  <c r="H243" i="33"/>
  <c r="H216" i="33"/>
  <c r="H215" i="33"/>
  <c r="H212" i="33"/>
  <c r="H240" i="33"/>
  <c r="H210" i="33"/>
  <c r="H224" i="33"/>
  <c r="H223" i="33"/>
  <c r="H218" i="33"/>
  <c r="H220" i="33"/>
  <c r="H219" i="33"/>
  <c r="H214" i="33"/>
  <c r="H257" i="33"/>
  <c r="H241" i="33"/>
  <c r="H221" i="33"/>
  <c r="H205" i="33"/>
  <c r="H191" i="33"/>
  <c r="H274" i="33"/>
  <c r="H285" i="33"/>
  <c r="H284" i="33"/>
  <c r="H275" i="33"/>
  <c r="H281" i="33"/>
  <c r="H280" i="33"/>
  <c r="H298" i="33"/>
  <c r="H260" i="33"/>
  <c r="H259" i="33"/>
  <c r="H254" i="33"/>
  <c r="H232" i="33"/>
  <c r="H231" i="33"/>
  <c r="H226" i="33"/>
  <c r="H256" i="33"/>
  <c r="H255" i="33"/>
  <c r="H250" i="33"/>
  <c r="H228" i="33"/>
  <c r="H227" i="33"/>
  <c r="H222" i="33"/>
  <c r="H234" i="33"/>
  <c r="H230" i="33"/>
  <c r="H253" i="33"/>
  <c r="H233" i="33"/>
  <c r="H217" i="33"/>
  <c r="H209" i="33"/>
  <c r="H164" i="33"/>
  <c r="H204" i="33"/>
  <c r="H193" i="33"/>
  <c r="H289" i="33"/>
  <c r="H288" i="33"/>
  <c r="H283" i="33"/>
  <c r="H301" i="33"/>
  <c r="H300" i="33"/>
  <c r="H295" i="33"/>
  <c r="H277" i="33"/>
  <c r="H273" i="33"/>
  <c r="H279" i="33"/>
  <c r="H293" i="33"/>
  <c r="H292" i="33"/>
  <c r="H287" i="33"/>
  <c r="H310" i="33"/>
  <c r="H294" i="33"/>
  <c r="H278" i="33"/>
  <c r="H266" i="33"/>
  <c r="H238" i="33"/>
  <c r="H269" i="33"/>
  <c r="H252" i="33"/>
  <c r="H251" i="33"/>
  <c r="H246" i="33"/>
  <c r="H237" i="33"/>
  <c r="H248" i="33"/>
  <c r="H247" i="33"/>
  <c r="H242" i="33"/>
  <c r="H265" i="33"/>
  <c r="H249" i="33"/>
  <c r="H229" i="33"/>
  <c r="H213" i="33"/>
  <c r="H180" i="33"/>
  <c r="H165" i="33"/>
  <c r="H152" i="33"/>
  <c r="H203" i="33"/>
  <c r="H176" i="33"/>
  <c r="H161" i="33"/>
  <c r="H148" i="33"/>
  <c r="H207" i="33"/>
  <c r="H197" i="33"/>
  <c r="H188" i="33"/>
  <c r="H173" i="33"/>
  <c r="H167" i="33"/>
  <c r="H184" i="33"/>
  <c r="H169" i="33"/>
  <c r="H163" i="33"/>
  <c r="H119" i="33"/>
  <c r="H130" i="33"/>
  <c r="H126" i="33"/>
  <c r="H198" i="33"/>
  <c r="H182" i="33"/>
  <c r="H166" i="33"/>
  <c r="H158" i="33"/>
  <c r="H142" i="33"/>
  <c r="H134" i="33"/>
  <c r="H127" i="33"/>
  <c r="H107" i="33"/>
  <c r="H97" i="33"/>
  <c r="H68" i="33"/>
  <c r="H77" i="33"/>
  <c r="H117" i="33"/>
  <c r="H101" i="33"/>
  <c r="H79" i="33"/>
  <c r="H78" i="33"/>
  <c r="H69" i="33"/>
  <c r="H80" i="33"/>
  <c r="H58" i="33"/>
  <c r="H53" i="33"/>
  <c r="H52" i="33"/>
  <c r="H201" i="33"/>
  <c r="H192" i="33"/>
  <c r="H177" i="33"/>
  <c r="H171" i="33"/>
  <c r="H149" i="33"/>
  <c r="H143" i="33"/>
  <c r="H136" i="33"/>
  <c r="H189" i="33"/>
  <c r="H183" i="33"/>
  <c r="H144" i="33"/>
  <c r="H133" i="33"/>
  <c r="H185" i="33"/>
  <c r="H179" i="33"/>
  <c r="H140" i="33"/>
  <c r="H120" i="33"/>
  <c r="H114" i="33"/>
  <c r="H159" i="33"/>
  <c r="H103" i="33"/>
  <c r="H194" i="33"/>
  <c r="H178" i="33"/>
  <c r="H162" i="33"/>
  <c r="H154" i="33"/>
  <c r="H138" i="33"/>
  <c r="H124" i="33"/>
  <c r="H111" i="33"/>
  <c r="H123" i="33"/>
  <c r="H108" i="33"/>
  <c r="H99" i="33"/>
  <c r="H106" i="33"/>
  <c r="H67" i="33"/>
  <c r="H65" i="33"/>
  <c r="H129" i="33"/>
  <c r="H113" i="33"/>
  <c r="H105" i="33"/>
  <c r="H76" i="33"/>
  <c r="H81" i="33"/>
  <c r="H92" i="33"/>
  <c r="H84" i="33"/>
  <c r="H199" i="33"/>
  <c r="H187" i="33"/>
  <c r="H239" i="33"/>
  <c r="H211" i="33"/>
  <c r="H145" i="33"/>
  <c r="H139" i="33"/>
  <c r="H195" i="33"/>
  <c r="H156" i="33"/>
  <c r="H141" i="33"/>
  <c r="H137" i="33"/>
  <c r="H135" i="33"/>
  <c r="H128" i="33"/>
  <c r="H115" i="33"/>
  <c r="H104" i="33"/>
  <c r="H190" i="33"/>
  <c r="H174" i="33"/>
  <c r="H150" i="33"/>
  <c r="H112" i="33"/>
  <c r="H118" i="33"/>
  <c r="H100" i="33"/>
  <c r="H83" i="33"/>
  <c r="H82" i="33"/>
  <c r="H102" i="33"/>
  <c r="H94" i="33"/>
  <c r="H125" i="33"/>
  <c r="H109" i="33"/>
  <c r="H73" i="33"/>
  <c r="H75" i="33"/>
  <c r="H74" i="33"/>
  <c r="H88" i="33"/>
  <c r="H30" i="33"/>
  <c r="H18" i="33"/>
  <c r="H160" i="33"/>
  <c r="H235" i="33"/>
  <c r="H200" i="33"/>
  <c r="H172" i="33"/>
  <c r="H155" i="33"/>
  <c r="H168" i="33"/>
  <c r="H157" i="33"/>
  <c r="H151" i="33"/>
  <c r="H131" i="33"/>
  <c r="H116" i="33"/>
  <c r="H110" i="33"/>
  <c r="H202" i="33"/>
  <c r="H186" i="33"/>
  <c r="H170" i="33"/>
  <c r="H146" i="33"/>
  <c r="H122" i="33"/>
  <c r="H95" i="33"/>
  <c r="H89" i="33"/>
  <c r="H71" i="33"/>
  <c r="H70" i="33"/>
  <c r="H91" i="33"/>
  <c r="H90" i="33"/>
  <c r="H85" i="33"/>
  <c r="H121" i="33"/>
  <c r="H96" i="33"/>
  <c r="H87" i="33"/>
  <c r="H86" i="33"/>
  <c r="H72" i="33"/>
  <c r="H59" i="33"/>
  <c r="H38" i="33"/>
  <c r="H50" i="33"/>
  <c r="H45" i="33"/>
  <c r="H44" i="33"/>
  <c r="H46" i="33"/>
  <c r="H22" i="33"/>
  <c r="H16" i="33"/>
  <c r="H19" i="33"/>
  <c r="H13" i="33"/>
  <c r="H15" i="33"/>
  <c r="H9" i="33"/>
  <c r="H41" i="33"/>
  <c r="H36" i="33"/>
  <c r="H20" i="33"/>
  <c r="H8" i="33"/>
  <c r="H61" i="33"/>
  <c r="H60" i="33"/>
  <c r="H62" i="33"/>
  <c r="H57" i="33"/>
  <c r="H56" i="33"/>
  <c r="H17" i="33"/>
  <c r="H6" i="33"/>
  <c r="H23" i="33"/>
  <c r="H33" i="33"/>
  <c r="H28" i="33"/>
  <c r="H21" i="33"/>
  <c r="H55" i="33"/>
  <c r="H34" i="33"/>
  <c r="H63" i="33"/>
  <c r="H37" i="33"/>
  <c r="H29" i="33"/>
  <c r="H7" i="33"/>
  <c r="H31" i="33"/>
  <c r="H25" i="33"/>
  <c r="H54" i="33"/>
  <c r="H49" i="33"/>
  <c r="H48" i="33"/>
  <c r="H51" i="33"/>
  <c r="H47" i="33"/>
  <c r="H40" i="33"/>
  <c r="H32" i="33"/>
  <c r="H24" i="33"/>
  <c r="H12" i="33"/>
  <c r="H39" i="33"/>
  <c r="H11" i="33"/>
  <c r="H276" i="33"/>
  <c r="H27" i="33"/>
  <c r="H43" i="33"/>
  <c r="H35" i="33"/>
  <c r="H10" i="33"/>
  <c r="M315" i="25"/>
  <c r="H5" i="33"/>
  <c r="J5" i="33"/>
  <c r="K5" i="33"/>
  <c r="G5" i="33"/>
  <c r="R314" i="11"/>
  <c r="K41" i="40" s="1"/>
  <c r="L314" i="11"/>
  <c r="K40" i="40" s="1"/>
  <c r="E5" i="37"/>
  <c r="F5" i="37" s="1"/>
  <c r="I5" i="33"/>
  <c r="L276" i="33" l="1"/>
  <c r="M276" i="33" s="1"/>
  <c r="E282" i="9" s="1"/>
  <c r="L27" i="33"/>
  <c r="M27" i="33" s="1"/>
  <c r="E33" i="9" s="1"/>
  <c r="L33" i="33"/>
  <c r="M33" i="33" s="1"/>
  <c r="E39" i="9" s="1"/>
  <c r="L44" i="33"/>
  <c r="M44" i="33" s="1"/>
  <c r="E50" i="9" s="1"/>
  <c r="L57" i="33"/>
  <c r="M57" i="33" s="1"/>
  <c r="E63" i="9" s="1"/>
  <c r="L59" i="33"/>
  <c r="M59" i="33" s="1"/>
  <c r="E65" i="9" s="1"/>
  <c r="L41" i="33"/>
  <c r="M41" i="33" s="1"/>
  <c r="E47" i="9" s="1"/>
  <c r="L40" i="33"/>
  <c r="M40" i="33" s="1"/>
  <c r="E46" i="9" s="1"/>
  <c r="L22" i="33"/>
  <c r="M22" i="33" s="1"/>
  <c r="E28" i="9" s="1"/>
  <c r="L38" i="33"/>
  <c r="M38" i="33" s="1"/>
  <c r="E44" i="9" s="1"/>
  <c r="L56" i="33"/>
  <c r="M56" i="33" s="1"/>
  <c r="E62" i="9" s="1"/>
  <c r="L54" i="33"/>
  <c r="M54" i="33" s="1"/>
  <c r="E60" i="9" s="1"/>
  <c r="L24" i="33"/>
  <c r="M24" i="33" s="1"/>
  <c r="E30" i="9" s="1"/>
  <c r="L55" i="33"/>
  <c r="M55" i="33" s="1"/>
  <c r="E61" i="9" s="1"/>
  <c r="L102" i="33"/>
  <c r="M102" i="33" s="1"/>
  <c r="E108" i="9" s="1"/>
  <c r="L97" i="33"/>
  <c r="M97" i="33" s="1"/>
  <c r="E103" i="9" s="1"/>
  <c r="L135" i="33"/>
  <c r="M135" i="33" s="1"/>
  <c r="E141" i="9" s="1"/>
  <c r="L113" i="33"/>
  <c r="M113" i="33" s="1"/>
  <c r="E119" i="9" s="1"/>
  <c r="L157" i="33"/>
  <c r="M157" i="33" s="1"/>
  <c r="E163" i="9" s="1"/>
  <c r="L182" i="33"/>
  <c r="M182" i="33" s="1"/>
  <c r="E188" i="9" s="1"/>
  <c r="L143" i="33"/>
  <c r="M143" i="33" s="1"/>
  <c r="E149" i="9" s="1"/>
  <c r="L201" i="33"/>
  <c r="M201" i="33" s="1"/>
  <c r="E207" i="9" s="1"/>
  <c r="L58" i="33"/>
  <c r="M58" i="33" s="1"/>
  <c r="E64" i="9" s="1"/>
  <c r="L78" i="33"/>
  <c r="M78" i="33" s="1"/>
  <c r="E84" i="9" s="1"/>
  <c r="L80" i="33"/>
  <c r="M80" i="33" s="1"/>
  <c r="E86" i="9" s="1"/>
  <c r="L127" i="33"/>
  <c r="M127" i="33" s="1"/>
  <c r="E133" i="9" s="1"/>
  <c r="L125" i="33"/>
  <c r="M125" i="33" s="1"/>
  <c r="E131" i="9" s="1"/>
  <c r="L119" i="33"/>
  <c r="M119" i="33" s="1"/>
  <c r="E125" i="9" s="1"/>
  <c r="L184" i="33"/>
  <c r="M184" i="33" s="1"/>
  <c r="E190" i="9" s="1"/>
  <c r="L188" i="33"/>
  <c r="M188" i="33" s="1"/>
  <c r="E194" i="9" s="1"/>
  <c r="L209" i="33"/>
  <c r="M209" i="33" s="1"/>
  <c r="E215" i="9" s="1"/>
  <c r="L90" i="33"/>
  <c r="M90" i="33" s="1"/>
  <c r="E96" i="9" s="1"/>
  <c r="L71" i="33"/>
  <c r="M71" i="33" s="1"/>
  <c r="E77" i="9" s="1"/>
  <c r="L121" i="33"/>
  <c r="M121" i="33" s="1"/>
  <c r="E127" i="9" s="1"/>
  <c r="L109" i="33"/>
  <c r="M109" i="33" s="1"/>
  <c r="E115" i="9" s="1"/>
  <c r="L151" i="33"/>
  <c r="M151" i="33" s="1"/>
  <c r="E157" i="9" s="1"/>
  <c r="L155" i="33"/>
  <c r="M155" i="33" s="1"/>
  <c r="E161" i="9" s="1"/>
  <c r="L149" i="33"/>
  <c r="M149" i="33" s="1"/>
  <c r="E155" i="9" s="1"/>
  <c r="L213" i="33"/>
  <c r="M213" i="33" s="1"/>
  <c r="E219" i="9" s="1"/>
  <c r="L73" i="33"/>
  <c r="M73" i="33" s="1"/>
  <c r="E79" i="9" s="1"/>
  <c r="L106" i="33"/>
  <c r="M106" i="33" s="1"/>
  <c r="E112" i="9" s="1"/>
  <c r="L117" i="33"/>
  <c r="M117" i="33" s="1"/>
  <c r="E123" i="9" s="1"/>
  <c r="L133" i="33"/>
  <c r="M133" i="33" s="1"/>
  <c r="E139" i="9" s="1"/>
  <c r="L194" i="33"/>
  <c r="M194" i="33" s="1"/>
  <c r="E200" i="9" s="1"/>
  <c r="L173" i="33"/>
  <c r="M173" i="33" s="1"/>
  <c r="E179" i="9" s="1"/>
  <c r="L187" i="33"/>
  <c r="M187" i="33" s="1"/>
  <c r="E193" i="9" s="1"/>
  <c r="L233" i="33"/>
  <c r="M233" i="33" s="1"/>
  <c r="E239" i="9" s="1"/>
  <c r="L165" i="33"/>
  <c r="M165" i="33" s="1"/>
  <c r="E171" i="9" s="1"/>
  <c r="L220" i="33"/>
  <c r="M220" i="33" s="1"/>
  <c r="E226" i="9" s="1"/>
  <c r="L246" i="33"/>
  <c r="M246" i="33" s="1"/>
  <c r="E252" i="9" s="1"/>
  <c r="L286" i="33"/>
  <c r="M286" i="33" s="1"/>
  <c r="E292" i="9" s="1"/>
  <c r="L211" i="33"/>
  <c r="M211" i="33" s="1"/>
  <c r="E217" i="9" s="1"/>
  <c r="L243" i="33"/>
  <c r="M243" i="33" s="1"/>
  <c r="E249" i="9" s="1"/>
  <c r="L312" i="33"/>
  <c r="M312" i="33" s="1"/>
  <c r="E318" i="9" s="1"/>
  <c r="L193" i="33"/>
  <c r="M193" i="33" s="1"/>
  <c r="E199" i="9" s="1"/>
  <c r="L175" i="33"/>
  <c r="M175" i="33" s="1"/>
  <c r="E181" i="9" s="1"/>
  <c r="L230" i="33"/>
  <c r="M230" i="33" s="1"/>
  <c r="E236" i="9" s="1"/>
  <c r="L208" i="33"/>
  <c r="M208" i="33" s="1"/>
  <c r="E214" i="9" s="1"/>
  <c r="L268" i="33"/>
  <c r="M268" i="33" s="1"/>
  <c r="E274" i="9" s="1"/>
  <c r="L254" i="33"/>
  <c r="M254" i="33" s="1"/>
  <c r="E260" i="9" s="1"/>
  <c r="L309" i="33"/>
  <c r="M309" i="33" s="1"/>
  <c r="E315" i="9" s="1"/>
  <c r="L282" i="33"/>
  <c r="M282" i="33" s="1"/>
  <c r="E288" i="9" s="1"/>
  <c r="L229" i="33"/>
  <c r="M229" i="33" s="1"/>
  <c r="E235" i="9" s="1"/>
  <c r="L265" i="33"/>
  <c r="M265" i="33" s="1"/>
  <c r="E271" i="9" s="1"/>
  <c r="L247" i="33"/>
  <c r="M247" i="33" s="1"/>
  <c r="E253" i="9" s="1"/>
  <c r="L251" i="33"/>
  <c r="M251" i="33" s="1"/>
  <c r="E257" i="9" s="1"/>
  <c r="L235" i="33"/>
  <c r="M235" i="33" s="1"/>
  <c r="E241" i="9" s="1"/>
  <c r="L239" i="33"/>
  <c r="M239" i="33" s="1"/>
  <c r="E245" i="9" s="1"/>
  <c r="L275" i="33"/>
  <c r="M275" i="33" s="1"/>
  <c r="E281" i="9" s="1"/>
  <c r="L288" i="33"/>
  <c r="M288" i="33" s="1"/>
  <c r="E294" i="9" s="1"/>
  <c r="L153" i="33"/>
  <c r="M153" i="33" s="1"/>
  <c r="E159" i="9" s="1"/>
  <c r="L262" i="33"/>
  <c r="M262" i="33" s="1"/>
  <c r="E268" i="9" s="1"/>
  <c r="L256" i="33"/>
  <c r="M256" i="33" s="1"/>
  <c r="E262" i="9" s="1"/>
  <c r="L259" i="33"/>
  <c r="M259" i="33" s="1"/>
  <c r="E265" i="9" s="1"/>
  <c r="L303" i="33"/>
  <c r="M303" i="33" s="1"/>
  <c r="E309" i="9" s="1"/>
  <c r="L311" i="33"/>
  <c r="M311" i="33" s="1"/>
  <c r="E317" i="9" s="1"/>
  <c r="L63" i="33"/>
  <c r="M63" i="33" s="1"/>
  <c r="E69" i="9" s="1"/>
  <c r="L35" i="33"/>
  <c r="M35" i="33" s="1"/>
  <c r="E41" i="9" s="1"/>
  <c r="L8" i="33"/>
  <c r="M8" i="33" s="1"/>
  <c r="E14" i="9" s="1"/>
  <c r="L34" i="33"/>
  <c r="M34" i="33" s="1"/>
  <c r="E40" i="9" s="1"/>
  <c r="L52" i="33"/>
  <c r="M52" i="33" s="1"/>
  <c r="E58" i="9" s="1"/>
  <c r="L15" i="33"/>
  <c r="M15" i="33" s="1"/>
  <c r="E21" i="9" s="1"/>
  <c r="L19" i="33"/>
  <c r="M19" i="33" s="1"/>
  <c r="E25" i="9" s="1"/>
  <c r="L9" i="33"/>
  <c r="M9" i="33" s="1"/>
  <c r="E15" i="9" s="1"/>
  <c r="L7" i="33"/>
  <c r="M7" i="33" s="1"/>
  <c r="E13" i="9" s="1"/>
  <c r="L46" i="33"/>
  <c r="M46" i="33" s="1"/>
  <c r="E52" i="9" s="1"/>
  <c r="L32" i="33"/>
  <c r="M32" i="33" s="1"/>
  <c r="E38" i="9" s="1"/>
  <c r="L47" i="33"/>
  <c r="M47" i="33" s="1"/>
  <c r="E53" i="9" s="1"/>
  <c r="L14" i="33"/>
  <c r="M14" i="33" s="1"/>
  <c r="E20" i="9" s="1"/>
  <c r="L42" i="33"/>
  <c r="M42" i="33" s="1"/>
  <c r="E48" i="9" s="1"/>
  <c r="L81" i="33"/>
  <c r="M81" i="33" s="1"/>
  <c r="E87" i="9" s="1"/>
  <c r="L67" i="33"/>
  <c r="M67" i="33" s="1"/>
  <c r="E73" i="9" s="1"/>
  <c r="L99" i="33"/>
  <c r="M99" i="33" s="1"/>
  <c r="E105" i="9" s="1"/>
  <c r="L159" i="33"/>
  <c r="M159" i="33" s="1"/>
  <c r="E165" i="9" s="1"/>
  <c r="L114" i="33"/>
  <c r="M114" i="33" s="1"/>
  <c r="E120" i="9" s="1"/>
  <c r="L178" i="33"/>
  <c r="M178" i="33" s="1"/>
  <c r="E184" i="9" s="1"/>
  <c r="L183" i="33"/>
  <c r="M183" i="33" s="1"/>
  <c r="E189" i="9" s="1"/>
  <c r="L170" i="33"/>
  <c r="M170" i="33" s="1"/>
  <c r="E176" i="9" s="1"/>
  <c r="L203" i="33"/>
  <c r="M203" i="33" s="1"/>
  <c r="E209" i="9" s="1"/>
  <c r="L69" i="33"/>
  <c r="M69" i="33" s="1"/>
  <c r="E75" i="9" s="1"/>
  <c r="L79" i="33"/>
  <c r="M79" i="33" s="1"/>
  <c r="E85" i="9" s="1"/>
  <c r="L100" i="33"/>
  <c r="M100" i="33" s="1"/>
  <c r="E106" i="9" s="1"/>
  <c r="L131" i="33"/>
  <c r="M131" i="33" s="1"/>
  <c r="E137" i="9" s="1"/>
  <c r="L126" i="33"/>
  <c r="M126" i="33" s="1"/>
  <c r="E132" i="9" s="1"/>
  <c r="L141" i="33"/>
  <c r="M141" i="33" s="1"/>
  <c r="E147" i="9" s="1"/>
  <c r="L145" i="33"/>
  <c r="M145" i="33" s="1"/>
  <c r="E151" i="9" s="1"/>
  <c r="L134" i="33"/>
  <c r="M134" i="33" s="1"/>
  <c r="E140" i="9" s="1"/>
  <c r="L72" i="33"/>
  <c r="M72" i="33" s="1"/>
  <c r="E78" i="9" s="1"/>
  <c r="L91" i="33"/>
  <c r="M91" i="33" s="1"/>
  <c r="E97" i="9" s="1"/>
  <c r="L96" i="33"/>
  <c r="M96" i="33" s="1"/>
  <c r="E102" i="9" s="1"/>
  <c r="L122" i="33"/>
  <c r="M122" i="33" s="1"/>
  <c r="E128" i="9" s="1"/>
  <c r="L110" i="33"/>
  <c r="M110" i="33" s="1"/>
  <c r="E116" i="9" s="1"/>
  <c r="L168" i="33"/>
  <c r="M168" i="33" s="1"/>
  <c r="E174" i="9" s="1"/>
  <c r="L172" i="33"/>
  <c r="M172" i="33" s="1"/>
  <c r="E178" i="9" s="1"/>
  <c r="L160" i="33"/>
  <c r="M160" i="33" s="1"/>
  <c r="E166" i="9" s="1"/>
  <c r="L92" i="33"/>
  <c r="M92" i="33" s="1"/>
  <c r="E98" i="9" s="1"/>
  <c r="L85" i="33"/>
  <c r="M85" i="33" s="1"/>
  <c r="E91" i="9" s="1"/>
  <c r="L65" i="33"/>
  <c r="M65" i="33" s="1"/>
  <c r="E71" i="9" s="1"/>
  <c r="L118" i="33"/>
  <c r="M118" i="33" s="1"/>
  <c r="E124" i="9" s="1"/>
  <c r="L197" i="33"/>
  <c r="M197" i="33" s="1"/>
  <c r="E203" i="9" s="1"/>
  <c r="L195" i="33"/>
  <c r="M195" i="33" s="1"/>
  <c r="E201" i="9" s="1"/>
  <c r="L158" i="33"/>
  <c r="M158" i="33" s="1"/>
  <c r="E164" i="9" s="1"/>
  <c r="L192" i="33"/>
  <c r="M192" i="33" s="1"/>
  <c r="E198" i="9" s="1"/>
  <c r="L245" i="33"/>
  <c r="M245" i="33" s="1"/>
  <c r="E251" i="9" s="1"/>
  <c r="L190" i="33"/>
  <c r="M190" i="33" s="1"/>
  <c r="E196" i="9" s="1"/>
  <c r="L242" i="33"/>
  <c r="M242" i="33" s="1"/>
  <c r="E248" i="9" s="1"/>
  <c r="L238" i="33"/>
  <c r="M238" i="33" s="1"/>
  <c r="E244" i="9" s="1"/>
  <c r="L294" i="33"/>
  <c r="M294" i="33" s="1"/>
  <c r="E300" i="9" s="1"/>
  <c r="L212" i="33"/>
  <c r="M212" i="33" s="1"/>
  <c r="E218" i="9" s="1"/>
  <c r="L244" i="33"/>
  <c r="M244" i="33" s="1"/>
  <c r="E250" i="9" s="1"/>
  <c r="L313" i="33"/>
  <c r="M313" i="33" s="1"/>
  <c r="E319" i="9" s="1"/>
  <c r="L146" i="33"/>
  <c r="M146" i="33" s="1"/>
  <c r="E152" i="9" s="1"/>
  <c r="L196" i="33"/>
  <c r="M196" i="33" s="1"/>
  <c r="E202" i="9" s="1"/>
  <c r="L263" i="33"/>
  <c r="M263" i="33" s="1"/>
  <c r="E269" i="9" s="1"/>
  <c r="L234" i="33"/>
  <c r="M234" i="33" s="1"/>
  <c r="E240" i="9" s="1"/>
  <c r="L222" i="33"/>
  <c r="M222" i="33" s="1"/>
  <c r="E228" i="9" s="1"/>
  <c r="L279" i="33"/>
  <c r="M279" i="33" s="1"/>
  <c r="E285" i="9" s="1"/>
  <c r="L296" i="33"/>
  <c r="M296" i="33" s="1"/>
  <c r="E302" i="9" s="1"/>
  <c r="L304" i="33"/>
  <c r="M304" i="33" s="1"/>
  <c r="E310" i="9" s="1"/>
  <c r="L241" i="33"/>
  <c r="M241" i="33" s="1"/>
  <c r="E247" i="9" s="1"/>
  <c r="L152" i="33"/>
  <c r="M152" i="33" s="1"/>
  <c r="E158" i="9" s="1"/>
  <c r="L248" i="33"/>
  <c r="M248" i="33" s="1"/>
  <c r="E254" i="9" s="1"/>
  <c r="L252" i="33"/>
  <c r="M252" i="33" s="1"/>
  <c r="E258" i="9" s="1"/>
  <c r="L290" i="33"/>
  <c r="M290" i="33" s="1"/>
  <c r="E296" i="9" s="1"/>
  <c r="L292" i="33"/>
  <c r="M292" i="33" s="1"/>
  <c r="E298" i="9" s="1"/>
  <c r="L277" i="33"/>
  <c r="M277" i="33" s="1"/>
  <c r="E283" i="9" s="1"/>
  <c r="L289" i="33"/>
  <c r="M289" i="33" s="1"/>
  <c r="E295" i="9" s="1"/>
  <c r="L164" i="33"/>
  <c r="M164" i="33" s="1"/>
  <c r="E170" i="9" s="1"/>
  <c r="L227" i="33"/>
  <c r="M227" i="33" s="1"/>
  <c r="E233" i="9" s="1"/>
  <c r="L206" i="33"/>
  <c r="M206" i="33" s="1"/>
  <c r="E212" i="9" s="1"/>
  <c r="L260" i="33"/>
  <c r="M260" i="33" s="1"/>
  <c r="E266" i="9" s="1"/>
  <c r="L291" i="33"/>
  <c r="M291" i="33" s="1"/>
  <c r="E297" i="9" s="1"/>
  <c r="L274" i="33"/>
  <c r="M274" i="33" s="1"/>
  <c r="E280" i="9" s="1"/>
  <c r="L62" i="33"/>
  <c r="M62" i="33" s="1"/>
  <c r="E68" i="9" s="1"/>
  <c r="L10" i="33"/>
  <c r="M10" i="33" s="1"/>
  <c r="E16" i="9" s="1"/>
  <c r="L21" i="33"/>
  <c r="M21" i="33" s="1"/>
  <c r="E27" i="9" s="1"/>
  <c r="L6" i="33"/>
  <c r="M6" i="33" s="1"/>
  <c r="E12" i="9" s="1"/>
  <c r="L60" i="33"/>
  <c r="M60" i="33" s="1"/>
  <c r="E66" i="9" s="1"/>
  <c r="L61" i="33"/>
  <c r="M61" i="33" s="1"/>
  <c r="E67" i="9" s="1"/>
  <c r="L20" i="33"/>
  <c r="M20" i="33" s="1"/>
  <c r="E26" i="9" s="1"/>
  <c r="L18" i="33"/>
  <c r="M18" i="33" s="1"/>
  <c r="E24" i="9" s="1"/>
  <c r="L13" i="33"/>
  <c r="M13" i="33" s="1"/>
  <c r="E19" i="9" s="1"/>
  <c r="L45" i="33"/>
  <c r="M45" i="33" s="1"/>
  <c r="E51" i="9" s="1"/>
  <c r="L12" i="33"/>
  <c r="M12" i="33" s="1"/>
  <c r="E18" i="9" s="1"/>
  <c r="L51" i="33"/>
  <c r="M51" i="33" s="1"/>
  <c r="E57" i="9" s="1"/>
  <c r="L23" i="33"/>
  <c r="M23" i="33" s="1"/>
  <c r="E29" i="9" s="1"/>
  <c r="L29" i="33"/>
  <c r="M29" i="33" s="1"/>
  <c r="E35" i="9" s="1"/>
  <c r="L76" i="33"/>
  <c r="M76" i="33" s="1"/>
  <c r="E82" i="9" s="1"/>
  <c r="L98" i="33"/>
  <c r="M98" i="33" s="1"/>
  <c r="E104" i="9" s="1"/>
  <c r="L123" i="33"/>
  <c r="M123" i="33" s="1"/>
  <c r="E129" i="9" s="1"/>
  <c r="L103" i="33"/>
  <c r="M103" i="33" s="1"/>
  <c r="E109" i="9" s="1"/>
  <c r="L137" i="33"/>
  <c r="M137" i="33" s="1"/>
  <c r="E143" i="9" s="1"/>
  <c r="L179" i="33"/>
  <c r="M179" i="33" s="1"/>
  <c r="E185" i="9" s="1"/>
  <c r="L136" i="33"/>
  <c r="M136" i="33" s="1"/>
  <c r="E142" i="9" s="1"/>
  <c r="L171" i="33"/>
  <c r="M171" i="33" s="1"/>
  <c r="E177" i="9" s="1"/>
  <c r="L88" i="33"/>
  <c r="M88" i="33" s="1"/>
  <c r="E94" i="9" s="1"/>
  <c r="L77" i="33"/>
  <c r="M77" i="33" s="1"/>
  <c r="E83" i="9" s="1"/>
  <c r="L94" i="33"/>
  <c r="M94" i="33" s="1"/>
  <c r="E100" i="9" s="1"/>
  <c r="L107" i="33"/>
  <c r="M107" i="33" s="1"/>
  <c r="E113" i="9" s="1"/>
  <c r="L101" i="33"/>
  <c r="M101" i="33" s="1"/>
  <c r="E107" i="9" s="1"/>
  <c r="L128" i="33"/>
  <c r="M128" i="33" s="1"/>
  <c r="E134" i="9" s="1"/>
  <c r="L162" i="33"/>
  <c r="M162" i="33" s="1"/>
  <c r="E168" i="9" s="1"/>
  <c r="L166" i="33"/>
  <c r="M166" i="33" s="1"/>
  <c r="E172" i="9" s="1"/>
  <c r="L148" i="33"/>
  <c r="M148" i="33" s="1"/>
  <c r="E154" i="9" s="1"/>
  <c r="L86" i="33"/>
  <c r="M86" i="33" s="1"/>
  <c r="E92" i="9" s="1"/>
  <c r="L95" i="33"/>
  <c r="M95" i="33" s="1"/>
  <c r="E101" i="9" s="1"/>
  <c r="L105" i="33"/>
  <c r="M105" i="33" s="1"/>
  <c r="E111" i="9" s="1"/>
  <c r="L124" i="33"/>
  <c r="M124" i="33" s="1"/>
  <c r="E130" i="9" s="1"/>
  <c r="L120" i="33"/>
  <c r="M120" i="33" s="1"/>
  <c r="E126" i="9" s="1"/>
  <c r="L185" i="33"/>
  <c r="M185" i="33" s="1"/>
  <c r="E191" i="9" s="1"/>
  <c r="L189" i="33"/>
  <c r="M189" i="33" s="1"/>
  <c r="E195" i="9" s="1"/>
  <c r="L177" i="33"/>
  <c r="M177" i="33" s="1"/>
  <c r="E183" i="9" s="1"/>
  <c r="L30" i="33"/>
  <c r="M30" i="33" s="1"/>
  <c r="E36" i="9" s="1"/>
  <c r="L74" i="33"/>
  <c r="M74" i="33" s="1"/>
  <c r="E80" i="9" s="1"/>
  <c r="L82" i="33"/>
  <c r="M82" i="33" s="1"/>
  <c r="E88" i="9" s="1"/>
  <c r="L115" i="33"/>
  <c r="M115" i="33" s="1"/>
  <c r="E121" i="9" s="1"/>
  <c r="L156" i="33"/>
  <c r="M156" i="33" s="1"/>
  <c r="E162" i="9" s="1"/>
  <c r="L138" i="33"/>
  <c r="M138" i="33" s="1"/>
  <c r="E144" i="9" s="1"/>
  <c r="L161" i="33"/>
  <c r="M161" i="33" s="1"/>
  <c r="E167" i="9" s="1"/>
  <c r="L217" i="33"/>
  <c r="M217" i="33" s="1"/>
  <c r="E223" i="9" s="1"/>
  <c r="L253" i="33"/>
  <c r="M253" i="33" s="1"/>
  <c r="E259" i="9" s="1"/>
  <c r="L191" i="33"/>
  <c r="M191" i="33" s="1"/>
  <c r="E197" i="9" s="1"/>
  <c r="L223" i="33"/>
  <c r="M223" i="33" s="1"/>
  <c r="E229" i="9" s="1"/>
  <c r="L240" i="33"/>
  <c r="M240" i="33" s="1"/>
  <c r="E246" i="9" s="1"/>
  <c r="L302" i="33"/>
  <c r="M302" i="33" s="1"/>
  <c r="E308" i="9" s="1"/>
  <c r="L215" i="33"/>
  <c r="M215" i="33" s="1"/>
  <c r="E221" i="9" s="1"/>
  <c r="L283" i="33"/>
  <c r="M283" i="33" s="1"/>
  <c r="E289" i="9" s="1"/>
  <c r="L295" i="33"/>
  <c r="M295" i="33" s="1"/>
  <c r="E301" i="9" s="1"/>
  <c r="L147" i="33"/>
  <c r="M147" i="33" s="1"/>
  <c r="E153" i="9" s="1"/>
  <c r="L202" i="33"/>
  <c r="M202" i="33" s="1"/>
  <c r="E208" i="9" s="1"/>
  <c r="L264" i="33"/>
  <c r="M264" i="33" s="1"/>
  <c r="E270" i="9" s="1"/>
  <c r="L236" i="33"/>
  <c r="M236" i="33" s="1"/>
  <c r="E242" i="9" s="1"/>
  <c r="L250" i="33"/>
  <c r="M250" i="33" s="1"/>
  <c r="E256" i="9" s="1"/>
  <c r="L278" i="33"/>
  <c r="M278" i="33" s="1"/>
  <c r="E284" i="9" s="1"/>
  <c r="L297" i="33"/>
  <c r="M297" i="33" s="1"/>
  <c r="E303" i="9" s="1"/>
  <c r="L305" i="33"/>
  <c r="M305" i="33" s="1"/>
  <c r="E311" i="9" s="1"/>
  <c r="L249" i="33"/>
  <c r="M249" i="33" s="1"/>
  <c r="E255" i="9" s="1"/>
  <c r="L180" i="33"/>
  <c r="M180" i="33" s="1"/>
  <c r="E186" i="9" s="1"/>
  <c r="L218" i="33"/>
  <c r="M218" i="33" s="1"/>
  <c r="E224" i="9" s="1"/>
  <c r="L269" i="33"/>
  <c r="M269" i="33" s="1"/>
  <c r="E275" i="9" s="1"/>
  <c r="L298" i="33"/>
  <c r="M298" i="33" s="1"/>
  <c r="E304" i="9" s="1"/>
  <c r="L293" i="33"/>
  <c r="M293" i="33" s="1"/>
  <c r="E299" i="9" s="1"/>
  <c r="L300" i="33"/>
  <c r="M300" i="33" s="1"/>
  <c r="E306" i="9" s="1"/>
  <c r="L204" i="33"/>
  <c r="M204" i="33" s="1"/>
  <c r="E210" i="9" s="1"/>
  <c r="L181" i="33"/>
  <c r="M181" i="33" s="1"/>
  <c r="E187" i="9" s="1"/>
  <c r="L228" i="33"/>
  <c r="M228" i="33" s="1"/>
  <c r="E234" i="9" s="1"/>
  <c r="L231" i="33"/>
  <c r="M231" i="33" s="1"/>
  <c r="E237" i="9" s="1"/>
  <c r="L280" i="33"/>
  <c r="M280" i="33" s="1"/>
  <c r="E286" i="9" s="1"/>
  <c r="L284" i="33"/>
  <c r="M284" i="33" s="1"/>
  <c r="E290" i="9" s="1"/>
  <c r="L299" i="33"/>
  <c r="M299" i="33" s="1"/>
  <c r="E305" i="9" s="1"/>
  <c r="L28" i="33"/>
  <c r="M28" i="33" s="1"/>
  <c r="E34" i="9" s="1"/>
  <c r="L43" i="33"/>
  <c r="M43" i="33" s="1"/>
  <c r="E49" i="9" s="1"/>
  <c r="L31" i="33"/>
  <c r="M31" i="33" s="1"/>
  <c r="E37" i="9" s="1"/>
  <c r="L17" i="33"/>
  <c r="M17" i="33" s="1"/>
  <c r="E23" i="9" s="1"/>
  <c r="L36" i="33"/>
  <c r="M36" i="33" s="1"/>
  <c r="E42" i="9" s="1"/>
  <c r="L66" i="33"/>
  <c r="M66" i="33" s="1"/>
  <c r="E72" i="9" s="1"/>
  <c r="L39" i="33"/>
  <c r="M39" i="33" s="1"/>
  <c r="E45" i="9" s="1"/>
  <c r="L26" i="33"/>
  <c r="M26" i="33" s="1"/>
  <c r="E32" i="9" s="1"/>
  <c r="L16" i="33"/>
  <c r="M16" i="33" s="1"/>
  <c r="E22" i="9" s="1"/>
  <c r="L50" i="33"/>
  <c r="M50" i="33" s="1"/>
  <c r="E56" i="9" s="1"/>
  <c r="L48" i="33"/>
  <c r="M48" i="33" s="1"/>
  <c r="E54" i="9" s="1"/>
  <c r="L49" i="33"/>
  <c r="M49" i="33" s="1"/>
  <c r="E55" i="9" s="1"/>
  <c r="L25" i="33"/>
  <c r="M25" i="33" s="1"/>
  <c r="E31" i="9" s="1"/>
  <c r="L37" i="33"/>
  <c r="M37" i="33" s="1"/>
  <c r="E43" i="9" s="1"/>
  <c r="L84" i="33"/>
  <c r="M84" i="33" s="1"/>
  <c r="E90" i="9" s="1"/>
  <c r="L89" i="33"/>
  <c r="M89" i="33" s="1"/>
  <c r="E95" i="9" s="1"/>
  <c r="L111" i="33"/>
  <c r="M111" i="33" s="1"/>
  <c r="E117" i="9" s="1"/>
  <c r="L116" i="33"/>
  <c r="M116" i="33" s="1"/>
  <c r="E122" i="9" s="1"/>
  <c r="L140" i="33"/>
  <c r="M140" i="33" s="1"/>
  <c r="E146" i="9" s="1"/>
  <c r="L144" i="33"/>
  <c r="M144" i="33" s="1"/>
  <c r="E150" i="9" s="1"/>
  <c r="L142" i="33"/>
  <c r="M142" i="33" s="1"/>
  <c r="E148" i="9" s="1"/>
  <c r="L198" i="33"/>
  <c r="M198" i="33" s="1"/>
  <c r="E204" i="9" s="1"/>
  <c r="L53" i="33"/>
  <c r="M53" i="33" s="1"/>
  <c r="E59" i="9" s="1"/>
  <c r="L93" i="33"/>
  <c r="M93" i="33" s="1"/>
  <c r="E99" i="9" s="1"/>
  <c r="L68" i="33"/>
  <c r="M68" i="33" s="1"/>
  <c r="E74" i="9" s="1"/>
  <c r="L112" i="33"/>
  <c r="M112" i="33" s="1"/>
  <c r="E118" i="9" s="1"/>
  <c r="L104" i="33"/>
  <c r="M104" i="33" s="1"/>
  <c r="E110" i="9" s="1"/>
  <c r="L130" i="33"/>
  <c r="M130" i="33" s="1"/>
  <c r="E136" i="9" s="1"/>
  <c r="L163" i="33"/>
  <c r="M163" i="33" s="1"/>
  <c r="E169" i="9" s="1"/>
  <c r="L167" i="33"/>
  <c r="M167" i="33" s="1"/>
  <c r="E173" i="9" s="1"/>
  <c r="L176" i="33"/>
  <c r="M176" i="33" s="1"/>
  <c r="E182" i="9" s="1"/>
  <c r="L87" i="33"/>
  <c r="M87" i="33" s="1"/>
  <c r="E93" i="9" s="1"/>
  <c r="L70" i="33"/>
  <c r="M70" i="33" s="1"/>
  <c r="E76" i="9" s="1"/>
  <c r="L108" i="33"/>
  <c r="M108" i="33" s="1"/>
  <c r="E114" i="9" s="1"/>
  <c r="L132" i="33"/>
  <c r="M132" i="33" s="1"/>
  <c r="E138" i="9" s="1"/>
  <c r="L150" i="33"/>
  <c r="M150" i="33" s="1"/>
  <c r="E156" i="9" s="1"/>
  <c r="L154" i="33"/>
  <c r="M154" i="33" s="1"/>
  <c r="E160" i="9" s="1"/>
  <c r="L200" i="33"/>
  <c r="M200" i="33" s="1"/>
  <c r="E206" i="9" s="1"/>
  <c r="L199" i="33"/>
  <c r="M199" i="33" s="1"/>
  <c r="E205" i="9" s="1"/>
  <c r="L64" i="33"/>
  <c r="M64" i="33" s="1"/>
  <c r="E70" i="9" s="1"/>
  <c r="L75" i="33"/>
  <c r="M75" i="33" s="1"/>
  <c r="E81" i="9" s="1"/>
  <c r="L83" i="33"/>
  <c r="M83" i="33" s="1"/>
  <c r="E89" i="9" s="1"/>
  <c r="L129" i="33"/>
  <c r="M129" i="33" s="1"/>
  <c r="E135" i="9" s="1"/>
  <c r="L169" i="33"/>
  <c r="M169" i="33" s="1"/>
  <c r="E175" i="9" s="1"/>
  <c r="L139" i="33"/>
  <c r="M139" i="33" s="1"/>
  <c r="E145" i="9" s="1"/>
  <c r="L186" i="33"/>
  <c r="M186" i="33" s="1"/>
  <c r="E192" i="9" s="1"/>
  <c r="L225" i="33"/>
  <c r="M225" i="33" s="1"/>
  <c r="E231" i="9" s="1"/>
  <c r="L261" i="33"/>
  <c r="M261" i="33" s="1"/>
  <c r="E267" i="9" s="1"/>
  <c r="L219" i="33"/>
  <c r="M219" i="33" s="1"/>
  <c r="E225" i="9" s="1"/>
  <c r="L224" i="33"/>
  <c r="M224" i="33" s="1"/>
  <c r="E230" i="9" s="1"/>
  <c r="L266" i="33"/>
  <c r="M266" i="33" s="1"/>
  <c r="E272" i="9" s="1"/>
  <c r="L310" i="33"/>
  <c r="M310" i="33" s="1"/>
  <c r="E316" i="9" s="1"/>
  <c r="L216" i="33"/>
  <c r="M216" i="33" s="1"/>
  <c r="E222" i="9" s="1"/>
  <c r="L287" i="33"/>
  <c r="M287" i="33" s="1"/>
  <c r="E293" i="9" s="1"/>
  <c r="L271" i="33"/>
  <c r="M271" i="33" s="1"/>
  <c r="E277" i="9" s="1"/>
  <c r="L174" i="33"/>
  <c r="M174" i="33" s="1"/>
  <c r="E180" i="9" s="1"/>
  <c r="L270" i="33"/>
  <c r="M270" i="33" s="1"/>
  <c r="E276" i="9" s="1"/>
  <c r="L207" i="33"/>
  <c r="M207" i="33" s="1"/>
  <c r="E213" i="9" s="1"/>
  <c r="L267" i="33"/>
  <c r="M267" i="33" s="1"/>
  <c r="E273" i="9" s="1"/>
  <c r="L226" i="33"/>
  <c r="M226" i="33" s="1"/>
  <c r="E232" i="9" s="1"/>
  <c r="L308" i="33"/>
  <c r="M308" i="33" s="1"/>
  <c r="E314" i="9" s="1"/>
  <c r="L273" i="33"/>
  <c r="M273" i="33" s="1"/>
  <c r="E279" i="9" s="1"/>
  <c r="L221" i="33"/>
  <c r="M221" i="33" s="1"/>
  <c r="E227" i="9" s="1"/>
  <c r="L257" i="33"/>
  <c r="M257" i="33" s="1"/>
  <c r="E263" i="9" s="1"/>
  <c r="L214" i="33"/>
  <c r="M214" i="33" s="1"/>
  <c r="E220" i="9" s="1"/>
  <c r="L237" i="33"/>
  <c r="M237" i="33" s="1"/>
  <c r="E243" i="9" s="1"/>
  <c r="L210" i="33"/>
  <c r="M210" i="33" s="1"/>
  <c r="E216" i="9" s="1"/>
  <c r="L306" i="33"/>
  <c r="M306" i="33" s="1"/>
  <c r="E312" i="9" s="1"/>
  <c r="L307" i="33"/>
  <c r="M307" i="33" s="1"/>
  <c r="E313" i="9" s="1"/>
  <c r="L301" i="33"/>
  <c r="M301" i="33" s="1"/>
  <c r="E307" i="9" s="1"/>
  <c r="L205" i="33"/>
  <c r="M205" i="33" s="1"/>
  <c r="E211" i="9" s="1"/>
  <c r="L258" i="33"/>
  <c r="M258" i="33" s="1"/>
  <c r="E264" i="9" s="1"/>
  <c r="L255" i="33"/>
  <c r="M255" i="33" s="1"/>
  <c r="E261" i="9" s="1"/>
  <c r="L232" i="33"/>
  <c r="M232" i="33" s="1"/>
  <c r="E238" i="9" s="1"/>
  <c r="L281" i="33"/>
  <c r="M281" i="33" s="1"/>
  <c r="E287" i="9" s="1"/>
  <c r="L285" i="33"/>
  <c r="M285" i="33" s="1"/>
  <c r="E291" i="9" s="1"/>
  <c r="L272" i="33"/>
  <c r="M272" i="33" s="1"/>
  <c r="E278" i="9" s="1"/>
  <c r="L11" i="33"/>
  <c r="M11" i="33" s="1"/>
  <c r="E17" i="9" s="1"/>
  <c r="K42" i="40"/>
  <c r="H42" i="40" s="1"/>
  <c r="C42" i="40" s="1"/>
  <c r="S4" i="11" s="1"/>
  <c r="F30" i="48"/>
  <c r="L5" i="33"/>
  <c r="M5" i="33" s="1"/>
  <c r="I5" i="37"/>
  <c r="F314" i="37"/>
  <c r="C41" i="40" l="1"/>
  <c r="M4" i="11" s="1"/>
  <c r="M224" i="11" s="1"/>
  <c r="D18" i="48"/>
  <c r="S54" i="11"/>
  <c r="S16" i="11"/>
  <c r="S223" i="11"/>
  <c r="S284" i="11"/>
  <c r="S106" i="11"/>
  <c r="S110" i="11"/>
  <c r="S44" i="11"/>
  <c r="S204" i="11"/>
  <c r="S102" i="11"/>
  <c r="S99" i="11"/>
  <c r="S164" i="11"/>
  <c r="S275" i="11"/>
  <c r="S72" i="11"/>
  <c r="S192" i="11"/>
  <c r="S29" i="11"/>
  <c r="S178" i="11"/>
  <c r="S69" i="11"/>
  <c r="S173" i="11"/>
  <c r="S236" i="11"/>
  <c r="S242" i="11"/>
  <c r="S232" i="11"/>
  <c r="S28" i="11"/>
  <c r="S172" i="11"/>
  <c r="S119" i="11"/>
  <c r="S231" i="11"/>
  <c r="S24" i="11"/>
  <c r="S220" i="11"/>
  <c r="S251" i="11"/>
  <c r="S154" i="11"/>
  <c r="S46" i="11"/>
  <c r="S70" i="11"/>
  <c r="S105" i="11"/>
  <c r="S23" i="11"/>
  <c r="S202" i="11"/>
  <c r="S212" i="11"/>
  <c r="S67" i="11"/>
  <c r="S274" i="11"/>
  <c r="S157" i="11"/>
  <c r="S33" i="11"/>
  <c r="S41" i="11"/>
  <c r="S125" i="11"/>
  <c r="S228" i="11"/>
  <c r="S52" i="11"/>
  <c r="S151" i="11"/>
  <c r="S135" i="11"/>
  <c r="S30" i="11"/>
  <c r="S234" i="11"/>
  <c r="S304" i="11"/>
  <c r="S20" i="11"/>
  <c r="S132" i="11"/>
  <c r="S203" i="11"/>
  <c r="S300" i="11"/>
  <c r="S168" i="11"/>
  <c r="S285" i="11"/>
  <c r="S207" i="11"/>
  <c r="S155" i="11"/>
  <c r="S221" i="11"/>
  <c r="S179" i="11"/>
  <c r="S49" i="11"/>
  <c r="S10" i="11"/>
  <c r="S276" i="11"/>
  <c r="S244" i="11"/>
  <c r="S149" i="11"/>
  <c r="S293" i="11"/>
  <c r="S112" i="11"/>
  <c r="S219" i="11"/>
  <c r="S174" i="11"/>
  <c r="S268" i="11"/>
  <c r="E34" i="48" s="1"/>
  <c r="S278" i="11"/>
  <c r="S233" i="11"/>
  <c r="S269" i="11"/>
  <c r="S209" i="11"/>
  <c r="S177" i="11"/>
  <c r="S156" i="11"/>
  <c r="S241" i="11"/>
  <c r="S309" i="11"/>
  <c r="S107" i="11"/>
  <c r="S96" i="11"/>
  <c r="S84" i="11"/>
  <c r="S13" i="11"/>
  <c r="S200" i="11"/>
  <c r="S310" i="11"/>
  <c r="S113" i="11"/>
  <c r="S184" i="11"/>
  <c r="S59" i="11"/>
  <c r="S235" i="11"/>
  <c r="S182" i="11"/>
  <c r="S270" i="11"/>
  <c r="S217" i="11"/>
  <c r="S38" i="11"/>
  <c r="S7" i="11"/>
  <c r="S81" i="11"/>
  <c r="S195" i="11"/>
  <c r="S312" i="11"/>
  <c r="S68" i="11"/>
  <c r="S257" i="11"/>
  <c r="S19" i="11"/>
  <c r="S22" i="11"/>
  <c r="S48" i="11"/>
  <c r="S11" i="11"/>
  <c r="S239" i="11"/>
  <c r="S51" i="11"/>
  <c r="S80" i="11"/>
  <c r="S121" i="11"/>
  <c r="S104" i="11"/>
  <c r="S130" i="11"/>
  <c r="S53" i="11"/>
  <c r="S283" i="11"/>
  <c r="S128" i="11"/>
  <c r="S58" i="11"/>
  <c r="S287" i="11"/>
  <c r="S101" i="11"/>
  <c r="S158" i="11"/>
  <c r="S111" i="11"/>
  <c r="S26" i="11"/>
  <c r="S14" i="11"/>
  <c r="S308" i="11"/>
  <c r="S116" i="11"/>
  <c r="S225" i="11"/>
  <c r="S175" i="11"/>
  <c r="S146" i="11"/>
  <c r="S100" i="11"/>
  <c r="S85" i="11"/>
  <c r="S136" i="11"/>
  <c r="S57" i="11"/>
  <c r="S301" i="11"/>
  <c r="S87" i="11"/>
  <c r="S295" i="11"/>
  <c r="S188" i="11"/>
  <c r="S249" i="11"/>
  <c r="S139" i="11"/>
  <c r="S191" i="11"/>
  <c r="S35" i="11"/>
  <c r="S43" i="11"/>
  <c r="S142" i="11"/>
  <c r="S246" i="11"/>
  <c r="S185" i="11"/>
  <c r="S42" i="11"/>
  <c r="S290" i="11"/>
  <c r="S245" i="11"/>
  <c r="S165" i="11"/>
  <c r="S240" i="11"/>
  <c r="S306" i="11"/>
  <c r="S297" i="11"/>
  <c r="S263" i="11"/>
  <c r="S56" i="11"/>
  <c r="S271" i="11"/>
  <c r="S266" i="11"/>
  <c r="S166" i="11"/>
  <c r="S226" i="11"/>
  <c r="S160" i="11"/>
  <c r="S6" i="11"/>
  <c r="S218" i="11"/>
  <c r="S194" i="11"/>
  <c r="S292" i="11"/>
  <c r="S18" i="11"/>
  <c r="S148" i="11"/>
  <c r="S247" i="11"/>
  <c r="S122" i="11"/>
  <c r="S95" i="11"/>
  <c r="S108" i="11"/>
  <c r="S34" i="11"/>
  <c r="S152" i="11"/>
  <c r="S210" i="11"/>
  <c r="S147" i="11"/>
  <c r="S145" i="11"/>
  <c r="S36" i="11"/>
  <c r="S260" i="11"/>
  <c r="S15" i="11"/>
  <c r="S138" i="11"/>
  <c r="S280" i="11"/>
  <c r="S40" i="11"/>
  <c r="S299" i="11"/>
  <c r="S61" i="11"/>
  <c r="S39" i="11"/>
  <c r="S8" i="11"/>
  <c r="S31" i="11"/>
  <c r="S163" i="11"/>
  <c r="S206" i="11"/>
  <c r="S171" i="11"/>
  <c r="S63" i="11"/>
  <c r="S65" i="11"/>
  <c r="S196" i="11"/>
  <c r="S224" i="11"/>
  <c r="S199" i="11"/>
  <c r="S144" i="11"/>
  <c r="S77" i="11"/>
  <c r="S243" i="11"/>
  <c r="S75" i="11"/>
  <c r="S237" i="11"/>
  <c r="S120" i="11"/>
  <c r="S66" i="11"/>
  <c r="S286" i="11"/>
  <c r="S254" i="11"/>
  <c r="S262" i="11"/>
  <c r="S62" i="11"/>
  <c r="S238" i="11"/>
  <c r="S124" i="11"/>
  <c r="S71" i="11"/>
  <c r="S153" i="11"/>
  <c r="S222" i="11"/>
  <c r="S86" i="11"/>
  <c r="S127" i="11"/>
  <c r="S129" i="11"/>
  <c r="S294" i="11"/>
  <c r="S169" i="11"/>
  <c r="S93" i="11"/>
  <c r="S25" i="11"/>
  <c r="S79" i="11"/>
  <c r="S115" i="11"/>
  <c r="S92" i="11"/>
  <c r="S227" i="11"/>
  <c r="S73" i="11"/>
  <c r="S187" i="11"/>
  <c r="S313" i="11"/>
  <c r="S47" i="11"/>
  <c r="S176" i="11"/>
  <c r="S60" i="11"/>
  <c r="S302" i="11"/>
  <c r="S250" i="11"/>
  <c r="S109" i="11"/>
  <c r="S288" i="11"/>
  <c r="S307" i="11"/>
  <c r="S281" i="11"/>
  <c r="S140" i="11"/>
  <c r="S189" i="11"/>
  <c r="S131" i="11"/>
  <c r="S143" i="11"/>
  <c r="S201" i="11"/>
  <c r="S215" i="11"/>
  <c r="S5" i="11"/>
  <c r="S159" i="11"/>
  <c r="S289" i="11"/>
  <c r="S279" i="11"/>
  <c r="S296" i="11"/>
  <c r="S180" i="11"/>
  <c r="S255" i="11"/>
  <c r="S137" i="11"/>
  <c r="S9" i="11"/>
  <c r="S98" i="11"/>
  <c r="S267" i="11"/>
  <c r="S261" i="11"/>
  <c r="S50" i="11"/>
  <c r="S298" i="11"/>
  <c r="S94" i="11"/>
  <c r="S259" i="11"/>
  <c r="S197" i="11"/>
  <c r="S193" i="11"/>
  <c r="S162" i="11"/>
  <c r="S229" i="11"/>
  <c r="S190" i="11"/>
  <c r="S17" i="11"/>
  <c r="S273" i="11"/>
  <c r="S12" i="11"/>
  <c r="S167" i="11"/>
  <c r="S264" i="11"/>
  <c r="S123" i="11"/>
  <c r="S126" i="11"/>
  <c r="S117" i="11"/>
  <c r="S141" i="11"/>
  <c r="S114" i="11"/>
  <c r="S170" i="11"/>
  <c r="S183" i="11"/>
  <c r="S277" i="11"/>
  <c r="S82" i="11"/>
  <c r="S32" i="11"/>
  <c r="S21" i="11"/>
  <c r="S248" i="11"/>
  <c r="S45" i="11"/>
  <c r="S303" i="11"/>
  <c r="S230" i="11"/>
  <c r="S90" i="11"/>
  <c r="S83" i="11"/>
  <c r="S64" i="11"/>
  <c r="S76" i="11"/>
  <c r="S133" i="11"/>
  <c r="S291" i="11"/>
  <c r="S216" i="11"/>
  <c r="S282" i="11"/>
  <c r="S198" i="11"/>
  <c r="S161" i="11"/>
  <c r="S211" i="11"/>
  <c r="S253" i="11"/>
  <c r="S265" i="11"/>
  <c r="S258" i="11"/>
  <c r="S186" i="11"/>
  <c r="S134" i="11"/>
  <c r="S205" i="11"/>
  <c r="S118" i="11"/>
  <c r="S150" i="11"/>
  <c r="S37" i="11"/>
  <c r="S181" i="11"/>
  <c r="S305" i="11"/>
  <c r="S97" i="11"/>
  <c r="S208" i="11"/>
  <c r="S213" i="11"/>
  <c r="S89" i="11"/>
  <c r="S103" i="11"/>
  <c r="S214" i="11"/>
  <c r="S91" i="11"/>
  <c r="S74" i="11"/>
  <c r="S55" i="11"/>
  <c r="S88" i="11"/>
  <c r="S252" i="11"/>
  <c r="S311" i="11"/>
  <c r="S78" i="11"/>
  <c r="S27" i="11"/>
  <c r="S256" i="11"/>
  <c r="S272" i="11"/>
  <c r="G16" i="34"/>
  <c r="I314" i="37"/>
  <c r="M314" i="33"/>
  <c r="C6" i="9" s="1"/>
  <c r="E11" i="9"/>
  <c r="M81" i="11" l="1"/>
  <c r="M119" i="11"/>
  <c r="T119" i="11" s="1"/>
  <c r="H120" i="25" s="1"/>
  <c r="M219" i="11"/>
  <c r="T219" i="11" s="1"/>
  <c r="M46" i="11"/>
  <c r="T46" i="11" s="1"/>
  <c r="M225" i="11"/>
  <c r="M272" i="11"/>
  <c r="T272" i="11" s="1"/>
  <c r="U272" i="11" s="1"/>
  <c r="M148" i="11"/>
  <c r="T148" i="11" s="1"/>
  <c r="H149" i="25" s="1"/>
  <c r="M268" i="11"/>
  <c r="M193" i="11"/>
  <c r="T193" i="11" s="1"/>
  <c r="M197" i="11"/>
  <c r="T197" i="11" s="1"/>
  <c r="H198" i="25" s="1"/>
  <c r="M79" i="11"/>
  <c r="T79" i="11" s="1"/>
  <c r="M34" i="11"/>
  <c r="T34" i="11" s="1"/>
  <c r="M56" i="11"/>
  <c r="T56" i="11" s="1"/>
  <c r="M15" i="11"/>
  <c r="T15" i="11" s="1"/>
  <c r="H16" i="25" s="1"/>
  <c r="M61" i="11"/>
  <c r="T61" i="11" s="1"/>
  <c r="U61" i="11" s="1"/>
  <c r="M215" i="11"/>
  <c r="T215" i="11" s="1"/>
  <c r="H216" i="25" s="1"/>
  <c r="M32" i="11"/>
  <c r="T32" i="11" s="1"/>
  <c r="U32" i="11" s="1"/>
  <c r="M93" i="11"/>
  <c r="T93" i="11" s="1"/>
  <c r="M242" i="11"/>
  <c r="T242" i="11" s="1"/>
  <c r="M262" i="11"/>
  <c r="T262" i="11" s="1"/>
  <c r="H263" i="25" s="1"/>
  <c r="M270" i="11"/>
  <c r="T270" i="11" s="1"/>
  <c r="M6" i="11"/>
  <c r="T6" i="11" s="1"/>
  <c r="M98" i="11"/>
  <c r="T98" i="11" s="1"/>
  <c r="M156" i="11"/>
  <c r="T156" i="11" s="1"/>
  <c r="M236" i="11"/>
  <c r="T236" i="11" s="1"/>
  <c r="H237" i="25" s="1"/>
  <c r="M168" i="11"/>
  <c r="T168" i="11" s="1"/>
  <c r="M247" i="11"/>
  <c r="T247" i="11" s="1"/>
  <c r="H248" i="25" s="1"/>
  <c r="M231" i="11"/>
  <c r="T231" i="11" s="1"/>
  <c r="M166" i="11"/>
  <c r="T166" i="11" s="1"/>
  <c r="U166" i="11" s="1"/>
  <c r="M105" i="11"/>
  <c r="T105" i="11" s="1"/>
  <c r="M65" i="11"/>
  <c r="T65" i="11" s="1"/>
  <c r="M278" i="11"/>
  <c r="T278" i="11" s="1"/>
  <c r="U278" i="11" s="1"/>
  <c r="M208" i="11"/>
  <c r="T208" i="11" s="1"/>
  <c r="U208" i="11" s="1"/>
  <c r="M211" i="11"/>
  <c r="T211" i="11" s="1"/>
  <c r="M258" i="11"/>
  <c r="T258" i="11" s="1"/>
  <c r="U258" i="11" s="1"/>
  <c r="M48" i="11"/>
  <c r="T48" i="11" s="1"/>
  <c r="U48" i="11" s="1"/>
  <c r="M30" i="11"/>
  <c r="T30" i="11" s="1"/>
  <c r="M41" i="11"/>
  <c r="T41" i="11" s="1"/>
  <c r="M271" i="11"/>
  <c r="T271" i="11" s="1"/>
  <c r="H272" i="25" s="1"/>
  <c r="M70" i="11"/>
  <c r="T70" i="11" s="1"/>
  <c r="H71" i="25" s="1"/>
  <c r="M20" i="11"/>
  <c r="T20" i="11" s="1"/>
  <c r="U20" i="11" s="1"/>
  <c r="M207" i="11"/>
  <c r="T207" i="11" s="1"/>
  <c r="U207" i="11" s="1"/>
  <c r="M17" i="11"/>
  <c r="T17" i="11" s="1"/>
  <c r="M171" i="11"/>
  <c r="T171" i="11" s="1"/>
  <c r="M117" i="11"/>
  <c r="T117" i="11" s="1"/>
  <c r="M182" i="11"/>
  <c r="T182" i="11" s="1"/>
  <c r="M226" i="11"/>
  <c r="T226" i="11" s="1"/>
  <c r="M244" i="11"/>
  <c r="T244" i="11" s="1"/>
  <c r="M121" i="11"/>
  <c r="T121" i="11" s="1"/>
  <c r="M40" i="11"/>
  <c r="T40" i="11" s="1"/>
  <c r="M29" i="11"/>
  <c r="T29" i="11" s="1"/>
  <c r="M199" i="11"/>
  <c r="T199" i="11" s="1"/>
  <c r="U199" i="11" s="1"/>
  <c r="M145" i="11"/>
  <c r="T145" i="11" s="1"/>
  <c r="M306" i="11"/>
  <c r="T306" i="11" s="1"/>
  <c r="M111" i="11"/>
  <c r="T111" i="11" s="1"/>
  <c r="M234" i="11"/>
  <c r="T234" i="11" s="1"/>
  <c r="M149" i="11"/>
  <c r="T149" i="11" s="1"/>
  <c r="M266" i="11"/>
  <c r="T266" i="11" s="1"/>
  <c r="M126" i="11"/>
  <c r="T126" i="11" s="1"/>
  <c r="M216" i="11"/>
  <c r="T216" i="11" s="1"/>
  <c r="H217" i="25" s="1"/>
  <c r="M307" i="11"/>
  <c r="T307" i="11" s="1"/>
  <c r="M131" i="11"/>
  <c r="T131" i="11" s="1"/>
  <c r="U131" i="11" s="1"/>
  <c r="M277" i="11"/>
  <c r="T277" i="11" s="1"/>
  <c r="U277" i="11" s="1"/>
  <c r="M94" i="11"/>
  <c r="T94" i="11" s="1"/>
  <c r="U94" i="11" s="1"/>
  <c r="M130" i="11"/>
  <c r="T130" i="11" s="1"/>
  <c r="M257" i="11"/>
  <c r="T257" i="11" s="1"/>
  <c r="U257" i="11" s="1"/>
  <c r="M229" i="11"/>
  <c r="T229" i="11" s="1"/>
  <c r="M154" i="11"/>
  <c r="T154" i="11" s="1"/>
  <c r="M265" i="11"/>
  <c r="T265" i="11" s="1"/>
  <c r="H266" i="25" s="1"/>
  <c r="M284" i="11"/>
  <c r="T284" i="11" s="1"/>
  <c r="U284" i="11" s="1"/>
  <c r="M84" i="11"/>
  <c r="T84" i="11" s="1"/>
  <c r="M209" i="11"/>
  <c r="T209" i="11" s="1"/>
  <c r="M39" i="11"/>
  <c r="T39" i="11" s="1"/>
  <c r="M170" i="11"/>
  <c r="T170" i="11" s="1"/>
  <c r="U170" i="11" s="1"/>
  <c r="M52" i="11"/>
  <c r="T52" i="11" s="1"/>
  <c r="H53" i="25" s="1"/>
  <c r="M214" i="11"/>
  <c r="T214" i="11" s="1"/>
  <c r="M232" i="11"/>
  <c r="T232" i="11" s="1"/>
  <c r="H233" i="25" s="1"/>
  <c r="M235" i="11"/>
  <c r="T235" i="11" s="1"/>
  <c r="M261" i="11"/>
  <c r="T261" i="11" s="1"/>
  <c r="H262" i="25" s="1"/>
  <c r="M97" i="11"/>
  <c r="T97" i="11" s="1"/>
  <c r="M146" i="11"/>
  <c r="T146" i="11" s="1"/>
  <c r="M109" i="11"/>
  <c r="T109" i="11" s="1"/>
  <c r="M187" i="11"/>
  <c r="T187" i="11" s="1"/>
  <c r="M206" i="11"/>
  <c r="T206" i="11" s="1"/>
  <c r="H207" i="25" s="1"/>
  <c r="M11" i="11"/>
  <c r="T11" i="11" s="1"/>
  <c r="M90" i="11"/>
  <c r="T90" i="11" s="1"/>
  <c r="M273" i="11"/>
  <c r="T273" i="11" s="1"/>
  <c r="U273" i="11" s="1"/>
  <c r="M71" i="11"/>
  <c r="T71" i="11" s="1"/>
  <c r="M169" i="11"/>
  <c r="T169" i="11" s="1"/>
  <c r="M287" i="11"/>
  <c r="T287" i="11" s="1"/>
  <c r="M285" i="11"/>
  <c r="T285" i="11" s="1"/>
  <c r="U285" i="11" s="1"/>
  <c r="M63" i="11"/>
  <c r="T63" i="11" s="1"/>
  <c r="T225" i="11"/>
  <c r="H226" i="25" s="1"/>
  <c r="M217" i="11"/>
  <c r="T217" i="11" s="1"/>
  <c r="M174" i="11"/>
  <c r="T174" i="11" s="1"/>
  <c r="H175" i="25" s="1"/>
  <c r="M227" i="11"/>
  <c r="T227" i="11" s="1"/>
  <c r="H228" i="25" s="1"/>
  <c r="M114" i="11"/>
  <c r="T114" i="11" s="1"/>
  <c r="U114" i="11" s="1"/>
  <c r="M102" i="11"/>
  <c r="T102" i="11" s="1"/>
  <c r="H103" i="25" s="1"/>
  <c r="M60" i="11"/>
  <c r="T60" i="11" s="1"/>
  <c r="M289" i="11"/>
  <c r="T289" i="11" s="1"/>
  <c r="M274" i="11"/>
  <c r="T274" i="11" s="1"/>
  <c r="M309" i="11"/>
  <c r="T309" i="11" s="1"/>
  <c r="M33" i="11"/>
  <c r="T33" i="11" s="1"/>
  <c r="M104" i="11"/>
  <c r="T104" i="11" s="1"/>
  <c r="M281" i="11"/>
  <c r="T281" i="11" s="1"/>
  <c r="H282" i="25" s="1"/>
  <c r="M16" i="11"/>
  <c r="T16" i="11" s="1"/>
  <c r="M18" i="11"/>
  <c r="T18" i="11" s="1"/>
  <c r="U18" i="11" s="1"/>
  <c r="M189" i="11"/>
  <c r="T189" i="11" s="1"/>
  <c r="M144" i="11"/>
  <c r="T144" i="11" s="1"/>
  <c r="M101" i="11"/>
  <c r="T101" i="11" s="1"/>
  <c r="M298" i="11"/>
  <c r="T298" i="11" s="1"/>
  <c r="U298" i="11" s="1"/>
  <c r="M286" i="11"/>
  <c r="T286" i="11" s="1"/>
  <c r="M264" i="11"/>
  <c r="T264" i="11" s="1"/>
  <c r="M240" i="11"/>
  <c r="T240" i="11" s="1"/>
  <c r="M263" i="11"/>
  <c r="T263" i="11" s="1"/>
  <c r="U263" i="11" s="1"/>
  <c r="M245" i="11"/>
  <c r="T245" i="11" s="1"/>
  <c r="M180" i="11"/>
  <c r="T180" i="11" s="1"/>
  <c r="H181" i="25" s="1"/>
  <c r="M179" i="11"/>
  <c r="T179" i="11" s="1"/>
  <c r="M55" i="11"/>
  <c r="T55" i="11" s="1"/>
  <c r="M75" i="11"/>
  <c r="T75" i="11" s="1"/>
  <c r="M292" i="11"/>
  <c r="T292" i="11" s="1"/>
  <c r="M246" i="11"/>
  <c r="T246" i="11" s="1"/>
  <c r="H247" i="25" s="1"/>
  <c r="M92" i="11"/>
  <c r="T92" i="11" s="1"/>
  <c r="U92" i="11" s="1"/>
  <c r="M181" i="11"/>
  <c r="T181" i="11" s="1"/>
  <c r="M249" i="11"/>
  <c r="T249" i="11" s="1"/>
  <c r="M305" i="11"/>
  <c r="T305" i="11" s="1"/>
  <c r="M118" i="11"/>
  <c r="T118" i="11" s="1"/>
  <c r="M173" i="11"/>
  <c r="T173" i="11" s="1"/>
  <c r="M238" i="11"/>
  <c r="T238" i="11" s="1"/>
  <c r="H239" i="25" s="1"/>
  <c r="M7" i="11"/>
  <c r="T7" i="11" s="1"/>
  <c r="U7" i="11" s="1"/>
  <c r="M28" i="11"/>
  <c r="T28" i="11" s="1"/>
  <c r="U28" i="11" s="1"/>
  <c r="M310" i="11"/>
  <c r="T310" i="11" s="1"/>
  <c r="M177" i="11"/>
  <c r="T177" i="11" s="1"/>
  <c r="M58" i="11"/>
  <c r="T58" i="11" s="1"/>
  <c r="M237" i="11"/>
  <c r="T237" i="11" s="1"/>
  <c r="M107" i="11"/>
  <c r="T107" i="11" s="1"/>
  <c r="H108" i="25" s="1"/>
  <c r="M51" i="11"/>
  <c r="T51" i="11" s="1"/>
  <c r="M172" i="11"/>
  <c r="T172" i="11" s="1"/>
  <c r="U172" i="11" s="1"/>
  <c r="M136" i="11"/>
  <c r="T136" i="11" s="1"/>
  <c r="M175" i="11"/>
  <c r="T175" i="11" s="1"/>
  <c r="M54" i="11"/>
  <c r="T54" i="11" s="1"/>
  <c r="M96" i="11"/>
  <c r="T96" i="11" s="1"/>
  <c r="M191" i="11"/>
  <c r="T191" i="11" s="1"/>
  <c r="M13" i="11"/>
  <c r="T13" i="11" s="1"/>
  <c r="M89" i="11"/>
  <c r="T89" i="11" s="1"/>
  <c r="M19" i="11"/>
  <c r="T19" i="11" s="1"/>
  <c r="M74" i="11"/>
  <c r="T74" i="11" s="1"/>
  <c r="M312" i="11"/>
  <c r="T312" i="11" s="1"/>
  <c r="M10" i="11"/>
  <c r="T10" i="11" s="1"/>
  <c r="M143" i="11"/>
  <c r="T143" i="11" s="1"/>
  <c r="M255" i="11"/>
  <c r="T255" i="11" s="1"/>
  <c r="M293" i="11"/>
  <c r="T293" i="11" s="1"/>
  <c r="M137" i="11"/>
  <c r="T137" i="11" s="1"/>
  <c r="M228" i="11"/>
  <c r="T228" i="11" s="1"/>
  <c r="M76" i="11"/>
  <c r="T76" i="11" s="1"/>
  <c r="U76" i="11" s="1"/>
  <c r="M8" i="11"/>
  <c r="T8" i="11" s="1"/>
  <c r="H9" i="25" s="1"/>
  <c r="M220" i="11"/>
  <c r="T220" i="11" s="1"/>
  <c r="M66" i="11"/>
  <c r="T66" i="11" s="1"/>
  <c r="M185" i="11"/>
  <c r="T185" i="11" s="1"/>
  <c r="M296" i="11"/>
  <c r="T296" i="11" s="1"/>
  <c r="H297" i="25" s="1"/>
  <c r="M188" i="11"/>
  <c r="T188" i="11" s="1"/>
  <c r="M141" i="11"/>
  <c r="T141" i="11" s="1"/>
  <c r="M27" i="11"/>
  <c r="T27" i="11" s="1"/>
  <c r="U27" i="11" s="1"/>
  <c r="M190" i="11"/>
  <c r="T190" i="11" s="1"/>
  <c r="U190" i="11" s="1"/>
  <c r="M67" i="11"/>
  <c r="T67" i="11" s="1"/>
  <c r="M160" i="11"/>
  <c r="T160" i="11" s="1"/>
  <c r="M47" i="11"/>
  <c r="T47" i="11" s="1"/>
  <c r="M50" i="11"/>
  <c r="T50" i="11" s="1"/>
  <c r="H51" i="25" s="1"/>
  <c r="M69" i="11"/>
  <c r="T69" i="11" s="1"/>
  <c r="U69" i="11" s="1"/>
  <c r="M299" i="11"/>
  <c r="T299" i="11" s="1"/>
  <c r="M203" i="11"/>
  <c r="T203" i="11" s="1"/>
  <c r="U203" i="11" s="1"/>
  <c r="M260" i="11"/>
  <c r="T260" i="11" s="1"/>
  <c r="M82" i="11"/>
  <c r="T82" i="11" s="1"/>
  <c r="M59" i="11"/>
  <c r="T59" i="11" s="1"/>
  <c r="H60" i="25" s="1"/>
  <c r="M223" i="11"/>
  <c r="T223" i="11" s="1"/>
  <c r="M186" i="11"/>
  <c r="T186" i="11" s="1"/>
  <c r="M95" i="11"/>
  <c r="T95" i="11" s="1"/>
  <c r="U95" i="11" s="1"/>
  <c r="M167" i="11"/>
  <c r="T167" i="11" s="1"/>
  <c r="H168" i="25" s="1"/>
  <c r="M77" i="11"/>
  <c r="T77" i="11" s="1"/>
  <c r="M5" i="11"/>
  <c r="T5" i="11" s="1"/>
  <c r="M267" i="11"/>
  <c r="T267" i="11" s="1"/>
  <c r="M201" i="11"/>
  <c r="T201" i="11" s="1"/>
  <c r="M35" i="11"/>
  <c r="T35" i="11" s="1"/>
  <c r="M301" i="11"/>
  <c r="T301" i="11" s="1"/>
  <c r="H302" i="25" s="1"/>
  <c r="M230" i="11"/>
  <c r="T230" i="11" s="1"/>
  <c r="M140" i="11"/>
  <c r="T140" i="11" s="1"/>
  <c r="M252" i="11"/>
  <c r="T252" i="11" s="1"/>
  <c r="U252" i="11" s="1"/>
  <c r="M86" i="11"/>
  <c r="T86" i="11" s="1"/>
  <c r="M115" i="11"/>
  <c r="T115" i="11" s="1"/>
  <c r="M22" i="11"/>
  <c r="T22" i="11" s="1"/>
  <c r="M78" i="11"/>
  <c r="T78" i="11" s="1"/>
  <c r="M134" i="11"/>
  <c r="T134" i="11" s="1"/>
  <c r="M45" i="11"/>
  <c r="T45" i="11" s="1"/>
  <c r="U45" i="11" s="1"/>
  <c r="M124" i="11"/>
  <c r="T124" i="11" s="1"/>
  <c r="M23" i="11"/>
  <c r="T23" i="11" s="1"/>
  <c r="M150" i="11"/>
  <c r="T150" i="11" s="1"/>
  <c r="H151" i="25" s="1"/>
  <c r="M290" i="11"/>
  <c r="T290" i="11" s="1"/>
  <c r="U290" i="11" s="1"/>
  <c r="M205" i="11"/>
  <c r="T205" i="11" s="1"/>
  <c r="M53" i="11"/>
  <c r="T53" i="11" s="1"/>
  <c r="M26" i="11"/>
  <c r="T26" i="11" s="1"/>
  <c r="U26" i="11" s="1"/>
  <c r="M133" i="11"/>
  <c r="T133" i="11" s="1"/>
  <c r="M110" i="11"/>
  <c r="T110" i="11" s="1"/>
  <c r="U110" i="11" s="1"/>
  <c r="M38" i="11"/>
  <c r="T38" i="11" s="1"/>
  <c r="M99" i="11"/>
  <c r="T99" i="11" s="1"/>
  <c r="M25" i="11"/>
  <c r="T25" i="11" s="1"/>
  <c r="M112" i="11"/>
  <c r="T112" i="11" s="1"/>
  <c r="M24" i="11"/>
  <c r="T24" i="11" s="1"/>
  <c r="M132" i="11"/>
  <c r="T132" i="11" s="1"/>
  <c r="U132" i="11" s="1"/>
  <c r="M165" i="11"/>
  <c r="T165" i="11" s="1"/>
  <c r="H166" i="25" s="1"/>
  <c r="M73" i="11"/>
  <c r="T73" i="11" s="1"/>
  <c r="U73" i="11" s="1"/>
  <c r="M108" i="11"/>
  <c r="T108" i="11" s="1"/>
  <c r="M221" i="11"/>
  <c r="T221" i="11" s="1"/>
  <c r="U221" i="11" s="1"/>
  <c r="M253" i="11"/>
  <c r="T253" i="11" s="1"/>
  <c r="M64" i="11"/>
  <c r="T64" i="11" s="1"/>
  <c r="U64" i="11" s="1"/>
  <c r="M288" i="11"/>
  <c r="T288" i="11" s="1"/>
  <c r="M250" i="11"/>
  <c r="T250" i="11" s="1"/>
  <c r="M135" i="11"/>
  <c r="T135" i="11" s="1"/>
  <c r="H136" i="25" s="1"/>
  <c r="M37" i="11"/>
  <c r="T37" i="11" s="1"/>
  <c r="H38" i="25" s="1"/>
  <c r="M125" i="11"/>
  <c r="T125" i="11" s="1"/>
  <c r="M127" i="11"/>
  <c r="T127" i="11" s="1"/>
  <c r="M311" i="11"/>
  <c r="T311" i="11" s="1"/>
  <c r="U311" i="11" s="1"/>
  <c r="M297" i="11"/>
  <c r="T297" i="11" s="1"/>
  <c r="M44" i="11"/>
  <c r="T44" i="11" s="1"/>
  <c r="M116" i="11"/>
  <c r="T116" i="11" s="1"/>
  <c r="M31" i="11"/>
  <c r="T31" i="11" s="1"/>
  <c r="H32" i="25" s="1"/>
  <c r="M36" i="11"/>
  <c r="T36" i="11" s="1"/>
  <c r="M164" i="11"/>
  <c r="T164" i="11" s="1"/>
  <c r="H165" i="25" s="1"/>
  <c r="M243" i="11"/>
  <c r="T243" i="11" s="1"/>
  <c r="M196" i="11"/>
  <c r="T196" i="11" s="1"/>
  <c r="M43" i="11"/>
  <c r="T43" i="11" s="1"/>
  <c r="M291" i="11"/>
  <c r="M269" i="11"/>
  <c r="T269" i="11" s="1"/>
  <c r="U269" i="11" s="1"/>
  <c r="M42" i="11"/>
  <c r="T42" i="11" s="1"/>
  <c r="U42" i="11" s="1"/>
  <c r="M87" i="11"/>
  <c r="T87" i="11" s="1"/>
  <c r="M152" i="11"/>
  <c r="T152" i="11" s="1"/>
  <c r="U152" i="11" s="1"/>
  <c r="M129" i="11"/>
  <c r="T129" i="11" s="1"/>
  <c r="M241" i="11"/>
  <c r="T241" i="11" s="1"/>
  <c r="U241" i="11" s="1"/>
  <c r="M183" i="11"/>
  <c r="T183" i="11" s="1"/>
  <c r="H184" i="25" s="1"/>
  <c r="M142" i="11"/>
  <c r="T142" i="11" s="1"/>
  <c r="M295" i="11"/>
  <c r="T295" i="11" s="1"/>
  <c r="M139" i="11"/>
  <c r="T139" i="11" s="1"/>
  <c r="H140" i="25" s="1"/>
  <c r="M128" i="11"/>
  <c r="T128" i="11" s="1"/>
  <c r="M9" i="11"/>
  <c r="T9" i="11" s="1"/>
  <c r="H10" i="25" s="1"/>
  <c r="M178" i="11"/>
  <c r="T178" i="11" s="1"/>
  <c r="H179" i="25" s="1"/>
  <c r="M100" i="11"/>
  <c r="T100" i="11" s="1"/>
  <c r="H101" i="25" s="1"/>
  <c r="M176" i="11"/>
  <c r="T176" i="11" s="1"/>
  <c r="M204" i="11"/>
  <c r="T204" i="11" s="1"/>
  <c r="H205" i="25" s="1"/>
  <c r="M138" i="11"/>
  <c r="T138" i="11" s="1"/>
  <c r="M21" i="11"/>
  <c r="T21" i="11" s="1"/>
  <c r="M103" i="11"/>
  <c r="T103" i="11" s="1"/>
  <c r="M91" i="11"/>
  <c r="T91" i="11" s="1"/>
  <c r="M279" i="11"/>
  <c r="T279" i="11" s="1"/>
  <c r="U279" i="11" s="1"/>
  <c r="M222" i="11"/>
  <c r="T222" i="11" s="1"/>
  <c r="M106" i="11"/>
  <c r="T106" i="11" s="1"/>
  <c r="T291" i="11"/>
  <c r="H292" i="25" s="1"/>
  <c r="M162" i="11"/>
  <c r="T162" i="11" s="1"/>
  <c r="M49" i="11"/>
  <c r="T49" i="11" s="1"/>
  <c r="H50" i="25" s="1"/>
  <c r="M218" i="11"/>
  <c r="T218" i="11" s="1"/>
  <c r="U218" i="11" s="1"/>
  <c r="M210" i="11"/>
  <c r="T210" i="11" s="1"/>
  <c r="H211" i="25" s="1"/>
  <c r="M200" i="11"/>
  <c r="T200" i="11" s="1"/>
  <c r="U200" i="11" s="1"/>
  <c r="M302" i="11"/>
  <c r="T302" i="11" s="1"/>
  <c r="M159" i="11"/>
  <c r="T159" i="11" s="1"/>
  <c r="H160" i="25" s="1"/>
  <c r="M113" i="11"/>
  <c r="T113" i="11" s="1"/>
  <c r="H114" i="25" s="1"/>
  <c r="M122" i="11"/>
  <c r="T122" i="11" s="1"/>
  <c r="M280" i="11"/>
  <c r="T280" i="11" s="1"/>
  <c r="M155" i="11"/>
  <c r="T155" i="11" s="1"/>
  <c r="M256" i="11"/>
  <c r="T256" i="11" s="1"/>
  <c r="M198" i="11"/>
  <c r="T198" i="11" s="1"/>
  <c r="M123" i="11"/>
  <c r="T123" i="11" s="1"/>
  <c r="U123" i="11" s="1"/>
  <c r="M202" i="11"/>
  <c r="T202" i="11" s="1"/>
  <c r="M254" i="11"/>
  <c r="T254" i="11" s="1"/>
  <c r="M184" i="11"/>
  <c r="T184" i="11" s="1"/>
  <c r="M62" i="11"/>
  <c r="T62" i="11" s="1"/>
  <c r="M308" i="11"/>
  <c r="T308" i="11" s="1"/>
  <c r="H309" i="25" s="1"/>
  <c r="M88" i="11"/>
  <c r="T88" i="11" s="1"/>
  <c r="M161" i="11"/>
  <c r="T161" i="11" s="1"/>
  <c r="M163" i="11"/>
  <c r="T163" i="11" s="1"/>
  <c r="M85" i="11"/>
  <c r="T85" i="11" s="1"/>
  <c r="M83" i="11"/>
  <c r="T83" i="11" s="1"/>
  <c r="U83" i="11" s="1"/>
  <c r="M239" i="11"/>
  <c r="T239" i="11" s="1"/>
  <c r="U239" i="11" s="1"/>
  <c r="M282" i="11"/>
  <c r="T282" i="11" s="1"/>
  <c r="M233" i="11"/>
  <c r="T233" i="11" s="1"/>
  <c r="H234" i="25" s="1"/>
  <c r="M147" i="11"/>
  <c r="T147" i="11" s="1"/>
  <c r="U147" i="11" s="1"/>
  <c r="M151" i="11"/>
  <c r="T151" i="11" s="1"/>
  <c r="M194" i="11"/>
  <c r="T194" i="11" s="1"/>
  <c r="M195" i="11"/>
  <c r="T195" i="11" s="1"/>
  <c r="H196" i="25" s="1"/>
  <c r="M57" i="11"/>
  <c r="T57" i="11" s="1"/>
  <c r="M275" i="11"/>
  <c r="T275" i="11" s="1"/>
  <c r="M248" i="11"/>
  <c r="T248" i="11" s="1"/>
  <c r="M251" i="11"/>
  <c r="T251" i="11" s="1"/>
  <c r="M283" i="11"/>
  <c r="T283" i="11" s="1"/>
  <c r="M158" i="11"/>
  <c r="T158" i="11" s="1"/>
  <c r="M72" i="11"/>
  <c r="T72" i="11" s="1"/>
  <c r="M276" i="11"/>
  <c r="T276" i="11" s="1"/>
  <c r="M14" i="11"/>
  <c r="T14" i="11" s="1"/>
  <c r="M304" i="11"/>
  <c r="T304" i="11" s="1"/>
  <c r="U304" i="11" s="1"/>
  <c r="M303" i="11"/>
  <c r="T303" i="11" s="1"/>
  <c r="M157" i="11"/>
  <c r="T157" i="11" s="1"/>
  <c r="M120" i="11"/>
  <c r="T120" i="11" s="1"/>
  <c r="U120" i="11" s="1"/>
  <c r="M294" i="11"/>
  <c r="T294" i="11" s="1"/>
  <c r="M313" i="11"/>
  <c r="T313" i="11" s="1"/>
  <c r="U313" i="11" s="1"/>
  <c r="M212" i="11"/>
  <c r="T212" i="11" s="1"/>
  <c r="H213" i="25" s="1"/>
  <c r="M259" i="11"/>
  <c r="T259" i="11" s="1"/>
  <c r="M300" i="11"/>
  <c r="T300" i="11" s="1"/>
  <c r="M153" i="11"/>
  <c r="T153" i="11" s="1"/>
  <c r="H154" i="25" s="1"/>
  <c r="M192" i="11"/>
  <c r="T192" i="11" s="1"/>
  <c r="H193" i="25" s="1"/>
  <c r="M12" i="11"/>
  <c r="T12" i="11" s="1"/>
  <c r="M80" i="11"/>
  <c r="T80" i="11" s="1"/>
  <c r="H81" i="25" s="1"/>
  <c r="M68" i="11"/>
  <c r="T68" i="11" s="1"/>
  <c r="M213" i="11"/>
  <c r="T213" i="11" s="1"/>
  <c r="E320" i="9"/>
  <c r="F18" i="48"/>
  <c r="T81" i="11"/>
  <c r="U81" i="11" s="1"/>
  <c r="T224" i="11"/>
  <c r="U224" i="11" s="1"/>
  <c r="G325" i="34"/>
  <c r="H16" i="34"/>
  <c r="S314" i="11"/>
  <c r="D6" i="9"/>
  <c r="C7" i="9"/>
  <c r="D7" i="9" s="1"/>
  <c r="T268" i="11" l="1"/>
  <c r="E33" i="48"/>
  <c r="F34" i="48" s="1"/>
  <c r="U193" i="11"/>
  <c r="H194" i="25"/>
  <c r="H99" i="25"/>
  <c r="U98" i="11"/>
  <c r="U197" i="11"/>
  <c r="U41" i="11"/>
  <c r="H42" i="25"/>
  <c r="U271" i="11"/>
  <c r="U262" i="11"/>
  <c r="U265" i="11"/>
  <c r="U70" i="11"/>
  <c r="U29" i="11"/>
  <c r="H30" i="25"/>
  <c r="H258" i="25"/>
  <c r="H210" i="25"/>
  <c r="U209" i="11"/>
  <c r="U234" i="11"/>
  <c r="H235" i="25"/>
  <c r="H307" i="25"/>
  <c r="U306" i="11"/>
  <c r="U182" i="11"/>
  <c r="H183" i="25"/>
  <c r="H118" i="25"/>
  <c r="U117" i="11"/>
  <c r="H285" i="25"/>
  <c r="U225" i="11"/>
  <c r="H288" i="25"/>
  <c r="U287" i="11"/>
  <c r="H72" i="25"/>
  <c r="U71" i="11"/>
  <c r="H278" i="25"/>
  <c r="H209" i="25"/>
  <c r="H52" i="25"/>
  <c r="U51" i="11"/>
  <c r="U185" i="11"/>
  <c r="H186" i="25"/>
  <c r="U74" i="11"/>
  <c r="H75" i="25"/>
  <c r="H256" i="25"/>
  <c r="U255" i="11"/>
  <c r="U144" i="11"/>
  <c r="H145" i="25"/>
  <c r="H238" i="25"/>
  <c r="U237" i="11"/>
  <c r="H36" i="25"/>
  <c r="U35" i="11"/>
  <c r="U55" i="11"/>
  <c r="H56" i="25"/>
  <c r="U60" i="11"/>
  <c r="H61" i="25"/>
  <c r="U140" i="11"/>
  <c r="H141" i="25"/>
  <c r="H202" i="25"/>
  <c r="U201" i="11"/>
  <c r="U299" i="11"/>
  <c r="H300" i="25"/>
  <c r="H20" i="25"/>
  <c r="U19" i="11"/>
  <c r="H59" i="25"/>
  <c r="U58" i="11"/>
  <c r="U179" i="11"/>
  <c r="H180" i="25"/>
  <c r="U240" i="11"/>
  <c r="H241" i="25"/>
  <c r="U16" i="11"/>
  <c r="H17" i="25"/>
  <c r="U267" i="11"/>
  <c r="H268" i="25"/>
  <c r="U82" i="11"/>
  <c r="H83" i="25"/>
  <c r="U188" i="11"/>
  <c r="H189" i="25"/>
  <c r="U89" i="11"/>
  <c r="H90" i="25"/>
  <c r="H250" i="25"/>
  <c r="U249" i="11"/>
  <c r="H311" i="25"/>
  <c r="U310" i="11"/>
  <c r="U189" i="11"/>
  <c r="H190" i="25"/>
  <c r="U59" i="11"/>
  <c r="H29" i="25"/>
  <c r="H23" i="25"/>
  <c r="U22" i="11"/>
  <c r="H135" i="25"/>
  <c r="U134" i="11"/>
  <c r="U25" i="11"/>
  <c r="H26" i="25"/>
  <c r="H109" i="25"/>
  <c r="U108" i="11"/>
  <c r="U127" i="11"/>
  <c r="H128" i="25"/>
  <c r="H45" i="25"/>
  <c r="U44" i="11"/>
  <c r="H129" i="25"/>
  <c r="U128" i="11"/>
  <c r="H177" i="25"/>
  <c r="U176" i="11"/>
  <c r="U159" i="11"/>
  <c r="U291" i="11"/>
  <c r="U210" i="11"/>
  <c r="U106" i="11"/>
  <c r="H107" i="25"/>
  <c r="U31" i="11"/>
  <c r="H304" i="25"/>
  <c r="U303" i="11"/>
  <c r="H195" i="25"/>
  <c r="U194" i="11"/>
  <c r="U233" i="11"/>
  <c r="H89" i="25"/>
  <c r="U88" i="11"/>
  <c r="U85" i="11"/>
  <c r="H86" i="25"/>
  <c r="H158" i="25"/>
  <c r="U157" i="11"/>
  <c r="H283" i="25"/>
  <c r="U282" i="11"/>
  <c r="H281" i="25"/>
  <c r="U280" i="11"/>
  <c r="U294" i="11"/>
  <c r="H295" i="25"/>
  <c r="H314" i="25"/>
  <c r="U119" i="11"/>
  <c r="T314" i="11"/>
  <c r="M314" i="11"/>
  <c r="H70" i="25"/>
  <c r="H132" i="25"/>
  <c r="U100" i="11"/>
  <c r="H65" i="25"/>
  <c r="H43" i="25"/>
  <c r="U253" i="11"/>
  <c r="U150" i="11"/>
  <c r="U37" i="11"/>
  <c r="H280" i="25"/>
  <c r="U138" i="11"/>
  <c r="U186" i="11"/>
  <c r="H139" i="25"/>
  <c r="H187" i="25"/>
  <c r="U288" i="11"/>
  <c r="U84" i="11"/>
  <c r="U214" i="11"/>
  <c r="H94" i="25"/>
  <c r="U109" i="11"/>
  <c r="U247" i="11"/>
  <c r="U222" i="11"/>
  <c r="H254" i="25"/>
  <c r="H110" i="25"/>
  <c r="H153" i="25"/>
  <c r="H215" i="25"/>
  <c r="H289" i="25"/>
  <c r="H33" i="25"/>
  <c r="H85" i="25"/>
  <c r="U206" i="11"/>
  <c r="H223" i="25"/>
  <c r="U93" i="11"/>
  <c r="H133" i="25"/>
  <c r="U43" i="11"/>
  <c r="U24" i="11"/>
  <c r="H49" i="25"/>
  <c r="U183" i="11"/>
  <c r="U139" i="11"/>
  <c r="U292" i="11"/>
  <c r="H25" i="25"/>
  <c r="H44" i="25"/>
  <c r="H188" i="25"/>
  <c r="H171" i="25"/>
  <c r="H150" i="25"/>
  <c r="H93" i="25"/>
  <c r="H22" i="25"/>
  <c r="U39" i="11"/>
  <c r="H40" i="25"/>
  <c r="U187" i="11"/>
  <c r="U149" i="11"/>
  <c r="U21" i="11"/>
  <c r="H113" i="25"/>
  <c r="H219" i="25"/>
  <c r="H95" i="25"/>
  <c r="U307" i="11"/>
  <c r="U9" i="11"/>
  <c r="U49" i="11"/>
  <c r="H201" i="25"/>
  <c r="H308" i="25"/>
  <c r="H230" i="25"/>
  <c r="H104" i="25"/>
  <c r="U68" i="11"/>
  <c r="U122" i="11"/>
  <c r="U103" i="11"/>
  <c r="H69" i="25"/>
  <c r="H123" i="25"/>
  <c r="H259" i="25"/>
  <c r="H286" i="25"/>
  <c r="U12" i="11"/>
  <c r="U52" i="11"/>
  <c r="U302" i="11"/>
  <c r="U215" i="11"/>
  <c r="H13" i="25"/>
  <c r="U216" i="11"/>
  <c r="U174" i="11"/>
  <c r="U261" i="11"/>
  <c r="U113" i="11"/>
  <c r="U80" i="11"/>
  <c r="H303" i="25"/>
  <c r="H163" i="25"/>
  <c r="H100" i="25"/>
  <c r="U99" i="11"/>
  <c r="H39" i="25"/>
  <c r="U162" i="11"/>
  <c r="U38" i="11"/>
  <c r="U229" i="11"/>
  <c r="H293" i="25"/>
  <c r="H173" i="25"/>
  <c r="H8" i="25"/>
  <c r="H80" i="25"/>
  <c r="U164" i="11"/>
  <c r="H121" i="25"/>
  <c r="U196" i="11"/>
  <c r="U173" i="11"/>
  <c r="U146" i="11"/>
  <c r="H126" i="25"/>
  <c r="H37" i="25"/>
  <c r="H273" i="25"/>
  <c r="H197" i="25"/>
  <c r="H174" i="25"/>
  <c r="U36" i="11"/>
  <c r="H147" i="25"/>
  <c r="U125" i="11"/>
  <c r="U212" i="11"/>
  <c r="U112" i="11"/>
  <c r="U301" i="11"/>
  <c r="U126" i="11"/>
  <c r="H222" i="25"/>
  <c r="U79" i="11"/>
  <c r="H127" i="25"/>
  <c r="H296" i="25"/>
  <c r="U135" i="11"/>
  <c r="H191" i="25"/>
  <c r="H27" i="25"/>
  <c r="H130" i="25"/>
  <c r="H167" i="25"/>
  <c r="H28" i="25"/>
  <c r="U295" i="11"/>
  <c r="U91" i="11"/>
  <c r="H208" i="25"/>
  <c r="H161" i="25"/>
  <c r="U129" i="11"/>
  <c r="H92" i="25"/>
  <c r="H204" i="25"/>
  <c r="U160" i="11"/>
  <c r="U205" i="11"/>
  <c r="U101" i="11"/>
  <c r="H82" i="25"/>
  <c r="U175" i="11"/>
  <c r="U305" i="11"/>
  <c r="H62" i="25"/>
  <c r="H225" i="25"/>
  <c r="H102" i="25"/>
  <c r="H206" i="25"/>
  <c r="H221" i="25"/>
  <c r="H176" i="25"/>
  <c r="U181" i="11"/>
  <c r="H24" i="25"/>
  <c r="U238" i="11"/>
  <c r="H305" i="25"/>
  <c r="U153" i="11"/>
  <c r="U180" i="11"/>
  <c r="H182" i="25"/>
  <c r="U23" i="11"/>
  <c r="U220" i="11"/>
  <c r="H54" i="25"/>
  <c r="H306" i="25"/>
  <c r="U195" i="11"/>
  <c r="H291" i="25"/>
  <c r="U50" i="11"/>
  <c r="H77" i="25"/>
  <c r="U53" i="11"/>
  <c r="H246" i="25"/>
  <c r="H31" i="25"/>
  <c r="U230" i="11"/>
  <c r="H224" i="25"/>
  <c r="H138" i="25"/>
  <c r="H242" i="25"/>
  <c r="U14" i="11"/>
  <c r="U260" i="11"/>
  <c r="H261" i="25"/>
  <c r="U248" i="11"/>
  <c r="H119" i="25"/>
  <c r="U142" i="11"/>
  <c r="H134" i="25"/>
  <c r="U118" i="11"/>
  <c r="U151" i="11"/>
  <c r="U281" i="11"/>
  <c r="H148" i="25"/>
  <c r="U72" i="11"/>
  <c r="U178" i="11"/>
  <c r="H152" i="25"/>
  <c r="H15" i="25"/>
  <c r="U245" i="11"/>
  <c r="U8" i="11"/>
  <c r="H249" i="25"/>
  <c r="U133" i="11"/>
  <c r="H231" i="25"/>
  <c r="H73" i="25"/>
  <c r="U107" i="11"/>
  <c r="H131" i="25"/>
  <c r="U137" i="11"/>
  <c r="U223" i="11"/>
  <c r="H143" i="25"/>
  <c r="U30" i="11"/>
  <c r="U130" i="11"/>
  <c r="U296" i="11"/>
  <c r="H96" i="25"/>
  <c r="H251" i="25"/>
  <c r="H88" i="25"/>
  <c r="U204" i="11"/>
  <c r="H78" i="25"/>
  <c r="U192" i="11"/>
  <c r="U87" i="11"/>
  <c r="U250" i="11"/>
  <c r="U167" i="11"/>
  <c r="H270" i="25"/>
  <c r="U77" i="11"/>
  <c r="H58" i="25"/>
  <c r="U283" i="11"/>
  <c r="U251" i="11"/>
  <c r="U264" i="11"/>
  <c r="U57" i="11"/>
  <c r="U54" i="11"/>
  <c r="H178" i="25"/>
  <c r="H284" i="25"/>
  <c r="U227" i="11"/>
  <c r="H46" i="25"/>
  <c r="H301" i="25"/>
  <c r="H276" i="25"/>
  <c r="H244" i="25"/>
  <c r="H299" i="25"/>
  <c r="H253" i="25"/>
  <c r="U158" i="11"/>
  <c r="H277" i="25"/>
  <c r="H252" i="25"/>
  <c r="U300" i="11"/>
  <c r="H137" i="25"/>
  <c r="U246" i="11"/>
  <c r="U243" i="11"/>
  <c r="H265" i="25"/>
  <c r="H159" i="25"/>
  <c r="H74" i="25"/>
  <c r="H55" i="25"/>
  <c r="U276" i="11"/>
  <c r="U177" i="11"/>
  <c r="H111" i="25"/>
  <c r="U275" i="11"/>
  <c r="U136" i="11"/>
  <c r="U309" i="11"/>
  <c r="H19" i="25"/>
  <c r="U232" i="11"/>
  <c r="U47" i="11"/>
  <c r="U148" i="11"/>
  <c r="H290" i="25"/>
  <c r="H48" i="25"/>
  <c r="U289" i="11"/>
  <c r="H312" i="25"/>
  <c r="H274" i="25"/>
  <c r="H115" i="25"/>
  <c r="U236" i="11"/>
  <c r="H310" i="25"/>
  <c r="H142" i="25"/>
  <c r="H21" i="25"/>
  <c r="U308" i="11"/>
  <c r="U141" i="11"/>
  <c r="U15" i="11"/>
  <c r="U66" i="11"/>
  <c r="H67" i="25"/>
  <c r="U104" i="11"/>
  <c r="U286" i="11"/>
  <c r="H264" i="25"/>
  <c r="H287" i="25"/>
  <c r="H105" i="25"/>
  <c r="U143" i="11"/>
  <c r="H76" i="25"/>
  <c r="U75" i="11"/>
  <c r="H34" i="25"/>
  <c r="H279" i="25"/>
  <c r="U33" i="11"/>
  <c r="H155" i="25"/>
  <c r="U154" i="11"/>
  <c r="U63" i="11"/>
  <c r="H275" i="25"/>
  <c r="H144" i="25"/>
  <c r="H64" i="25"/>
  <c r="H84" i="25"/>
  <c r="U274" i="11"/>
  <c r="H240" i="25"/>
  <c r="H200" i="25"/>
  <c r="U161" i="11"/>
  <c r="H162" i="25"/>
  <c r="H124" i="25"/>
  <c r="U102" i="11"/>
  <c r="U165" i="11"/>
  <c r="H243" i="25"/>
  <c r="U242" i="11"/>
  <c r="U10" i="11"/>
  <c r="H11" i="25"/>
  <c r="H192" i="25"/>
  <c r="U191" i="11"/>
  <c r="H41" i="25"/>
  <c r="U40" i="11"/>
  <c r="U90" i="11"/>
  <c r="H91" i="25"/>
  <c r="H47" i="25"/>
  <c r="U46" i="11"/>
  <c r="U219" i="11"/>
  <c r="H220" i="25"/>
  <c r="U312" i="11"/>
  <c r="H313" i="25"/>
  <c r="U226" i="11"/>
  <c r="H227" i="25"/>
  <c r="H66" i="25"/>
  <c r="U65" i="11"/>
  <c r="U169" i="11"/>
  <c r="H170" i="25"/>
  <c r="H98" i="25"/>
  <c r="U97" i="11"/>
  <c r="H106" i="25"/>
  <c r="U105" i="11"/>
  <c r="U293" i="11"/>
  <c r="H294" i="25"/>
  <c r="H271" i="25"/>
  <c r="U270" i="11"/>
  <c r="U297" i="11"/>
  <c r="H298" i="25"/>
  <c r="H172" i="25"/>
  <c r="U171" i="11"/>
  <c r="H199" i="25"/>
  <c r="U198" i="11"/>
  <c r="H218" i="25"/>
  <c r="U217" i="11"/>
  <c r="H203" i="25"/>
  <c r="U202" i="11"/>
  <c r="U156" i="11"/>
  <c r="H157" i="25"/>
  <c r="H112" i="25"/>
  <c r="U111" i="11"/>
  <c r="H35" i="25"/>
  <c r="U34" i="11"/>
  <c r="H255" i="25"/>
  <c r="U254" i="11"/>
  <c r="U115" i="11"/>
  <c r="H116" i="25"/>
  <c r="H79" i="25"/>
  <c r="U78" i="11"/>
  <c r="H185" i="25"/>
  <c r="U184" i="11"/>
  <c r="H68" i="25"/>
  <c r="U67" i="11"/>
  <c r="U268" i="11"/>
  <c r="H269" i="25"/>
  <c r="U213" i="11"/>
  <c r="H214" i="25"/>
  <c r="U228" i="11"/>
  <c r="H229" i="25"/>
  <c r="U96" i="11"/>
  <c r="H97" i="25"/>
  <c r="H117" i="25"/>
  <c r="U116" i="11"/>
  <c r="H146" i="25"/>
  <c r="U145" i="11"/>
  <c r="H125" i="25"/>
  <c r="U124" i="11"/>
  <c r="H260" i="25"/>
  <c r="U259" i="11"/>
  <c r="F10" i="9"/>
  <c r="B21" i="48"/>
  <c r="U168" i="11"/>
  <c r="H169" i="25"/>
  <c r="H12" i="25"/>
  <c r="U11" i="11"/>
  <c r="U266" i="11"/>
  <c r="H267" i="25"/>
  <c r="U62" i="11"/>
  <c r="H63" i="25"/>
  <c r="U155" i="11"/>
  <c r="H156" i="25"/>
  <c r="H14" i="25"/>
  <c r="U13" i="11"/>
  <c r="H122" i="25"/>
  <c r="U121" i="11"/>
  <c r="H7" i="25"/>
  <c r="U6" i="11"/>
  <c r="H18" i="25"/>
  <c r="U17" i="11"/>
  <c r="H257" i="25"/>
  <c r="U256" i="11"/>
  <c r="U231" i="11"/>
  <c r="H232" i="25"/>
  <c r="H6" i="25"/>
  <c r="U5" i="11"/>
  <c r="U244" i="11"/>
  <c r="H245" i="25"/>
  <c r="U235" i="11"/>
  <c r="H236" i="25"/>
  <c r="U56" i="11"/>
  <c r="H57" i="25"/>
  <c r="H164" i="25"/>
  <c r="U163" i="11"/>
  <c r="H87" i="25"/>
  <c r="U86" i="11"/>
  <c r="H212" i="25"/>
  <c r="U211" i="11"/>
  <c r="H325" i="34"/>
  <c r="G15" i="34"/>
  <c r="F12" i="9" l="1"/>
  <c r="G12" i="9" s="1"/>
  <c r="F14" i="9"/>
  <c r="G14" i="9" s="1"/>
  <c r="F16" i="9"/>
  <c r="G16" i="9" s="1"/>
  <c r="F21" i="9"/>
  <c r="G21" i="9" s="1"/>
  <c r="F23" i="9"/>
  <c r="G23" i="9" s="1"/>
  <c r="F28" i="9"/>
  <c r="G28" i="9" s="1"/>
  <c r="F30" i="9"/>
  <c r="G30" i="9" s="1"/>
  <c r="F32" i="9"/>
  <c r="G32" i="9" s="1"/>
  <c r="F37" i="9"/>
  <c r="G37" i="9" s="1"/>
  <c r="F39" i="9"/>
  <c r="G39" i="9" s="1"/>
  <c r="F44" i="9"/>
  <c r="G44" i="9" s="1"/>
  <c r="F46" i="9"/>
  <c r="G46" i="9" s="1"/>
  <c r="F55" i="9"/>
  <c r="G55" i="9" s="1"/>
  <c r="F60" i="9"/>
  <c r="G60" i="9" s="1"/>
  <c r="F62" i="9"/>
  <c r="G62" i="9" s="1"/>
  <c r="F71" i="9"/>
  <c r="G71" i="9" s="1"/>
  <c r="F76" i="9"/>
  <c r="G76" i="9" s="1"/>
  <c r="F78" i="9"/>
  <c r="G78" i="9" s="1"/>
  <c r="F87" i="9"/>
  <c r="G87" i="9" s="1"/>
  <c r="F92" i="9"/>
  <c r="G92" i="9" s="1"/>
  <c r="F94" i="9"/>
  <c r="G94" i="9" s="1"/>
  <c r="F103" i="9"/>
  <c r="G103" i="9" s="1"/>
  <c r="F108" i="9"/>
  <c r="G108" i="9" s="1"/>
  <c r="F110" i="9"/>
  <c r="G110" i="9" s="1"/>
  <c r="F119" i="9"/>
  <c r="G119" i="9" s="1"/>
  <c r="F124" i="9"/>
  <c r="G124" i="9" s="1"/>
  <c r="F126" i="9"/>
  <c r="G126" i="9" s="1"/>
  <c r="F135" i="9"/>
  <c r="G135" i="9" s="1"/>
  <c r="F140" i="9"/>
  <c r="G140" i="9" s="1"/>
  <c r="F142" i="9"/>
  <c r="G142" i="9" s="1"/>
  <c r="F151" i="9"/>
  <c r="G151" i="9" s="1"/>
  <c r="F156" i="9"/>
  <c r="G156" i="9" s="1"/>
  <c r="F158" i="9"/>
  <c r="G158" i="9" s="1"/>
  <c r="F167" i="9"/>
  <c r="G167" i="9" s="1"/>
  <c r="F172" i="9"/>
  <c r="G172" i="9" s="1"/>
  <c r="F174" i="9"/>
  <c r="G174" i="9" s="1"/>
  <c r="F183" i="9"/>
  <c r="G183" i="9" s="1"/>
  <c r="F188" i="9"/>
  <c r="G188" i="9" s="1"/>
  <c r="F190" i="9"/>
  <c r="G190" i="9" s="1"/>
  <c r="F199" i="9"/>
  <c r="G199" i="9" s="1"/>
  <c r="F204" i="9"/>
  <c r="G204" i="9" s="1"/>
  <c r="F206" i="9"/>
  <c r="G206" i="9" s="1"/>
  <c r="F215" i="9"/>
  <c r="G215" i="9" s="1"/>
  <c r="F220" i="9"/>
  <c r="G220" i="9" s="1"/>
  <c r="F222" i="9"/>
  <c r="G222" i="9" s="1"/>
  <c r="F231" i="9"/>
  <c r="G231" i="9" s="1"/>
  <c r="F236" i="9"/>
  <c r="G236" i="9" s="1"/>
  <c r="F238" i="9"/>
  <c r="G238" i="9" s="1"/>
  <c r="F247" i="9"/>
  <c r="G247" i="9" s="1"/>
  <c r="F252" i="9"/>
  <c r="G252" i="9" s="1"/>
  <c r="F254" i="9"/>
  <c r="G254" i="9" s="1"/>
  <c r="F263" i="9"/>
  <c r="G263" i="9" s="1"/>
  <c r="F268" i="9"/>
  <c r="G268" i="9" s="1"/>
  <c r="F270" i="9"/>
  <c r="G270" i="9" s="1"/>
  <c r="F279" i="9"/>
  <c r="G279" i="9" s="1"/>
  <c r="F284" i="9"/>
  <c r="G284" i="9" s="1"/>
  <c r="F286" i="9"/>
  <c r="G286" i="9" s="1"/>
  <c r="F295" i="9"/>
  <c r="G295" i="9" s="1"/>
  <c r="F300" i="9"/>
  <c r="G300" i="9" s="1"/>
  <c r="F302" i="9"/>
  <c r="G302" i="9" s="1"/>
  <c r="F311" i="9"/>
  <c r="G311" i="9" s="1"/>
  <c r="F316" i="9"/>
  <c r="G316" i="9" s="1"/>
  <c r="F318" i="9"/>
  <c r="G318" i="9" s="1"/>
  <c r="F18" i="9"/>
  <c r="G18" i="9" s="1"/>
  <c r="F25" i="9"/>
  <c r="G25" i="9" s="1"/>
  <c r="F27" i="9"/>
  <c r="G27" i="9" s="1"/>
  <c r="F34" i="9"/>
  <c r="G34" i="9" s="1"/>
  <c r="F41" i="9"/>
  <c r="G41" i="9" s="1"/>
  <c r="F43" i="9"/>
  <c r="G43" i="9" s="1"/>
  <c r="F48" i="9"/>
  <c r="G48" i="9" s="1"/>
  <c r="F50" i="9"/>
  <c r="G50" i="9" s="1"/>
  <c r="F52" i="9"/>
  <c r="G52" i="9" s="1"/>
  <c r="F57" i="9"/>
  <c r="G57" i="9" s="1"/>
  <c r="F59" i="9"/>
  <c r="G59" i="9" s="1"/>
  <c r="F64" i="9"/>
  <c r="G64" i="9" s="1"/>
  <c r="F66" i="9"/>
  <c r="G66" i="9" s="1"/>
  <c r="F68" i="9"/>
  <c r="G68" i="9" s="1"/>
  <c r="F73" i="9"/>
  <c r="G73" i="9" s="1"/>
  <c r="F75" i="9"/>
  <c r="G75" i="9" s="1"/>
  <c r="F80" i="9"/>
  <c r="G80" i="9" s="1"/>
  <c r="F82" i="9"/>
  <c r="G82" i="9" s="1"/>
  <c r="F84" i="9"/>
  <c r="G84" i="9" s="1"/>
  <c r="F89" i="9"/>
  <c r="G89" i="9" s="1"/>
  <c r="F91" i="9"/>
  <c r="G91" i="9" s="1"/>
  <c r="F96" i="9"/>
  <c r="G96" i="9" s="1"/>
  <c r="F98" i="9"/>
  <c r="G98" i="9" s="1"/>
  <c r="F100" i="9"/>
  <c r="G100" i="9" s="1"/>
  <c r="F105" i="9"/>
  <c r="G105" i="9" s="1"/>
  <c r="F107" i="9"/>
  <c r="G107" i="9" s="1"/>
  <c r="F112" i="9"/>
  <c r="G112" i="9" s="1"/>
  <c r="F114" i="9"/>
  <c r="G114" i="9" s="1"/>
  <c r="F116" i="9"/>
  <c r="G116" i="9" s="1"/>
  <c r="F121" i="9"/>
  <c r="G121" i="9" s="1"/>
  <c r="F123" i="9"/>
  <c r="G123" i="9" s="1"/>
  <c r="F128" i="9"/>
  <c r="G128" i="9" s="1"/>
  <c r="F130" i="9"/>
  <c r="G130" i="9" s="1"/>
  <c r="F132" i="9"/>
  <c r="G132" i="9" s="1"/>
  <c r="F137" i="9"/>
  <c r="G137" i="9" s="1"/>
  <c r="F139" i="9"/>
  <c r="G139" i="9" s="1"/>
  <c r="F144" i="9"/>
  <c r="G144" i="9" s="1"/>
  <c r="F146" i="9"/>
  <c r="G146" i="9" s="1"/>
  <c r="F148" i="9"/>
  <c r="G148" i="9" s="1"/>
  <c r="F153" i="9"/>
  <c r="G153" i="9" s="1"/>
  <c r="F155" i="9"/>
  <c r="G155" i="9" s="1"/>
  <c r="F160" i="9"/>
  <c r="G160" i="9" s="1"/>
  <c r="F162" i="9"/>
  <c r="G162" i="9" s="1"/>
  <c r="F164" i="9"/>
  <c r="G164" i="9" s="1"/>
  <c r="F169" i="9"/>
  <c r="G169" i="9" s="1"/>
  <c r="F171" i="9"/>
  <c r="G171" i="9" s="1"/>
  <c r="F176" i="9"/>
  <c r="G176" i="9" s="1"/>
  <c r="F178" i="9"/>
  <c r="G178" i="9" s="1"/>
  <c r="F180" i="9"/>
  <c r="G180" i="9" s="1"/>
  <c r="F185" i="9"/>
  <c r="G185" i="9" s="1"/>
  <c r="F187" i="9"/>
  <c r="G187" i="9" s="1"/>
  <c r="F192" i="9"/>
  <c r="G192" i="9" s="1"/>
  <c r="F194" i="9"/>
  <c r="G194" i="9" s="1"/>
  <c r="F196" i="9"/>
  <c r="G196" i="9" s="1"/>
  <c r="F201" i="9"/>
  <c r="G201" i="9" s="1"/>
  <c r="F203" i="9"/>
  <c r="G203" i="9" s="1"/>
  <c r="F208" i="9"/>
  <c r="G208" i="9" s="1"/>
  <c r="F210" i="9"/>
  <c r="G210" i="9" s="1"/>
  <c r="F212" i="9"/>
  <c r="G212" i="9" s="1"/>
  <c r="F217" i="9"/>
  <c r="G217" i="9" s="1"/>
  <c r="F219" i="9"/>
  <c r="G219" i="9" s="1"/>
  <c r="F224" i="9"/>
  <c r="G224" i="9" s="1"/>
  <c r="F226" i="9"/>
  <c r="G226" i="9" s="1"/>
  <c r="F228" i="9"/>
  <c r="G228" i="9" s="1"/>
  <c r="F233" i="9"/>
  <c r="G233" i="9" s="1"/>
  <c r="F235" i="9"/>
  <c r="G235" i="9" s="1"/>
  <c r="F240" i="9"/>
  <c r="G240" i="9" s="1"/>
  <c r="F242" i="9"/>
  <c r="G242" i="9" s="1"/>
  <c r="F244" i="9"/>
  <c r="G244" i="9" s="1"/>
  <c r="F249" i="9"/>
  <c r="G249" i="9" s="1"/>
  <c r="F251" i="9"/>
  <c r="G251" i="9" s="1"/>
  <c r="F256" i="9"/>
  <c r="G256" i="9" s="1"/>
  <c r="F258" i="9"/>
  <c r="G258" i="9" s="1"/>
  <c r="F260" i="9"/>
  <c r="G260" i="9" s="1"/>
  <c r="F265" i="9"/>
  <c r="G265" i="9" s="1"/>
  <c r="F267" i="9"/>
  <c r="G267" i="9" s="1"/>
  <c r="F272" i="9"/>
  <c r="G272" i="9" s="1"/>
  <c r="F274" i="9"/>
  <c r="G274" i="9" s="1"/>
  <c r="F276" i="9"/>
  <c r="G276" i="9" s="1"/>
  <c r="F281" i="9"/>
  <c r="G281" i="9" s="1"/>
  <c r="F283" i="9"/>
  <c r="G283" i="9" s="1"/>
  <c r="F288" i="9"/>
  <c r="G288" i="9" s="1"/>
  <c r="F290" i="9"/>
  <c r="G290" i="9" s="1"/>
  <c r="F292" i="9"/>
  <c r="G292" i="9" s="1"/>
  <c r="F297" i="9"/>
  <c r="G297" i="9" s="1"/>
  <c r="F299" i="9"/>
  <c r="G299" i="9" s="1"/>
  <c r="F304" i="9"/>
  <c r="G304" i="9" s="1"/>
  <c r="F306" i="9"/>
  <c r="G306" i="9" s="1"/>
  <c r="F308" i="9"/>
  <c r="G308" i="9" s="1"/>
  <c r="F313" i="9"/>
  <c r="G313" i="9" s="1"/>
  <c r="F315" i="9"/>
  <c r="G315" i="9" s="1"/>
  <c r="F13" i="9"/>
  <c r="G13" i="9" s="1"/>
  <c r="F15" i="9"/>
  <c r="G15" i="9" s="1"/>
  <c r="F20" i="9"/>
  <c r="G20" i="9" s="1"/>
  <c r="F22" i="9"/>
  <c r="G22" i="9" s="1"/>
  <c r="F24" i="9"/>
  <c r="G24" i="9" s="1"/>
  <c r="F29" i="9"/>
  <c r="G29" i="9" s="1"/>
  <c r="F31" i="9"/>
  <c r="G31" i="9" s="1"/>
  <c r="F36" i="9"/>
  <c r="G36" i="9" s="1"/>
  <c r="F38" i="9"/>
  <c r="G38" i="9" s="1"/>
  <c r="F40" i="9"/>
  <c r="G40" i="9" s="1"/>
  <c r="F45" i="9"/>
  <c r="G45" i="9" s="1"/>
  <c r="F47" i="9"/>
  <c r="G47" i="9" s="1"/>
  <c r="F54" i="9"/>
  <c r="G54" i="9" s="1"/>
  <c r="F56" i="9"/>
  <c r="G56" i="9" s="1"/>
  <c r="F61" i="9"/>
  <c r="G61" i="9" s="1"/>
  <c r="F63" i="9"/>
  <c r="G63" i="9" s="1"/>
  <c r="F70" i="9"/>
  <c r="G70" i="9" s="1"/>
  <c r="F72" i="9"/>
  <c r="G72" i="9" s="1"/>
  <c r="F77" i="9"/>
  <c r="G77" i="9" s="1"/>
  <c r="F79" i="9"/>
  <c r="G79" i="9" s="1"/>
  <c r="F86" i="9"/>
  <c r="G86" i="9" s="1"/>
  <c r="F88" i="9"/>
  <c r="G88" i="9" s="1"/>
  <c r="F93" i="9"/>
  <c r="G93" i="9" s="1"/>
  <c r="F95" i="9"/>
  <c r="G95" i="9" s="1"/>
  <c r="F102" i="9"/>
  <c r="G102" i="9" s="1"/>
  <c r="F104" i="9"/>
  <c r="G104" i="9" s="1"/>
  <c r="F109" i="9"/>
  <c r="G109" i="9" s="1"/>
  <c r="F111" i="9"/>
  <c r="G111" i="9" s="1"/>
  <c r="F118" i="9"/>
  <c r="G118" i="9" s="1"/>
  <c r="F120" i="9"/>
  <c r="G120" i="9" s="1"/>
  <c r="F125" i="9"/>
  <c r="G125" i="9" s="1"/>
  <c r="F127" i="9"/>
  <c r="G127" i="9" s="1"/>
  <c r="F134" i="9"/>
  <c r="G134" i="9" s="1"/>
  <c r="F136" i="9"/>
  <c r="G136" i="9" s="1"/>
  <c r="F141" i="9"/>
  <c r="G141" i="9" s="1"/>
  <c r="F143" i="9"/>
  <c r="G143" i="9" s="1"/>
  <c r="F150" i="9"/>
  <c r="G150" i="9" s="1"/>
  <c r="F152" i="9"/>
  <c r="G152" i="9" s="1"/>
  <c r="F157" i="9"/>
  <c r="G157" i="9" s="1"/>
  <c r="F159" i="9"/>
  <c r="G159" i="9" s="1"/>
  <c r="F166" i="9"/>
  <c r="G166" i="9" s="1"/>
  <c r="F168" i="9"/>
  <c r="G168" i="9" s="1"/>
  <c r="F173" i="9"/>
  <c r="G173" i="9" s="1"/>
  <c r="F175" i="9"/>
  <c r="G175" i="9" s="1"/>
  <c r="F182" i="9"/>
  <c r="G182" i="9" s="1"/>
  <c r="F184" i="9"/>
  <c r="G184" i="9" s="1"/>
  <c r="F189" i="9"/>
  <c r="G189" i="9" s="1"/>
  <c r="F191" i="9"/>
  <c r="G191" i="9" s="1"/>
  <c r="F198" i="9"/>
  <c r="G198" i="9" s="1"/>
  <c r="F200" i="9"/>
  <c r="G200" i="9" s="1"/>
  <c r="F205" i="9"/>
  <c r="G205" i="9" s="1"/>
  <c r="F207" i="9"/>
  <c r="G207" i="9" s="1"/>
  <c r="F214" i="9"/>
  <c r="G214" i="9" s="1"/>
  <c r="F216" i="9"/>
  <c r="G216" i="9" s="1"/>
  <c r="F221" i="9"/>
  <c r="G221" i="9" s="1"/>
  <c r="F223" i="9"/>
  <c r="G223" i="9" s="1"/>
  <c r="F230" i="9"/>
  <c r="G230" i="9" s="1"/>
  <c r="F232" i="9"/>
  <c r="G232" i="9" s="1"/>
  <c r="F237" i="9"/>
  <c r="G237" i="9" s="1"/>
  <c r="F239" i="9"/>
  <c r="G239" i="9" s="1"/>
  <c r="F246" i="9"/>
  <c r="G246" i="9" s="1"/>
  <c r="F248" i="9"/>
  <c r="G248" i="9" s="1"/>
  <c r="F253" i="9"/>
  <c r="G253" i="9" s="1"/>
  <c r="F255" i="9"/>
  <c r="G255" i="9" s="1"/>
  <c r="F262" i="9"/>
  <c r="G262" i="9" s="1"/>
  <c r="F264" i="9"/>
  <c r="G264" i="9" s="1"/>
  <c r="F269" i="9"/>
  <c r="G269" i="9" s="1"/>
  <c r="F271" i="9"/>
  <c r="G271" i="9" s="1"/>
  <c r="F278" i="9"/>
  <c r="G278" i="9" s="1"/>
  <c r="F280" i="9"/>
  <c r="G280" i="9" s="1"/>
  <c r="F285" i="9"/>
  <c r="G285" i="9" s="1"/>
  <c r="F287" i="9"/>
  <c r="G287" i="9" s="1"/>
  <c r="F294" i="9"/>
  <c r="G294" i="9" s="1"/>
  <c r="F296" i="9"/>
  <c r="G296" i="9" s="1"/>
  <c r="F301" i="9"/>
  <c r="G301" i="9" s="1"/>
  <c r="F303" i="9"/>
  <c r="G303" i="9" s="1"/>
  <c r="F310" i="9"/>
  <c r="G310" i="9" s="1"/>
  <c r="F312" i="9"/>
  <c r="G312" i="9" s="1"/>
  <c r="F317" i="9"/>
  <c r="G317" i="9" s="1"/>
  <c r="F319" i="9"/>
  <c r="G319" i="9" s="1"/>
  <c r="F17" i="9"/>
  <c r="G17" i="9" s="1"/>
  <c r="F19" i="9"/>
  <c r="G19" i="9" s="1"/>
  <c r="F26" i="9"/>
  <c r="G26" i="9" s="1"/>
  <c r="F33" i="9"/>
  <c r="G33" i="9" s="1"/>
  <c r="F35" i="9"/>
  <c r="G35" i="9" s="1"/>
  <c r="F42" i="9"/>
  <c r="G42" i="9" s="1"/>
  <c r="F49" i="9"/>
  <c r="G49" i="9" s="1"/>
  <c r="F51" i="9"/>
  <c r="G51" i="9" s="1"/>
  <c r="F53" i="9"/>
  <c r="G53" i="9" s="1"/>
  <c r="F58" i="9"/>
  <c r="G58" i="9" s="1"/>
  <c r="F65" i="9"/>
  <c r="G65" i="9" s="1"/>
  <c r="F67" i="9"/>
  <c r="G67" i="9" s="1"/>
  <c r="F69" i="9"/>
  <c r="G69" i="9" s="1"/>
  <c r="F74" i="9"/>
  <c r="G74" i="9" s="1"/>
  <c r="F81" i="9"/>
  <c r="G81" i="9" s="1"/>
  <c r="F83" i="9"/>
  <c r="G83" i="9" s="1"/>
  <c r="F85" i="9"/>
  <c r="G85" i="9" s="1"/>
  <c r="F90" i="9"/>
  <c r="G90" i="9" s="1"/>
  <c r="F97" i="9"/>
  <c r="G97" i="9" s="1"/>
  <c r="F99" i="9"/>
  <c r="G99" i="9" s="1"/>
  <c r="F101" i="9"/>
  <c r="G101" i="9" s="1"/>
  <c r="F129" i="9"/>
  <c r="G129" i="9" s="1"/>
  <c r="F131" i="9"/>
  <c r="G131" i="9" s="1"/>
  <c r="F133" i="9"/>
  <c r="G133" i="9" s="1"/>
  <c r="F161" i="9"/>
  <c r="G161" i="9" s="1"/>
  <c r="F163" i="9"/>
  <c r="G163" i="9" s="1"/>
  <c r="F165" i="9"/>
  <c r="G165" i="9" s="1"/>
  <c r="F193" i="9"/>
  <c r="G193" i="9" s="1"/>
  <c r="F195" i="9"/>
  <c r="G195" i="9" s="1"/>
  <c r="F197" i="9"/>
  <c r="G197" i="9" s="1"/>
  <c r="F225" i="9"/>
  <c r="G225" i="9" s="1"/>
  <c r="F227" i="9"/>
  <c r="G227" i="9" s="1"/>
  <c r="F229" i="9"/>
  <c r="G229" i="9" s="1"/>
  <c r="F257" i="9"/>
  <c r="G257" i="9" s="1"/>
  <c r="F259" i="9"/>
  <c r="G259" i="9" s="1"/>
  <c r="F261" i="9"/>
  <c r="G261" i="9" s="1"/>
  <c r="F289" i="9"/>
  <c r="G289" i="9" s="1"/>
  <c r="F291" i="9"/>
  <c r="G291" i="9" s="1"/>
  <c r="F293" i="9"/>
  <c r="G293" i="9" s="1"/>
  <c r="F122" i="9"/>
  <c r="G122" i="9" s="1"/>
  <c r="F154" i="9"/>
  <c r="G154" i="9" s="1"/>
  <c r="F186" i="9"/>
  <c r="G186" i="9" s="1"/>
  <c r="F218" i="9"/>
  <c r="G218" i="9" s="1"/>
  <c r="F250" i="9"/>
  <c r="G250" i="9" s="1"/>
  <c r="F282" i="9"/>
  <c r="G282" i="9" s="1"/>
  <c r="F314" i="9"/>
  <c r="G314" i="9" s="1"/>
  <c r="F113" i="9"/>
  <c r="G113" i="9" s="1"/>
  <c r="F115" i="9"/>
  <c r="G115" i="9" s="1"/>
  <c r="F117" i="9"/>
  <c r="G117" i="9" s="1"/>
  <c r="F145" i="9"/>
  <c r="G145" i="9" s="1"/>
  <c r="F147" i="9"/>
  <c r="G147" i="9" s="1"/>
  <c r="F149" i="9"/>
  <c r="G149" i="9" s="1"/>
  <c r="F177" i="9"/>
  <c r="G177" i="9" s="1"/>
  <c r="F179" i="9"/>
  <c r="G179" i="9" s="1"/>
  <c r="F181" i="9"/>
  <c r="G181" i="9" s="1"/>
  <c r="F209" i="9"/>
  <c r="G209" i="9" s="1"/>
  <c r="F211" i="9"/>
  <c r="G211" i="9" s="1"/>
  <c r="F213" i="9"/>
  <c r="G213" i="9" s="1"/>
  <c r="F241" i="9"/>
  <c r="G241" i="9" s="1"/>
  <c r="F243" i="9"/>
  <c r="G243" i="9" s="1"/>
  <c r="F245" i="9"/>
  <c r="G245" i="9" s="1"/>
  <c r="F273" i="9"/>
  <c r="G273" i="9" s="1"/>
  <c r="F275" i="9"/>
  <c r="G275" i="9" s="1"/>
  <c r="F277" i="9"/>
  <c r="G277" i="9" s="1"/>
  <c r="F305" i="9"/>
  <c r="G305" i="9" s="1"/>
  <c r="F307" i="9"/>
  <c r="G307" i="9" s="1"/>
  <c r="F309" i="9"/>
  <c r="G309" i="9" s="1"/>
  <c r="F106" i="9"/>
  <c r="G106" i="9" s="1"/>
  <c r="F138" i="9"/>
  <c r="G138" i="9" s="1"/>
  <c r="F170" i="9"/>
  <c r="G170" i="9" s="1"/>
  <c r="F202" i="9"/>
  <c r="G202" i="9" s="1"/>
  <c r="F234" i="9"/>
  <c r="G234" i="9" s="1"/>
  <c r="F266" i="9"/>
  <c r="G266" i="9" s="1"/>
  <c r="F298" i="9"/>
  <c r="G298" i="9" s="1"/>
  <c r="C7" i="34"/>
  <c r="D7" i="34" s="1"/>
  <c r="U314" i="11"/>
  <c r="H315" i="25"/>
  <c r="F11" i="9"/>
  <c r="D308" i="39" l="1"/>
  <c r="D308" i="12"/>
  <c r="D164" i="12"/>
  <c r="D164" i="39"/>
  <c r="D139" i="39"/>
  <c r="D139" i="12"/>
  <c r="D52" i="39"/>
  <c r="D52" i="12"/>
  <c r="D274" i="12"/>
  <c r="D274" i="39"/>
  <c r="D144" i="12"/>
  <c r="D144" i="39"/>
  <c r="D128" i="12"/>
  <c r="D128" i="39"/>
  <c r="D112" i="39"/>
  <c r="D112" i="12"/>
  <c r="D96" i="12"/>
  <c r="D96" i="39"/>
  <c r="D80" i="12"/>
  <c r="D80" i="39"/>
  <c r="D64" i="39"/>
  <c r="D64" i="12"/>
  <c r="D48" i="12"/>
  <c r="D48" i="39"/>
  <c r="D32" i="39"/>
  <c r="D32" i="12"/>
  <c r="D18" i="39"/>
  <c r="D18" i="12"/>
  <c r="D7" i="39"/>
  <c r="D7" i="12"/>
  <c r="D300" i="39"/>
  <c r="D300" i="12"/>
  <c r="D286" i="12"/>
  <c r="D286" i="39"/>
  <c r="D275" i="39"/>
  <c r="D275" i="12"/>
  <c r="D261" i="12"/>
  <c r="D261" i="39"/>
  <c r="D250" i="12"/>
  <c r="D250" i="39"/>
  <c r="D236" i="39"/>
  <c r="D236" i="12"/>
  <c r="D222" i="12"/>
  <c r="D222" i="39"/>
  <c r="D211" i="39"/>
  <c r="D211" i="12"/>
  <c r="D197" i="12"/>
  <c r="D197" i="39"/>
  <c r="D186" i="12"/>
  <c r="D186" i="39"/>
  <c r="D172" i="39"/>
  <c r="D172" i="12"/>
  <c r="D158" i="39"/>
  <c r="D158" i="12"/>
  <c r="D147" i="39"/>
  <c r="D147" i="12"/>
  <c r="D133" i="12"/>
  <c r="D133" i="39"/>
  <c r="D122" i="39"/>
  <c r="D122" i="12"/>
  <c r="D108" i="12"/>
  <c r="D108" i="39"/>
  <c r="D94" i="12"/>
  <c r="D94" i="39"/>
  <c r="D83" i="12"/>
  <c r="D83" i="39"/>
  <c r="D69" i="39"/>
  <c r="D69" i="12"/>
  <c r="D58" i="39"/>
  <c r="D58" i="12"/>
  <c r="D44" i="12"/>
  <c r="D44" i="39"/>
  <c r="D28" i="12"/>
  <c r="D28" i="39"/>
  <c r="D312" i="39"/>
  <c r="D312" i="12"/>
  <c r="D294" i="12"/>
  <c r="D294" i="39"/>
  <c r="D273" i="39"/>
  <c r="D273" i="12"/>
  <c r="D248" i="39"/>
  <c r="D248" i="12"/>
  <c r="D230" i="12"/>
  <c r="D230" i="39"/>
  <c r="D209" i="39"/>
  <c r="D209" i="12"/>
  <c r="D184" i="39"/>
  <c r="D184" i="12"/>
  <c r="D166" i="12"/>
  <c r="D166" i="39"/>
  <c r="D145" i="12"/>
  <c r="D145" i="39"/>
  <c r="D120" i="12"/>
  <c r="D120" i="39"/>
  <c r="D102" i="39"/>
  <c r="D102" i="12"/>
  <c r="D81" i="12"/>
  <c r="D81" i="39"/>
  <c r="D56" i="39"/>
  <c r="D56" i="12"/>
  <c r="D38" i="12"/>
  <c r="D38" i="39"/>
  <c r="D24" i="39"/>
  <c r="D24" i="12"/>
  <c r="D10" i="39"/>
  <c r="D10" i="12"/>
  <c r="D301" i="12"/>
  <c r="D301" i="39"/>
  <c r="D207" i="39"/>
  <c r="D207" i="12"/>
  <c r="D285" i="12"/>
  <c r="D285" i="39"/>
  <c r="D191" i="39"/>
  <c r="D191" i="12"/>
  <c r="D123" i="39"/>
  <c r="D123" i="12"/>
  <c r="D68" i="39"/>
  <c r="D68" i="12"/>
  <c r="D13" i="12"/>
  <c r="D13" i="39"/>
  <c r="D290" i="12"/>
  <c r="D290" i="39"/>
  <c r="D258" i="39"/>
  <c r="D258" i="12"/>
  <c r="D226" i="39"/>
  <c r="D226" i="12"/>
  <c r="D194" i="39"/>
  <c r="D194" i="12"/>
  <c r="D162" i="39"/>
  <c r="D162" i="12"/>
  <c r="D130" i="39"/>
  <c r="D130" i="12"/>
  <c r="D98" i="12"/>
  <c r="D98" i="39"/>
  <c r="D66" i="12"/>
  <c r="D66" i="39"/>
  <c r="D34" i="12"/>
  <c r="D34" i="39"/>
  <c r="D9" i="12"/>
  <c r="D9" i="39"/>
  <c r="D291" i="12"/>
  <c r="D291" i="39"/>
  <c r="D266" i="39"/>
  <c r="D266" i="12"/>
  <c r="D238" i="12"/>
  <c r="D238" i="39"/>
  <c r="D213" i="39"/>
  <c r="D213" i="12"/>
  <c r="D188" i="39"/>
  <c r="D188" i="12"/>
  <c r="D163" i="39"/>
  <c r="D163" i="12"/>
  <c r="D149" i="12"/>
  <c r="D149" i="39"/>
  <c r="D124" i="39"/>
  <c r="D124" i="12"/>
  <c r="D99" i="39"/>
  <c r="D99" i="12"/>
  <c r="D74" i="12"/>
  <c r="D74" i="39"/>
  <c r="D46" i="12"/>
  <c r="D46" i="39"/>
  <c r="D12" i="39"/>
  <c r="D12" i="12"/>
  <c r="D278" i="39"/>
  <c r="D278" i="12"/>
  <c r="D257" i="39"/>
  <c r="D257" i="12"/>
  <c r="D214" i="39"/>
  <c r="D214" i="12"/>
  <c r="D168" i="39"/>
  <c r="D168" i="12"/>
  <c r="D150" i="39"/>
  <c r="D150" i="12"/>
  <c r="D86" i="12"/>
  <c r="D86" i="39"/>
  <c r="D40" i="12"/>
  <c r="D40" i="39"/>
  <c r="D15" i="39"/>
  <c r="D15" i="12"/>
  <c r="D260" i="39"/>
  <c r="D260" i="12"/>
  <c r="D299" i="12"/>
  <c r="D299" i="39"/>
  <c r="D205" i="39"/>
  <c r="D205" i="12"/>
  <c r="D111" i="39"/>
  <c r="D111" i="12"/>
  <c r="D148" i="12"/>
  <c r="D148" i="39"/>
  <c r="D223" i="39"/>
  <c r="D223" i="12"/>
  <c r="D189" i="39"/>
  <c r="D189" i="12"/>
  <c r="D95" i="12"/>
  <c r="D95" i="39"/>
  <c r="D63" i="12"/>
  <c r="D63" i="39"/>
  <c r="D11" i="12"/>
  <c r="D11" i="39"/>
  <c r="D288" i="39"/>
  <c r="D288" i="12"/>
  <c r="D256" i="39"/>
  <c r="D256" i="12"/>
  <c r="D224" i="39"/>
  <c r="D224" i="12"/>
  <c r="D192" i="39"/>
  <c r="D192" i="12"/>
  <c r="D160" i="12"/>
  <c r="D160" i="39"/>
  <c r="D228" i="39"/>
  <c r="D228" i="12"/>
  <c r="D100" i="12"/>
  <c r="D100" i="39"/>
  <c r="D271" i="39"/>
  <c r="D271" i="12"/>
  <c r="D237" i="39"/>
  <c r="D237" i="12"/>
  <c r="D203" i="39"/>
  <c r="D203" i="12"/>
  <c r="D143" i="39"/>
  <c r="D143" i="12"/>
  <c r="D109" i="12"/>
  <c r="D109" i="39"/>
  <c r="D244" i="12"/>
  <c r="D244" i="39"/>
  <c r="D116" i="12"/>
  <c r="D116" i="39"/>
  <c r="D255" i="39"/>
  <c r="D255" i="12"/>
  <c r="D221" i="39"/>
  <c r="D221" i="12"/>
  <c r="D187" i="39"/>
  <c r="D187" i="12"/>
  <c r="D127" i="39"/>
  <c r="D127" i="12"/>
  <c r="D93" i="39"/>
  <c r="D93" i="12"/>
  <c r="D77" i="39"/>
  <c r="D77" i="12"/>
  <c r="D61" i="39"/>
  <c r="D61" i="12"/>
  <c r="D45" i="39"/>
  <c r="D45" i="12"/>
  <c r="D27" i="39"/>
  <c r="D27" i="12"/>
  <c r="D313" i="12"/>
  <c r="D313" i="39"/>
  <c r="D297" i="12"/>
  <c r="D297" i="39"/>
  <c r="D281" i="39"/>
  <c r="D281" i="12"/>
  <c r="D265" i="39"/>
  <c r="D265" i="12"/>
  <c r="D249" i="39"/>
  <c r="D249" i="12"/>
  <c r="D233" i="39"/>
  <c r="D233" i="12"/>
  <c r="D217" i="39"/>
  <c r="D217" i="12"/>
  <c r="D201" i="39"/>
  <c r="D201" i="12"/>
  <c r="D185" i="39"/>
  <c r="D185" i="12"/>
  <c r="D169" i="12"/>
  <c r="D169" i="39"/>
  <c r="D153" i="12"/>
  <c r="D153" i="39"/>
  <c r="D137" i="12"/>
  <c r="D137" i="39"/>
  <c r="D121" i="12"/>
  <c r="D121" i="39"/>
  <c r="D105" i="12"/>
  <c r="D105" i="39"/>
  <c r="D89" i="39"/>
  <c r="D89" i="12"/>
  <c r="D73" i="39"/>
  <c r="D73" i="12"/>
  <c r="D57" i="39"/>
  <c r="D57" i="12"/>
  <c r="D41" i="39"/>
  <c r="D41" i="12"/>
  <c r="D30" i="12"/>
  <c r="D30" i="39"/>
  <c r="D16" i="39"/>
  <c r="D16" i="12"/>
  <c r="D309" i="12"/>
  <c r="D309" i="39"/>
  <c r="D298" i="12"/>
  <c r="D298" i="39"/>
  <c r="D284" i="39"/>
  <c r="D284" i="12"/>
  <c r="D270" i="12"/>
  <c r="D270" i="39"/>
  <c r="D259" i="39"/>
  <c r="D259" i="12"/>
  <c r="D245" i="12"/>
  <c r="D245" i="39"/>
  <c r="D234" i="12"/>
  <c r="D234" i="39"/>
  <c r="D220" i="39"/>
  <c r="D220" i="12"/>
  <c r="D206" i="12"/>
  <c r="D206" i="39"/>
  <c r="D195" i="39"/>
  <c r="D195" i="12"/>
  <c r="D181" i="12"/>
  <c r="D181" i="39"/>
  <c r="D170" i="39"/>
  <c r="D170" i="12"/>
  <c r="D156" i="39"/>
  <c r="D156" i="12"/>
  <c r="D142" i="39"/>
  <c r="D142" i="12"/>
  <c r="D131" i="39"/>
  <c r="D131" i="12"/>
  <c r="D117" i="12"/>
  <c r="D117" i="39"/>
  <c r="D106" i="39"/>
  <c r="D106" i="12"/>
  <c r="D92" i="12"/>
  <c r="D92" i="39"/>
  <c r="D78" i="12"/>
  <c r="D78" i="39"/>
  <c r="D67" i="12"/>
  <c r="D67" i="39"/>
  <c r="D53" i="39"/>
  <c r="D53" i="12"/>
  <c r="D42" i="12"/>
  <c r="D42" i="39"/>
  <c r="D21" i="39"/>
  <c r="D21" i="12"/>
  <c r="D310" i="12"/>
  <c r="D310" i="39"/>
  <c r="D289" i="12"/>
  <c r="D289" i="39"/>
  <c r="D264" i="39"/>
  <c r="D264" i="12"/>
  <c r="D246" i="12"/>
  <c r="D246" i="39"/>
  <c r="D225" i="39"/>
  <c r="D225" i="12"/>
  <c r="D200" i="39"/>
  <c r="D200" i="12"/>
  <c r="D182" i="39"/>
  <c r="D182" i="12"/>
  <c r="D161" i="12"/>
  <c r="D161" i="39"/>
  <c r="D136" i="39"/>
  <c r="D136" i="12"/>
  <c r="D118" i="12"/>
  <c r="D118" i="39"/>
  <c r="D97" i="12"/>
  <c r="D97" i="39"/>
  <c r="D72" i="12"/>
  <c r="D72" i="39"/>
  <c r="D54" i="39"/>
  <c r="D54" i="12"/>
  <c r="D33" i="39"/>
  <c r="D33" i="12"/>
  <c r="D22" i="12"/>
  <c r="D22" i="39"/>
  <c r="D8" i="39"/>
  <c r="D8" i="12"/>
  <c r="D292" i="39"/>
  <c r="D292" i="12"/>
  <c r="D267" i="39"/>
  <c r="D267" i="12"/>
  <c r="D173" i="12"/>
  <c r="D173" i="39"/>
  <c r="D180" i="12"/>
  <c r="D180" i="39"/>
  <c r="D251" i="39"/>
  <c r="D251" i="12"/>
  <c r="D157" i="12"/>
  <c r="D157" i="39"/>
  <c r="D84" i="12"/>
  <c r="D84" i="39"/>
  <c r="D36" i="12"/>
  <c r="D36" i="39"/>
  <c r="D306" i="12"/>
  <c r="D306" i="39"/>
  <c r="D242" i="12"/>
  <c r="D242" i="39"/>
  <c r="D210" i="12"/>
  <c r="D210" i="39"/>
  <c r="D178" i="12"/>
  <c r="D178" i="39"/>
  <c r="D146" i="39"/>
  <c r="D146" i="12"/>
  <c r="D114" i="12"/>
  <c r="D114" i="39"/>
  <c r="D82" i="12"/>
  <c r="D82" i="39"/>
  <c r="D50" i="12"/>
  <c r="D50" i="39"/>
  <c r="D23" i="12"/>
  <c r="D23" i="39"/>
  <c r="D302" i="12"/>
  <c r="D302" i="39"/>
  <c r="D277" i="39"/>
  <c r="D277" i="12"/>
  <c r="D252" i="39"/>
  <c r="D252" i="12"/>
  <c r="D227" i="12"/>
  <c r="D227" i="39"/>
  <c r="D202" i="39"/>
  <c r="D202" i="12"/>
  <c r="D174" i="39"/>
  <c r="D174" i="12"/>
  <c r="D138" i="39"/>
  <c r="D138" i="12"/>
  <c r="D110" i="39"/>
  <c r="D110" i="12"/>
  <c r="D85" i="12"/>
  <c r="D85" i="39"/>
  <c r="D60" i="39"/>
  <c r="D60" i="12"/>
  <c r="D35" i="39"/>
  <c r="D35" i="12"/>
  <c r="D296" i="39"/>
  <c r="D296" i="12"/>
  <c r="D232" i="39"/>
  <c r="D232" i="12"/>
  <c r="D193" i="39"/>
  <c r="D193" i="12"/>
  <c r="D129" i="12"/>
  <c r="D129" i="39"/>
  <c r="D104" i="12"/>
  <c r="D104" i="39"/>
  <c r="D65" i="12"/>
  <c r="D65" i="39"/>
  <c r="D26" i="12"/>
  <c r="D26" i="39"/>
  <c r="D132" i="12"/>
  <c r="D132" i="39"/>
  <c r="D239" i="39"/>
  <c r="D239" i="12"/>
  <c r="D171" i="39"/>
  <c r="D171" i="12"/>
  <c r="D276" i="39"/>
  <c r="D276" i="12"/>
  <c r="D283" i="39"/>
  <c r="D283" i="12"/>
  <c r="D155" i="39"/>
  <c r="D155" i="12"/>
  <c r="D79" i="12"/>
  <c r="D79" i="39"/>
  <c r="D47" i="12"/>
  <c r="D47" i="39"/>
  <c r="D29" i="39"/>
  <c r="D29" i="12"/>
  <c r="D304" i="39"/>
  <c r="D304" i="12"/>
  <c r="D272" i="39"/>
  <c r="D272" i="12"/>
  <c r="D240" i="39"/>
  <c r="D240" i="12"/>
  <c r="D208" i="39"/>
  <c r="D208" i="12"/>
  <c r="D176" i="39"/>
  <c r="D176" i="12"/>
  <c r="D196" i="39"/>
  <c r="D196" i="12"/>
  <c r="D303" i="12"/>
  <c r="D303" i="39"/>
  <c r="D269" i="39"/>
  <c r="D269" i="12"/>
  <c r="D235" i="39"/>
  <c r="D235" i="12"/>
  <c r="D175" i="39"/>
  <c r="D175" i="12"/>
  <c r="D141" i="12"/>
  <c r="D141" i="39"/>
  <c r="D107" i="39"/>
  <c r="D107" i="12"/>
  <c r="D212" i="39"/>
  <c r="D212" i="12"/>
  <c r="D287" i="12"/>
  <c r="D287" i="39"/>
  <c r="D253" i="39"/>
  <c r="D253" i="12"/>
  <c r="D219" i="39"/>
  <c r="D219" i="12"/>
  <c r="D159" i="39"/>
  <c r="D159" i="12"/>
  <c r="D125" i="12"/>
  <c r="D125" i="39"/>
  <c r="D91" i="12"/>
  <c r="D91" i="39"/>
  <c r="D75" i="12"/>
  <c r="D75" i="39"/>
  <c r="D59" i="12"/>
  <c r="D59" i="39"/>
  <c r="D43" i="12"/>
  <c r="D43" i="39"/>
  <c r="D20" i="12"/>
  <c r="D20" i="39"/>
  <c r="D311" i="12"/>
  <c r="D311" i="39"/>
  <c r="D295" i="12"/>
  <c r="D295" i="39"/>
  <c r="D279" i="39"/>
  <c r="D279" i="12"/>
  <c r="D263" i="39"/>
  <c r="D263" i="12"/>
  <c r="D247" i="39"/>
  <c r="D247" i="12"/>
  <c r="D231" i="39"/>
  <c r="D231" i="12"/>
  <c r="D215" i="39"/>
  <c r="D215" i="12"/>
  <c r="D199" i="39"/>
  <c r="D199" i="12"/>
  <c r="D183" i="39"/>
  <c r="D183" i="12"/>
  <c r="D167" i="12"/>
  <c r="D167" i="39"/>
  <c r="D151" i="39"/>
  <c r="D151" i="12"/>
  <c r="D135" i="39"/>
  <c r="D135" i="12"/>
  <c r="D119" i="39"/>
  <c r="D119" i="12"/>
  <c r="D103" i="39"/>
  <c r="D103" i="12"/>
  <c r="D87" i="12"/>
  <c r="D87" i="39"/>
  <c r="D71" i="12"/>
  <c r="D71" i="39"/>
  <c r="D55" i="12"/>
  <c r="D55" i="39"/>
  <c r="D39" i="12"/>
  <c r="D39" i="39"/>
  <c r="D25" i="39"/>
  <c r="D25" i="12"/>
  <c r="D14" i="39"/>
  <c r="D14" i="12"/>
  <c r="D307" i="12"/>
  <c r="D307" i="39"/>
  <c r="D293" i="12"/>
  <c r="D293" i="39"/>
  <c r="D282" i="12"/>
  <c r="D282" i="39"/>
  <c r="D268" i="39"/>
  <c r="D268" i="12"/>
  <c r="D254" i="39"/>
  <c r="D254" i="12"/>
  <c r="D243" i="12"/>
  <c r="D243" i="39"/>
  <c r="D229" i="12"/>
  <c r="D229" i="39"/>
  <c r="D218" i="12"/>
  <c r="D218" i="39"/>
  <c r="D204" i="39"/>
  <c r="D204" i="12"/>
  <c r="D190" i="39"/>
  <c r="D190" i="12"/>
  <c r="D179" i="12"/>
  <c r="D179" i="39"/>
  <c r="D165" i="12"/>
  <c r="D165" i="39"/>
  <c r="D154" i="39"/>
  <c r="D154" i="12"/>
  <c r="D140" i="12"/>
  <c r="D140" i="39"/>
  <c r="D126" i="12"/>
  <c r="D126" i="39"/>
  <c r="D115" i="39"/>
  <c r="D115" i="12"/>
  <c r="D101" i="12"/>
  <c r="D101" i="39"/>
  <c r="D90" i="12"/>
  <c r="D90" i="39"/>
  <c r="D76" i="12"/>
  <c r="D76" i="39"/>
  <c r="D62" i="39"/>
  <c r="D62" i="12"/>
  <c r="D51" i="12"/>
  <c r="D51" i="39"/>
  <c r="D37" i="39"/>
  <c r="D37" i="12"/>
  <c r="D19" i="12"/>
  <c r="D19" i="39"/>
  <c r="D305" i="12"/>
  <c r="D305" i="39"/>
  <c r="D280" i="39"/>
  <c r="D280" i="12"/>
  <c r="D262" i="39"/>
  <c r="D262" i="12"/>
  <c r="D241" i="39"/>
  <c r="D241" i="12"/>
  <c r="D216" i="39"/>
  <c r="D216" i="12"/>
  <c r="D198" i="12"/>
  <c r="D198" i="39"/>
  <c r="D177" i="12"/>
  <c r="D177" i="39"/>
  <c r="D152" i="12"/>
  <c r="D152" i="39"/>
  <c r="D134" i="39"/>
  <c r="D134" i="12"/>
  <c r="D113" i="12"/>
  <c r="D113" i="39"/>
  <c r="D88" i="12"/>
  <c r="D88" i="39"/>
  <c r="D70" i="39"/>
  <c r="D70" i="12"/>
  <c r="D49" i="12"/>
  <c r="D49" i="39"/>
  <c r="D31" i="12"/>
  <c r="D31" i="39"/>
  <c r="D17" i="12"/>
  <c r="D17" i="39"/>
  <c r="D6" i="39"/>
  <c r="D6" i="12"/>
  <c r="F22" i="48"/>
  <c r="F24" i="48" s="1"/>
  <c r="F89" i="25"/>
  <c r="D89" i="54" s="1"/>
  <c r="E89" i="54" s="1"/>
  <c r="F97" i="25"/>
  <c r="D97" i="54" s="1"/>
  <c r="E97" i="54" s="1"/>
  <c r="F51" i="25"/>
  <c r="D51" i="54" s="1"/>
  <c r="E51" i="54" s="1"/>
  <c r="F107" i="25"/>
  <c r="D107" i="54" s="1"/>
  <c r="E107" i="54" s="1"/>
  <c r="F77" i="25"/>
  <c r="D77" i="54" s="1"/>
  <c r="E77" i="54" s="1"/>
  <c r="F153" i="25"/>
  <c r="D153" i="54" s="1"/>
  <c r="E153" i="54" s="1"/>
  <c r="F141" i="25"/>
  <c r="D141" i="54" s="1"/>
  <c r="E141" i="54" s="1"/>
  <c r="F184" i="25"/>
  <c r="D184" i="54" s="1"/>
  <c r="E184" i="54" s="1"/>
  <c r="F134" i="25"/>
  <c r="D134" i="54" s="1"/>
  <c r="E134" i="54" s="1"/>
  <c r="F53" i="25"/>
  <c r="D53" i="54" s="1"/>
  <c r="E53" i="54" s="1"/>
  <c r="F218" i="25"/>
  <c r="D218" i="54" s="1"/>
  <c r="E218" i="54" s="1"/>
  <c r="F84" i="25"/>
  <c r="D84" i="54" s="1"/>
  <c r="E84" i="54" s="1"/>
  <c r="F105" i="25"/>
  <c r="D105" i="54" s="1"/>
  <c r="E105" i="54" s="1"/>
  <c r="F42" i="25"/>
  <c r="D42" i="54" s="1"/>
  <c r="E42" i="54" s="1"/>
  <c r="F64" i="25"/>
  <c r="D64" i="54" s="1"/>
  <c r="E64" i="54" s="1"/>
  <c r="F78" i="25"/>
  <c r="D78" i="54" s="1"/>
  <c r="E78" i="54" s="1"/>
  <c r="F176" i="25"/>
  <c r="D176" i="54" s="1"/>
  <c r="E176" i="54" s="1"/>
  <c r="F289" i="25"/>
  <c r="D289" i="54" s="1"/>
  <c r="E289" i="54" s="1"/>
  <c r="F23" i="25"/>
  <c r="D23" i="54" s="1"/>
  <c r="E23" i="54" s="1"/>
  <c r="F28" i="25"/>
  <c r="D28" i="54" s="1"/>
  <c r="E28" i="54" s="1"/>
  <c r="F69" i="25"/>
  <c r="D69" i="54" s="1"/>
  <c r="E69" i="54" s="1"/>
  <c r="F65" i="25"/>
  <c r="D65" i="54" s="1"/>
  <c r="E65" i="54" s="1"/>
  <c r="F47" i="25"/>
  <c r="D47" i="54" s="1"/>
  <c r="E47" i="54" s="1"/>
  <c r="F40" i="25"/>
  <c r="D40" i="54" s="1"/>
  <c r="E40" i="54" s="1"/>
  <c r="F68" i="25"/>
  <c r="D68" i="54" s="1"/>
  <c r="E68" i="54" s="1"/>
  <c r="F273" i="25"/>
  <c r="D273" i="54" s="1"/>
  <c r="E273" i="54" s="1"/>
  <c r="F294" i="25"/>
  <c r="D294" i="54" s="1"/>
  <c r="E294" i="54" s="1"/>
  <c r="F211" i="25"/>
  <c r="D211" i="54" s="1"/>
  <c r="E211" i="54" s="1"/>
  <c r="F130" i="25"/>
  <c r="D130" i="54" s="1"/>
  <c r="E130" i="54" s="1"/>
  <c r="F232" i="25"/>
  <c r="D232" i="54" s="1"/>
  <c r="E232" i="54" s="1"/>
  <c r="F288" i="25"/>
  <c r="D288" i="54" s="1"/>
  <c r="E288" i="54" s="1"/>
  <c r="F205" i="25"/>
  <c r="D205" i="54" s="1"/>
  <c r="E205" i="54" s="1"/>
  <c r="F88" i="25"/>
  <c r="D88" i="54" s="1"/>
  <c r="E88" i="54" s="1"/>
  <c r="F174" i="25"/>
  <c r="D174" i="54" s="1"/>
  <c r="E174" i="54" s="1"/>
  <c r="F305" i="25"/>
  <c r="D305" i="54" s="1"/>
  <c r="E305" i="54" s="1"/>
  <c r="F36" i="25"/>
  <c r="D36" i="54" s="1"/>
  <c r="E36" i="54" s="1"/>
  <c r="F193" i="25"/>
  <c r="D193" i="54" s="1"/>
  <c r="E193" i="54" s="1"/>
  <c r="F119" i="25"/>
  <c r="D119" i="54" s="1"/>
  <c r="E119" i="54" s="1"/>
  <c r="F268" i="25"/>
  <c r="D268" i="54" s="1"/>
  <c r="E268" i="54" s="1"/>
  <c r="F86" i="25"/>
  <c r="D86" i="54" s="1"/>
  <c r="E86" i="54" s="1"/>
  <c r="F292" i="25"/>
  <c r="D292" i="54" s="1"/>
  <c r="E292" i="54" s="1"/>
  <c r="F44" i="25"/>
  <c r="D44" i="54" s="1"/>
  <c r="E44" i="54" s="1"/>
  <c r="F245" i="25"/>
  <c r="D245" i="54" s="1"/>
  <c r="E245" i="54" s="1"/>
  <c r="F111" i="25"/>
  <c r="D111" i="54" s="1"/>
  <c r="E111" i="54" s="1"/>
  <c r="F95" i="25"/>
  <c r="D95" i="54" s="1"/>
  <c r="E95" i="54" s="1"/>
  <c r="F247" i="25"/>
  <c r="D247" i="54" s="1"/>
  <c r="E247" i="54" s="1"/>
  <c r="F173" i="25"/>
  <c r="D173" i="54" s="1"/>
  <c r="E173" i="54" s="1"/>
  <c r="F85" i="25"/>
  <c r="D85" i="54" s="1"/>
  <c r="E85" i="54" s="1"/>
  <c r="F249" i="25"/>
  <c r="D249" i="54" s="1"/>
  <c r="E249" i="54" s="1"/>
  <c r="F197" i="25"/>
  <c r="D197" i="54" s="1"/>
  <c r="E197" i="54" s="1"/>
  <c r="F60" i="25"/>
  <c r="D60" i="54" s="1"/>
  <c r="E60" i="54" s="1"/>
  <c r="F171" i="25"/>
  <c r="D171" i="54" s="1"/>
  <c r="E171" i="54" s="1"/>
  <c r="F138" i="25"/>
  <c r="D138" i="54" s="1"/>
  <c r="E138" i="54" s="1"/>
  <c r="F150" i="25"/>
  <c r="D150" i="54" s="1"/>
  <c r="E150" i="54" s="1"/>
  <c r="F169" i="25"/>
  <c r="D169" i="54" s="1"/>
  <c r="E169" i="54" s="1"/>
  <c r="F34" i="25"/>
  <c r="D34" i="54" s="1"/>
  <c r="E34" i="54" s="1"/>
  <c r="F143" i="25"/>
  <c r="D143" i="54" s="1"/>
  <c r="E143" i="54" s="1"/>
  <c r="F11" i="25"/>
  <c r="D11" i="54" s="1"/>
  <c r="E11" i="54" s="1"/>
  <c r="F307" i="25"/>
  <c r="D307" i="54" s="1"/>
  <c r="E307" i="54" s="1"/>
  <c r="F124" i="25"/>
  <c r="D124" i="54" s="1"/>
  <c r="E124" i="54" s="1"/>
  <c r="F203" i="25"/>
  <c r="D203" i="54" s="1"/>
  <c r="E203" i="54" s="1"/>
  <c r="F110" i="25"/>
  <c r="D110" i="54" s="1"/>
  <c r="E110" i="54" s="1"/>
  <c r="F296" i="25"/>
  <c r="D296" i="54" s="1"/>
  <c r="E296" i="54" s="1"/>
  <c r="F186" i="25"/>
  <c r="D186" i="54" s="1"/>
  <c r="E186" i="54" s="1"/>
  <c r="F260" i="25"/>
  <c r="D260" i="54" s="1"/>
  <c r="E260" i="54" s="1"/>
  <c r="F244" i="25"/>
  <c r="D244" i="54" s="1"/>
  <c r="E244" i="54" s="1"/>
  <c r="F91" i="25"/>
  <c r="D91" i="54" s="1"/>
  <c r="E91" i="54" s="1"/>
  <c r="F254" i="25"/>
  <c r="D254" i="54" s="1"/>
  <c r="E254" i="54" s="1"/>
  <c r="F13" i="25"/>
  <c r="D13" i="54" s="1"/>
  <c r="E13" i="54" s="1"/>
  <c r="F258" i="25"/>
  <c r="D258" i="54" s="1"/>
  <c r="E258" i="54" s="1"/>
  <c r="F248" i="25"/>
  <c r="D248" i="54" s="1"/>
  <c r="E248" i="54" s="1"/>
  <c r="F132" i="25"/>
  <c r="D132" i="54" s="1"/>
  <c r="E132" i="54" s="1"/>
  <c r="F156" i="25"/>
  <c r="D156" i="54" s="1"/>
  <c r="E156" i="54" s="1"/>
  <c r="F175" i="25"/>
  <c r="D175" i="54" s="1"/>
  <c r="E175" i="54" s="1"/>
  <c r="F61" i="25"/>
  <c r="D61" i="54" s="1"/>
  <c r="E61" i="54" s="1"/>
  <c r="F115" i="25"/>
  <c r="D115" i="54" s="1"/>
  <c r="E115" i="54" s="1"/>
  <c r="F202" i="25"/>
  <c r="D202" i="54" s="1"/>
  <c r="E202" i="54" s="1"/>
  <c r="F207" i="25"/>
  <c r="D207" i="54" s="1"/>
  <c r="E207" i="54" s="1"/>
  <c r="F123" i="25"/>
  <c r="D123" i="54" s="1"/>
  <c r="E123" i="54" s="1"/>
  <c r="F208" i="25"/>
  <c r="D208" i="54" s="1"/>
  <c r="E208" i="54" s="1"/>
  <c r="F199" i="25"/>
  <c r="D199" i="54" s="1"/>
  <c r="E199" i="54" s="1"/>
  <c r="F63" i="25"/>
  <c r="D63" i="54" s="1"/>
  <c r="E63" i="54" s="1"/>
  <c r="F32" i="25"/>
  <c r="D32" i="54" s="1"/>
  <c r="E32" i="54" s="1"/>
  <c r="F131" i="25"/>
  <c r="D131" i="54" s="1"/>
  <c r="E131" i="54" s="1"/>
  <c r="F217" i="25"/>
  <c r="D217" i="54" s="1"/>
  <c r="E217" i="54" s="1"/>
  <c r="F235" i="25"/>
  <c r="D235" i="54" s="1"/>
  <c r="E235" i="54" s="1"/>
  <c r="F236" i="25"/>
  <c r="D236" i="54" s="1"/>
  <c r="E236" i="54" s="1"/>
  <c r="F275" i="25"/>
  <c r="D275" i="54" s="1"/>
  <c r="E275" i="54" s="1"/>
  <c r="F259" i="25"/>
  <c r="D259" i="54" s="1"/>
  <c r="E259" i="54" s="1"/>
  <c r="F178" i="25"/>
  <c r="D178" i="54" s="1"/>
  <c r="E178" i="54" s="1"/>
  <c r="F57" i="25"/>
  <c r="D57" i="54" s="1"/>
  <c r="E57" i="54" s="1"/>
  <c r="F231" i="25"/>
  <c r="D231" i="54" s="1"/>
  <c r="E231" i="54" s="1"/>
  <c r="F58" i="25"/>
  <c r="D58" i="54" s="1"/>
  <c r="E58" i="54" s="1"/>
  <c r="F99" i="25"/>
  <c r="D99" i="54" s="1"/>
  <c r="E99" i="54" s="1"/>
  <c r="F280" i="25"/>
  <c r="D280" i="54" s="1"/>
  <c r="E280" i="54" s="1"/>
  <c r="F243" i="25"/>
  <c r="D243" i="54" s="1"/>
  <c r="E243" i="54" s="1"/>
  <c r="F155" i="25"/>
  <c r="D155" i="54" s="1"/>
  <c r="E155" i="54" s="1"/>
  <c r="F96" i="25"/>
  <c r="D96" i="54" s="1"/>
  <c r="E96" i="54" s="1"/>
  <c r="F74" i="25"/>
  <c r="D74" i="54" s="1"/>
  <c r="E74" i="54" s="1"/>
  <c r="F157" i="25"/>
  <c r="D157" i="54" s="1"/>
  <c r="E157" i="54" s="1"/>
  <c r="F277" i="25"/>
  <c r="D277" i="54" s="1"/>
  <c r="E277" i="54" s="1"/>
  <c r="F41" i="25"/>
  <c r="D41" i="54" s="1"/>
  <c r="E41" i="54" s="1"/>
  <c r="F299" i="25"/>
  <c r="D299" i="54" s="1"/>
  <c r="E299" i="54" s="1"/>
  <c r="F192" i="25"/>
  <c r="D192" i="54" s="1"/>
  <c r="E192" i="54" s="1"/>
  <c r="F145" i="25"/>
  <c r="D145" i="54" s="1"/>
  <c r="E145" i="54" s="1"/>
  <c r="F16" i="25"/>
  <c r="D16" i="54" s="1"/>
  <c r="E16" i="54" s="1"/>
  <c r="F139" i="25"/>
  <c r="D139" i="54" s="1"/>
  <c r="E139" i="54" s="1"/>
  <c r="F290" i="25"/>
  <c r="D290" i="54" s="1"/>
  <c r="E290" i="54" s="1"/>
  <c r="F201" i="25"/>
  <c r="D201" i="54" s="1"/>
  <c r="E201" i="54" s="1"/>
  <c r="F59" i="25"/>
  <c r="D59" i="54" s="1"/>
  <c r="E59" i="54" s="1"/>
  <c r="F67" i="25"/>
  <c r="D67" i="54" s="1"/>
  <c r="E67" i="54" s="1"/>
  <c r="F168" i="25"/>
  <c r="D168" i="54" s="1"/>
  <c r="E168" i="54" s="1"/>
  <c r="F62" i="25"/>
  <c r="D62" i="54" s="1"/>
  <c r="E62" i="54" s="1"/>
  <c r="F272" i="25"/>
  <c r="D272" i="54" s="1"/>
  <c r="E272" i="54" s="1"/>
  <c r="F303" i="25"/>
  <c r="D303" i="54" s="1"/>
  <c r="E303" i="54" s="1"/>
  <c r="F81" i="25"/>
  <c r="D81" i="54" s="1"/>
  <c r="E81" i="54" s="1"/>
  <c r="F43" i="25"/>
  <c r="D43" i="54" s="1"/>
  <c r="E43" i="54" s="1"/>
  <c r="F70" i="25"/>
  <c r="D70" i="54" s="1"/>
  <c r="E70" i="54" s="1"/>
  <c r="F274" i="25"/>
  <c r="D274" i="54" s="1"/>
  <c r="E274" i="54" s="1"/>
  <c r="F103" i="25"/>
  <c r="D103" i="54" s="1"/>
  <c r="E103" i="54" s="1"/>
  <c r="F286" i="25"/>
  <c r="D286" i="54" s="1"/>
  <c r="E286" i="54" s="1"/>
  <c r="F287" i="25"/>
  <c r="D287" i="54" s="1"/>
  <c r="E287" i="54" s="1"/>
  <c r="F50" i="25"/>
  <c r="D50" i="54" s="1"/>
  <c r="E50" i="54" s="1"/>
  <c r="F7" i="25"/>
  <c r="D7" i="54" s="1"/>
  <c r="E7" i="54" s="1"/>
  <c r="F128" i="25"/>
  <c r="D128" i="54" s="1"/>
  <c r="E128" i="54" s="1"/>
  <c r="F179" i="25"/>
  <c r="D179" i="54" s="1"/>
  <c r="E179" i="54" s="1"/>
  <c r="F189" i="25"/>
  <c r="D189" i="54" s="1"/>
  <c r="E189" i="54" s="1"/>
  <c r="F9" i="25"/>
  <c r="D9" i="54" s="1"/>
  <c r="E9" i="54" s="1"/>
  <c r="F221" i="25"/>
  <c r="D221" i="54" s="1"/>
  <c r="E221" i="54" s="1"/>
  <c r="F101" i="25"/>
  <c r="D101" i="54" s="1"/>
  <c r="E101" i="54" s="1"/>
  <c r="F246" i="25"/>
  <c r="D246" i="54" s="1"/>
  <c r="E246" i="54" s="1"/>
  <c r="F25" i="25"/>
  <c r="D25" i="54" s="1"/>
  <c r="E25" i="54" s="1"/>
  <c r="F144" i="25"/>
  <c r="D144" i="54" s="1"/>
  <c r="E144" i="54" s="1"/>
  <c r="F10" i="25"/>
  <c r="D10" i="54" s="1"/>
  <c r="E10" i="54" s="1"/>
  <c r="F135" i="25"/>
  <c r="D135" i="54" s="1"/>
  <c r="E135" i="54" s="1"/>
  <c r="F190" i="25"/>
  <c r="D190" i="54" s="1"/>
  <c r="E190" i="54" s="1"/>
  <c r="F18" i="25"/>
  <c r="D18" i="54" s="1"/>
  <c r="E18" i="54" s="1"/>
  <c r="F216" i="25"/>
  <c r="D216" i="54" s="1"/>
  <c r="E216" i="54" s="1"/>
  <c r="F228" i="25"/>
  <c r="D228" i="54" s="1"/>
  <c r="E228" i="54" s="1"/>
  <c r="F12" i="25"/>
  <c r="D12" i="54" s="1"/>
  <c r="E12" i="54" s="1"/>
  <c r="F118" i="25"/>
  <c r="D118" i="54" s="1"/>
  <c r="E118" i="54" s="1"/>
  <c r="F102" i="25"/>
  <c r="D102" i="54" s="1"/>
  <c r="E102" i="54" s="1"/>
  <c r="F183" i="25"/>
  <c r="D183" i="54" s="1"/>
  <c r="E183" i="54" s="1"/>
  <c r="F257" i="25"/>
  <c r="D257" i="54" s="1"/>
  <c r="E257" i="54" s="1"/>
  <c r="F151" i="25"/>
  <c r="D151" i="54" s="1"/>
  <c r="E151" i="54" s="1"/>
  <c r="F72" i="25"/>
  <c r="D72" i="54" s="1"/>
  <c r="E72" i="54" s="1"/>
  <c r="F46" i="25"/>
  <c r="D46" i="54" s="1"/>
  <c r="E46" i="54" s="1"/>
  <c r="F100" i="25"/>
  <c r="D100" i="54" s="1"/>
  <c r="E100" i="54" s="1"/>
  <c r="F271" i="25"/>
  <c r="D271" i="54" s="1"/>
  <c r="E271" i="54" s="1"/>
  <c r="F104" i="25"/>
  <c r="D104" i="54" s="1"/>
  <c r="E104" i="54" s="1"/>
  <c r="F21" i="25"/>
  <c r="D21" i="54" s="1"/>
  <c r="E21" i="54" s="1"/>
  <c r="F48" i="25"/>
  <c r="D48" i="54" s="1"/>
  <c r="E48" i="54" s="1"/>
  <c r="F229" i="25"/>
  <c r="D229" i="54" s="1"/>
  <c r="E229" i="54" s="1"/>
  <c r="F284" i="25"/>
  <c r="D284" i="54" s="1"/>
  <c r="E284" i="54" s="1"/>
  <c r="F149" i="25"/>
  <c r="D149" i="54" s="1"/>
  <c r="E149" i="54" s="1"/>
  <c r="F106" i="25"/>
  <c r="D106" i="54" s="1"/>
  <c r="E106" i="54" s="1"/>
  <c r="F148" i="25"/>
  <c r="D148" i="54" s="1"/>
  <c r="E148" i="54" s="1"/>
  <c r="F219" i="25"/>
  <c r="D219" i="54" s="1"/>
  <c r="E219" i="54" s="1"/>
  <c r="F266" i="25"/>
  <c r="D266" i="54" s="1"/>
  <c r="E266" i="54" s="1"/>
  <c r="F20" i="25"/>
  <c r="D20" i="54" s="1"/>
  <c r="E20" i="54" s="1"/>
  <c r="F133" i="25"/>
  <c r="D133" i="54" s="1"/>
  <c r="E133" i="54" s="1"/>
  <c r="F212" i="25"/>
  <c r="D212" i="54" s="1"/>
  <c r="E212" i="54" s="1"/>
  <c r="F117" i="25"/>
  <c r="D117" i="54" s="1"/>
  <c r="E117" i="54" s="1"/>
  <c r="F191" i="25"/>
  <c r="D191" i="54" s="1"/>
  <c r="E191" i="54" s="1"/>
  <c r="F108" i="25"/>
  <c r="D108" i="54" s="1"/>
  <c r="E108" i="54" s="1"/>
  <c r="F114" i="25"/>
  <c r="D114" i="54" s="1"/>
  <c r="E114" i="54" s="1"/>
  <c r="F94" i="25"/>
  <c r="D94" i="54" s="1"/>
  <c r="E94" i="54" s="1"/>
  <c r="F206" i="25"/>
  <c r="D206" i="54" s="1"/>
  <c r="E206" i="54" s="1"/>
  <c r="F87" i="25"/>
  <c r="D87" i="54" s="1"/>
  <c r="E87" i="54" s="1"/>
  <c r="F233" i="25"/>
  <c r="D233" i="54" s="1"/>
  <c r="E233" i="54" s="1"/>
  <c r="F177" i="25"/>
  <c r="D177" i="54" s="1"/>
  <c r="E177" i="54" s="1"/>
  <c r="G11" i="9"/>
  <c r="F320" i="9"/>
  <c r="F170" i="25"/>
  <c r="D170" i="54" s="1"/>
  <c r="E170" i="54" s="1"/>
  <c r="F313" i="25"/>
  <c r="D313" i="54" s="1"/>
  <c r="E313" i="54" s="1"/>
  <c r="F234" i="25"/>
  <c r="D234" i="54" s="1"/>
  <c r="E234" i="54" s="1"/>
  <c r="F15" i="25"/>
  <c r="D15" i="54" s="1"/>
  <c r="E15" i="54" s="1"/>
  <c r="F129" i="25"/>
  <c r="D129" i="54" s="1"/>
  <c r="E129" i="54" s="1"/>
  <c r="F160" i="25"/>
  <c r="D160" i="54" s="1"/>
  <c r="E160" i="54" s="1"/>
  <c r="F223" i="25"/>
  <c r="D223" i="54" s="1"/>
  <c r="E223" i="54" s="1"/>
  <c r="F281" i="25"/>
  <c r="D281" i="54" s="1"/>
  <c r="E281" i="54" s="1"/>
  <c r="F26" i="25"/>
  <c r="D26" i="54" s="1"/>
  <c r="E26" i="54" s="1"/>
  <c r="F309" i="25"/>
  <c r="D309" i="54" s="1"/>
  <c r="E309" i="54" s="1"/>
  <c r="F194" i="25"/>
  <c r="D194" i="54" s="1"/>
  <c r="E194" i="54" s="1"/>
  <c r="F52" i="25"/>
  <c r="D52" i="54" s="1"/>
  <c r="E52" i="54" s="1"/>
  <c r="F251" i="25"/>
  <c r="D251" i="54" s="1"/>
  <c r="E251" i="54" s="1"/>
  <c r="F314" i="12"/>
  <c r="F314" i="39"/>
  <c r="F187" i="25"/>
  <c r="D187" i="54" s="1"/>
  <c r="E187" i="54" s="1"/>
  <c r="F120" i="25"/>
  <c r="D120" i="54" s="1"/>
  <c r="E120" i="54" s="1"/>
  <c r="F80" i="25"/>
  <c r="D80" i="54" s="1"/>
  <c r="E80" i="54" s="1"/>
  <c r="F38" i="25"/>
  <c r="D38" i="54" s="1"/>
  <c r="E38" i="54" s="1"/>
  <c r="F311" i="25"/>
  <c r="D311" i="54" s="1"/>
  <c r="E311" i="54" s="1"/>
  <c r="F301" i="25"/>
  <c r="D301" i="54" s="1"/>
  <c r="E301" i="54" s="1"/>
  <c r="F49" i="25"/>
  <c r="D49" i="54" s="1"/>
  <c r="E49" i="54" s="1"/>
  <c r="F29" i="25"/>
  <c r="D29" i="54" s="1"/>
  <c r="E29" i="54" s="1"/>
  <c r="F172" i="25"/>
  <c r="D172" i="54" s="1"/>
  <c r="E172" i="54" s="1"/>
  <c r="F306" i="25"/>
  <c r="D306" i="54" s="1"/>
  <c r="E306" i="54" s="1"/>
  <c r="F127" i="25"/>
  <c r="D127" i="54" s="1"/>
  <c r="E127" i="54" s="1"/>
  <c r="F121" i="25"/>
  <c r="D121" i="54" s="1"/>
  <c r="E121" i="54" s="1"/>
  <c r="F92" i="25"/>
  <c r="D92" i="54" s="1"/>
  <c r="E92" i="54" s="1"/>
  <c r="F215" i="25"/>
  <c r="D215" i="54" s="1"/>
  <c r="E215" i="54" s="1"/>
  <c r="F291" i="25"/>
  <c r="D291" i="54" s="1"/>
  <c r="E291" i="54" s="1"/>
  <c r="F35" i="25"/>
  <c r="D35" i="54" s="1"/>
  <c r="E35" i="54" s="1"/>
  <c r="F308" i="25"/>
  <c r="D308" i="54" s="1"/>
  <c r="E308" i="54" s="1"/>
  <c r="F167" i="25"/>
  <c r="D167" i="54" s="1"/>
  <c r="E167" i="54" s="1"/>
  <c r="F122" i="25"/>
  <c r="D122" i="54" s="1"/>
  <c r="E122" i="54" s="1"/>
  <c r="F22" i="25"/>
  <c r="D22" i="54" s="1"/>
  <c r="E22" i="54" s="1"/>
  <c r="F220" i="25"/>
  <c r="D220" i="54" s="1"/>
  <c r="E220" i="54" s="1"/>
  <c r="F295" i="25"/>
  <c r="D295" i="54" s="1"/>
  <c r="E295" i="54" s="1"/>
  <c r="F45" i="25"/>
  <c r="D45" i="54" s="1"/>
  <c r="E45" i="54" s="1"/>
  <c r="F116" i="25"/>
  <c r="D116" i="54" s="1"/>
  <c r="E116" i="54" s="1"/>
  <c r="F204" i="25"/>
  <c r="D204" i="54" s="1"/>
  <c r="E204" i="54" s="1"/>
  <c r="F82" i="25"/>
  <c r="D82" i="54" s="1"/>
  <c r="E82" i="54" s="1"/>
  <c r="F300" i="25"/>
  <c r="D300" i="54" s="1"/>
  <c r="E300" i="54" s="1"/>
  <c r="F209" i="25"/>
  <c r="D209" i="54" s="1"/>
  <c r="E209" i="54" s="1"/>
  <c r="F230" i="25"/>
  <c r="D230" i="54" s="1"/>
  <c r="E230" i="54" s="1"/>
  <c r="F8" i="25"/>
  <c r="D8" i="54" s="1"/>
  <c r="E8" i="54" s="1"/>
  <c r="F239" i="25"/>
  <c r="D239" i="54" s="1"/>
  <c r="E239" i="54" s="1"/>
  <c r="F276" i="25"/>
  <c r="D276" i="54" s="1"/>
  <c r="E276" i="54" s="1"/>
  <c r="F227" i="25"/>
  <c r="D227" i="54" s="1"/>
  <c r="E227" i="54" s="1"/>
  <c r="F267" i="25"/>
  <c r="D267" i="54" s="1"/>
  <c r="E267" i="54" s="1"/>
  <c r="F269" i="25"/>
  <c r="D269" i="54" s="1"/>
  <c r="E269" i="54" s="1"/>
  <c r="F314" i="25"/>
  <c r="D314" i="54" s="1"/>
  <c r="E314" i="54" s="1"/>
  <c r="F279" i="25"/>
  <c r="D279" i="54" s="1"/>
  <c r="E279" i="54" s="1"/>
  <c r="F98" i="25"/>
  <c r="D98" i="54" s="1"/>
  <c r="E98" i="54" s="1"/>
  <c r="F31" i="25"/>
  <c r="D31" i="54" s="1"/>
  <c r="E31" i="54" s="1"/>
  <c r="F185" i="25"/>
  <c r="D185" i="54" s="1"/>
  <c r="E185" i="54" s="1"/>
  <c r="F75" i="25"/>
  <c r="D75" i="54" s="1"/>
  <c r="E75" i="54" s="1"/>
  <c r="F158" i="25"/>
  <c r="D158" i="54" s="1"/>
  <c r="E158" i="54" s="1"/>
  <c r="F33" i="25"/>
  <c r="D33" i="54" s="1"/>
  <c r="E33" i="54" s="1"/>
  <c r="F282" i="25"/>
  <c r="D282" i="54" s="1"/>
  <c r="E282" i="54" s="1"/>
  <c r="F238" i="25"/>
  <c r="D238" i="54" s="1"/>
  <c r="E238" i="54" s="1"/>
  <c r="F19" i="25"/>
  <c r="D19" i="54" s="1"/>
  <c r="E19" i="54" s="1"/>
  <c r="F27" i="25"/>
  <c r="D27" i="54" s="1"/>
  <c r="E27" i="54" s="1"/>
  <c r="F293" i="25"/>
  <c r="D293" i="54" s="1"/>
  <c r="E293" i="54" s="1"/>
  <c r="F252" i="25"/>
  <c r="D252" i="54" s="1"/>
  <c r="E252" i="54" s="1"/>
  <c r="F14" i="25"/>
  <c r="D14" i="54" s="1"/>
  <c r="E14" i="54" s="1"/>
  <c r="F152" i="25"/>
  <c r="D152" i="54" s="1"/>
  <c r="E152" i="54" s="1"/>
  <c r="F241" i="25"/>
  <c r="D241" i="54" s="1"/>
  <c r="E241" i="54" s="1"/>
  <c r="F73" i="25"/>
  <c r="D73" i="54" s="1"/>
  <c r="E73" i="54" s="1"/>
  <c r="F297" i="25"/>
  <c r="D297" i="54" s="1"/>
  <c r="E297" i="54" s="1"/>
  <c r="F226" i="25"/>
  <c r="D226" i="54" s="1"/>
  <c r="E226" i="54" s="1"/>
  <c r="F255" i="25"/>
  <c r="D255" i="54" s="1"/>
  <c r="E255" i="54" s="1"/>
  <c r="F261" i="25"/>
  <c r="D261" i="54" s="1"/>
  <c r="E261" i="54" s="1"/>
  <c r="F140" i="25"/>
  <c r="D140" i="54" s="1"/>
  <c r="E140" i="54" s="1"/>
  <c r="F270" i="25"/>
  <c r="D270" i="54" s="1"/>
  <c r="E270" i="54" s="1"/>
  <c r="F56" i="25"/>
  <c r="D56" i="54" s="1"/>
  <c r="E56" i="54" s="1"/>
  <c r="F161" i="25"/>
  <c r="D161" i="54" s="1"/>
  <c r="E161" i="54" s="1"/>
  <c r="F312" i="25"/>
  <c r="D312" i="54" s="1"/>
  <c r="E312" i="54" s="1"/>
  <c r="F125" i="25"/>
  <c r="D125" i="54" s="1"/>
  <c r="E125" i="54" s="1"/>
  <c r="F163" i="25"/>
  <c r="D163" i="54" s="1"/>
  <c r="E163" i="54" s="1"/>
  <c r="F147" i="25"/>
  <c r="D147" i="54" s="1"/>
  <c r="E147" i="54" s="1"/>
  <c r="F242" i="25"/>
  <c r="D242" i="54" s="1"/>
  <c r="E242" i="54" s="1"/>
  <c r="F146" i="25"/>
  <c r="D146" i="54" s="1"/>
  <c r="E146" i="54" s="1"/>
  <c r="F164" i="25"/>
  <c r="D164" i="54" s="1"/>
  <c r="E164" i="54" s="1"/>
  <c r="F214" i="25"/>
  <c r="D214" i="54" s="1"/>
  <c r="E214" i="54" s="1"/>
  <c r="F37" i="25"/>
  <c r="D37" i="54" s="1"/>
  <c r="E37" i="54" s="1"/>
  <c r="F285" i="25"/>
  <c r="D285" i="54" s="1"/>
  <c r="E285" i="54" s="1"/>
  <c r="F298" i="25"/>
  <c r="D298" i="54" s="1"/>
  <c r="F210" i="25"/>
  <c r="D210" i="54" s="1"/>
  <c r="E210" i="54" s="1"/>
  <c r="F76" i="25"/>
  <c r="D76" i="54" s="1"/>
  <c r="E76" i="54" s="1"/>
  <c r="F113" i="25"/>
  <c r="D113" i="54" s="1"/>
  <c r="E113" i="54" s="1"/>
  <c r="F196" i="25"/>
  <c r="D196" i="54" s="1"/>
  <c r="E196" i="54" s="1"/>
  <c r="F265" i="25"/>
  <c r="D265" i="54" s="1"/>
  <c r="E265" i="54" s="1"/>
  <c r="F166" i="25"/>
  <c r="D166" i="54" s="1"/>
  <c r="E166" i="54" s="1"/>
  <c r="F66" i="25"/>
  <c r="D66" i="54" s="1"/>
  <c r="E66" i="54" s="1"/>
  <c r="F54" i="25"/>
  <c r="D54" i="54" s="1"/>
  <c r="E54" i="54" s="1"/>
  <c r="F225" i="25"/>
  <c r="D225" i="54" s="1"/>
  <c r="E225" i="54" s="1"/>
  <c r="F126" i="25"/>
  <c r="D126" i="54" s="1"/>
  <c r="E126" i="54" s="1"/>
  <c r="F142" i="25"/>
  <c r="D142" i="54" s="1"/>
  <c r="E142" i="54" s="1"/>
  <c r="F240" i="25"/>
  <c r="D240" i="54" s="1"/>
  <c r="E240" i="54" s="1"/>
  <c r="F250" i="25"/>
  <c r="D250" i="54" s="1"/>
  <c r="E250" i="54" s="1"/>
  <c r="F198" i="25"/>
  <c r="D198" i="54" s="1"/>
  <c r="E198" i="54" s="1"/>
  <c r="F165" i="25"/>
  <c r="D165" i="54" s="1"/>
  <c r="E165" i="54" s="1"/>
  <c r="F264" i="25"/>
  <c r="D264" i="54" s="1"/>
  <c r="E264" i="54" s="1"/>
  <c r="F159" i="25"/>
  <c r="D159" i="54" s="1"/>
  <c r="E159" i="54" s="1"/>
  <c r="F283" i="25"/>
  <c r="D283" i="54" s="1"/>
  <c r="E283" i="54" s="1"/>
  <c r="F263" i="25"/>
  <c r="D263" i="54" s="1"/>
  <c r="E263" i="54" s="1"/>
  <c r="F182" i="25"/>
  <c r="D182" i="54" s="1"/>
  <c r="E182" i="54" s="1"/>
  <c r="F17" i="25"/>
  <c r="D17" i="54" s="1"/>
  <c r="E17" i="54" s="1"/>
  <c r="F188" i="25"/>
  <c r="D188" i="54" s="1"/>
  <c r="E188" i="54" s="1"/>
  <c r="F24" i="25"/>
  <c r="D24" i="54" s="1"/>
  <c r="E24" i="54" s="1"/>
  <c r="F39" i="25"/>
  <c r="D39" i="54" s="1"/>
  <c r="E39" i="54" s="1"/>
  <c r="F195" i="25"/>
  <c r="D195" i="54" s="1"/>
  <c r="E195" i="54" s="1"/>
  <c r="F112" i="25"/>
  <c r="D112" i="54" s="1"/>
  <c r="E112" i="54" s="1"/>
  <c r="F304" i="25"/>
  <c r="D304" i="54" s="1"/>
  <c r="E304" i="54" s="1"/>
  <c r="F310" i="25"/>
  <c r="D310" i="54" s="1"/>
  <c r="E310" i="54" s="1"/>
  <c r="F83" i="25"/>
  <c r="D83" i="54" s="1"/>
  <c r="E83" i="54" s="1"/>
  <c r="F302" i="25"/>
  <c r="D302" i="54" s="1"/>
  <c r="E302" i="54" s="1"/>
  <c r="F180" i="25"/>
  <c r="D180" i="54" s="1"/>
  <c r="E180" i="54" s="1"/>
  <c r="F93" i="25"/>
  <c r="D93" i="54" s="1"/>
  <c r="E93" i="54" s="1"/>
  <c r="F79" i="25"/>
  <c r="D79" i="54" s="1"/>
  <c r="E79" i="54" s="1"/>
  <c r="F109" i="25"/>
  <c r="D109" i="54" s="1"/>
  <c r="E109" i="54" s="1"/>
  <c r="F237" i="25"/>
  <c r="D237" i="54" s="1"/>
  <c r="E237" i="54" s="1"/>
  <c r="F262" i="25"/>
  <c r="D262" i="54" s="1"/>
  <c r="E262" i="54" s="1"/>
  <c r="F278" i="25"/>
  <c r="D278" i="54" s="1"/>
  <c r="E278" i="54" s="1"/>
  <c r="F253" i="25"/>
  <c r="D253" i="54" s="1"/>
  <c r="E253" i="54" s="1"/>
  <c r="F90" i="25"/>
  <c r="D90" i="54" s="1"/>
  <c r="E90" i="54" s="1"/>
  <c r="F222" i="25"/>
  <c r="D222" i="54" s="1"/>
  <c r="E222" i="54" s="1"/>
  <c r="F30" i="25"/>
  <c r="D30" i="54" s="1"/>
  <c r="E30" i="54" s="1"/>
  <c r="F181" i="25"/>
  <c r="D181" i="54" s="1"/>
  <c r="E181" i="54" s="1"/>
  <c r="F55" i="25"/>
  <c r="D55" i="54" s="1"/>
  <c r="E55" i="54" s="1"/>
  <c r="F200" i="25"/>
  <c r="D200" i="54" s="1"/>
  <c r="E200" i="54" s="1"/>
  <c r="F137" i="25"/>
  <c r="D137" i="54" s="1"/>
  <c r="E137" i="54" s="1"/>
  <c r="F154" i="25"/>
  <c r="D154" i="54" s="1"/>
  <c r="E154" i="54" s="1"/>
  <c r="F213" i="25"/>
  <c r="D213" i="54" s="1"/>
  <c r="E213" i="54" s="1"/>
  <c r="F136" i="25"/>
  <c r="D136" i="54" s="1"/>
  <c r="E136" i="54" s="1"/>
  <c r="F224" i="25"/>
  <c r="D224" i="54" s="1"/>
  <c r="E224" i="54" s="1"/>
  <c r="F256" i="25"/>
  <c r="D256" i="54" s="1"/>
  <c r="E256" i="54" s="1"/>
  <c r="F162" i="25"/>
  <c r="D162" i="54" s="1"/>
  <c r="E162" i="54" s="1"/>
  <c r="F71" i="25"/>
  <c r="D71" i="54" s="1"/>
  <c r="E71" i="54" s="1"/>
  <c r="C9" i="34"/>
  <c r="D9" i="34"/>
  <c r="E15" i="34" s="1"/>
  <c r="D60" i="48" l="1"/>
  <c r="D61" i="48" s="1"/>
  <c r="E298" i="54"/>
  <c r="E17" i="34"/>
  <c r="I17" i="34" s="1"/>
  <c r="E21" i="34"/>
  <c r="I21" i="34" s="1"/>
  <c r="E25" i="34"/>
  <c r="I25" i="34" s="1"/>
  <c r="E29" i="34"/>
  <c r="I29" i="34" s="1"/>
  <c r="E33" i="34"/>
  <c r="I33" i="34" s="1"/>
  <c r="E37" i="34"/>
  <c r="I37" i="34" s="1"/>
  <c r="E41" i="34"/>
  <c r="I41" i="34" s="1"/>
  <c r="E45" i="34"/>
  <c r="I45" i="34" s="1"/>
  <c r="E49" i="34"/>
  <c r="I49" i="34" s="1"/>
  <c r="E53" i="34"/>
  <c r="I53" i="34" s="1"/>
  <c r="E57" i="34"/>
  <c r="I57" i="34" s="1"/>
  <c r="E61" i="34"/>
  <c r="I61" i="34" s="1"/>
  <c r="E65" i="34"/>
  <c r="I65" i="34" s="1"/>
  <c r="E69" i="34"/>
  <c r="I69" i="34" s="1"/>
  <c r="E73" i="34"/>
  <c r="I73" i="34" s="1"/>
  <c r="E77" i="34"/>
  <c r="I77" i="34" s="1"/>
  <c r="E81" i="34"/>
  <c r="I81" i="34" s="1"/>
  <c r="E85" i="34"/>
  <c r="I85" i="34" s="1"/>
  <c r="E89" i="34"/>
  <c r="I89" i="34" s="1"/>
  <c r="E93" i="34"/>
  <c r="I93" i="34" s="1"/>
  <c r="E97" i="34"/>
  <c r="I97" i="34" s="1"/>
  <c r="E101" i="34"/>
  <c r="I101" i="34" s="1"/>
  <c r="E105" i="34"/>
  <c r="I105" i="34" s="1"/>
  <c r="E20" i="34"/>
  <c r="I20" i="34" s="1"/>
  <c r="E24" i="34"/>
  <c r="I24" i="34" s="1"/>
  <c r="E28" i="34"/>
  <c r="I28" i="34" s="1"/>
  <c r="E32" i="34"/>
  <c r="I32" i="34" s="1"/>
  <c r="E36" i="34"/>
  <c r="I36" i="34" s="1"/>
  <c r="E40" i="34"/>
  <c r="I40" i="34" s="1"/>
  <c r="E48" i="34"/>
  <c r="I48" i="34" s="1"/>
  <c r="E64" i="34"/>
  <c r="I64" i="34" s="1"/>
  <c r="E80" i="34"/>
  <c r="I80" i="34" s="1"/>
  <c r="E96" i="34"/>
  <c r="I96" i="34" s="1"/>
  <c r="E132" i="34"/>
  <c r="I132" i="34" s="1"/>
  <c r="E136" i="34"/>
  <c r="I136" i="34" s="1"/>
  <c r="E140" i="34"/>
  <c r="I140" i="34" s="1"/>
  <c r="E144" i="34"/>
  <c r="I144" i="34" s="1"/>
  <c r="E148" i="34"/>
  <c r="I148" i="34" s="1"/>
  <c r="E152" i="34"/>
  <c r="I152" i="34" s="1"/>
  <c r="E156" i="34"/>
  <c r="I156" i="34" s="1"/>
  <c r="E160" i="34"/>
  <c r="I160" i="34" s="1"/>
  <c r="E164" i="34"/>
  <c r="I164" i="34" s="1"/>
  <c r="E168" i="34"/>
  <c r="I168" i="34" s="1"/>
  <c r="E172" i="34"/>
  <c r="I172" i="34" s="1"/>
  <c r="E176" i="34"/>
  <c r="I176" i="34" s="1"/>
  <c r="E180" i="34"/>
  <c r="I180" i="34" s="1"/>
  <c r="E44" i="34"/>
  <c r="I44" i="34" s="1"/>
  <c r="E60" i="34"/>
  <c r="I60" i="34" s="1"/>
  <c r="E76" i="34"/>
  <c r="I76" i="34" s="1"/>
  <c r="E92" i="34"/>
  <c r="I92" i="34" s="1"/>
  <c r="E108" i="34"/>
  <c r="I108" i="34" s="1"/>
  <c r="E109" i="34"/>
  <c r="I109" i="34" s="1"/>
  <c r="E116" i="34"/>
  <c r="I116" i="34" s="1"/>
  <c r="E117" i="34"/>
  <c r="I117" i="34" s="1"/>
  <c r="E124" i="34"/>
  <c r="I124" i="34" s="1"/>
  <c r="E125" i="34"/>
  <c r="I125" i="34" s="1"/>
  <c r="E133" i="34"/>
  <c r="I133" i="34" s="1"/>
  <c r="E137" i="34"/>
  <c r="I137" i="34" s="1"/>
  <c r="E141" i="34"/>
  <c r="I141" i="34" s="1"/>
  <c r="E145" i="34"/>
  <c r="I145" i="34" s="1"/>
  <c r="E149" i="34"/>
  <c r="I149" i="34" s="1"/>
  <c r="E153" i="34"/>
  <c r="I153" i="34" s="1"/>
  <c r="E157" i="34"/>
  <c r="I157" i="34" s="1"/>
  <c r="E161" i="34"/>
  <c r="I161" i="34" s="1"/>
  <c r="E165" i="34"/>
  <c r="I165" i="34" s="1"/>
  <c r="E169" i="34"/>
  <c r="I169" i="34" s="1"/>
  <c r="E173" i="34"/>
  <c r="I173" i="34" s="1"/>
  <c r="E177" i="34"/>
  <c r="I177" i="34" s="1"/>
  <c r="E181" i="34"/>
  <c r="I181" i="34" s="1"/>
  <c r="E56" i="34"/>
  <c r="I56" i="34" s="1"/>
  <c r="E72" i="34"/>
  <c r="I72" i="34" s="1"/>
  <c r="E88" i="34"/>
  <c r="I88" i="34" s="1"/>
  <c r="E104" i="34"/>
  <c r="I104" i="34" s="1"/>
  <c r="E52" i="34"/>
  <c r="I52" i="34" s="1"/>
  <c r="E68" i="34"/>
  <c r="I68" i="34" s="1"/>
  <c r="E84" i="34"/>
  <c r="I84" i="34" s="1"/>
  <c r="E100" i="34"/>
  <c r="I100" i="34" s="1"/>
  <c r="E112" i="34"/>
  <c r="I112" i="34" s="1"/>
  <c r="E113" i="34"/>
  <c r="I113" i="34" s="1"/>
  <c r="E120" i="34"/>
  <c r="I120" i="34" s="1"/>
  <c r="E121" i="34"/>
  <c r="I121" i="34" s="1"/>
  <c r="E128" i="34"/>
  <c r="I128" i="34" s="1"/>
  <c r="E129" i="34"/>
  <c r="I129" i="34" s="1"/>
  <c r="E200" i="34"/>
  <c r="I200" i="34" s="1"/>
  <c r="E204" i="34"/>
  <c r="I204" i="34" s="1"/>
  <c r="E208" i="34"/>
  <c r="I208" i="34" s="1"/>
  <c r="E212" i="34"/>
  <c r="I212" i="34" s="1"/>
  <c r="E216" i="34"/>
  <c r="I216" i="34" s="1"/>
  <c r="E220" i="34"/>
  <c r="I220" i="34" s="1"/>
  <c r="E224" i="34"/>
  <c r="I224" i="34" s="1"/>
  <c r="E228" i="34"/>
  <c r="I228" i="34" s="1"/>
  <c r="E188" i="34"/>
  <c r="I188" i="34" s="1"/>
  <c r="E189" i="34"/>
  <c r="I189" i="34" s="1"/>
  <c r="E196" i="34"/>
  <c r="I196" i="34" s="1"/>
  <c r="E197" i="34"/>
  <c r="I197" i="34" s="1"/>
  <c r="E201" i="34"/>
  <c r="I201" i="34" s="1"/>
  <c r="E205" i="34"/>
  <c r="I205" i="34" s="1"/>
  <c r="E209" i="34"/>
  <c r="I209" i="34" s="1"/>
  <c r="E213" i="34"/>
  <c r="I213" i="34" s="1"/>
  <c r="E217" i="34"/>
  <c r="I217" i="34" s="1"/>
  <c r="E221" i="34"/>
  <c r="I221" i="34" s="1"/>
  <c r="E225" i="34"/>
  <c r="I225" i="34" s="1"/>
  <c r="E229" i="34"/>
  <c r="I229" i="34" s="1"/>
  <c r="E233" i="34"/>
  <c r="I233" i="34" s="1"/>
  <c r="E237" i="34"/>
  <c r="I237" i="34" s="1"/>
  <c r="E241" i="34"/>
  <c r="I241" i="34" s="1"/>
  <c r="E245" i="34"/>
  <c r="I245" i="34" s="1"/>
  <c r="E249" i="34"/>
  <c r="I249" i="34" s="1"/>
  <c r="E253" i="34"/>
  <c r="I253" i="34" s="1"/>
  <c r="E257" i="34"/>
  <c r="I257" i="34" s="1"/>
  <c r="E261" i="34"/>
  <c r="I261" i="34" s="1"/>
  <c r="E265" i="34"/>
  <c r="I265" i="34" s="1"/>
  <c r="E269" i="34"/>
  <c r="I269" i="34" s="1"/>
  <c r="E273" i="34"/>
  <c r="I273" i="34" s="1"/>
  <c r="E277" i="34"/>
  <c r="I277" i="34" s="1"/>
  <c r="E281" i="34"/>
  <c r="I281" i="34" s="1"/>
  <c r="E285" i="34"/>
  <c r="I285" i="34" s="1"/>
  <c r="E289" i="34"/>
  <c r="I289" i="34" s="1"/>
  <c r="E293" i="34"/>
  <c r="I293" i="34" s="1"/>
  <c r="E198" i="34"/>
  <c r="I198" i="34" s="1"/>
  <c r="E202" i="34"/>
  <c r="I202" i="34" s="1"/>
  <c r="E206" i="34"/>
  <c r="I206" i="34" s="1"/>
  <c r="E210" i="34"/>
  <c r="I210" i="34" s="1"/>
  <c r="E218" i="34"/>
  <c r="I218" i="34" s="1"/>
  <c r="E222" i="34"/>
  <c r="I222" i="34" s="1"/>
  <c r="E226" i="34"/>
  <c r="I226" i="34" s="1"/>
  <c r="E230" i="34"/>
  <c r="I230" i="34" s="1"/>
  <c r="E234" i="34"/>
  <c r="I234" i="34" s="1"/>
  <c r="E238" i="34"/>
  <c r="I238" i="34" s="1"/>
  <c r="E242" i="34"/>
  <c r="I242" i="34" s="1"/>
  <c r="E246" i="34"/>
  <c r="I246" i="34" s="1"/>
  <c r="E250" i="34"/>
  <c r="I250" i="34" s="1"/>
  <c r="E254" i="34"/>
  <c r="I254" i="34" s="1"/>
  <c r="E258" i="34"/>
  <c r="I258" i="34" s="1"/>
  <c r="E262" i="34"/>
  <c r="I262" i="34" s="1"/>
  <c r="E266" i="34"/>
  <c r="I266" i="34" s="1"/>
  <c r="E270" i="34"/>
  <c r="I270" i="34" s="1"/>
  <c r="E274" i="34"/>
  <c r="I274" i="34" s="1"/>
  <c r="E278" i="34"/>
  <c r="I278" i="34" s="1"/>
  <c r="E282" i="34"/>
  <c r="I282" i="34" s="1"/>
  <c r="E286" i="34"/>
  <c r="I286" i="34" s="1"/>
  <c r="E290" i="34"/>
  <c r="I290" i="34" s="1"/>
  <c r="E294" i="34"/>
  <c r="I294" i="34" s="1"/>
  <c r="E184" i="34"/>
  <c r="I184" i="34" s="1"/>
  <c r="E185" i="34"/>
  <c r="I185" i="34" s="1"/>
  <c r="E192" i="34"/>
  <c r="I192" i="34" s="1"/>
  <c r="E193" i="34"/>
  <c r="I193" i="34" s="1"/>
  <c r="E199" i="34"/>
  <c r="I199" i="34" s="1"/>
  <c r="E203" i="34"/>
  <c r="I203" i="34" s="1"/>
  <c r="E207" i="34"/>
  <c r="I207" i="34" s="1"/>
  <c r="E211" i="34"/>
  <c r="I211" i="34" s="1"/>
  <c r="E223" i="34"/>
  <c r="I223" i="34" s="1"/>
  <c r="E227" i="34"/>
  <c r="I227" i="34" s="1"/>
  <c r="E231" i="34"/>
  <c r="I231" i="34" s="1"/>
  <c r="E235" i="34"/>
  <c r="I235" i="34" s="1"/>
  <c r="E239" i="34"/>
  <c r="I239" i="34" s="1"/>
  <c r="E271" i="34"/>
  <c r="I271" i="34" s="1"/>
  <c r="E301" i="34"/>
  <c r="I301" i="34" s="1"/>
  <c r="E305" i="34"/>
  <c r="I305" i="34" s="1"/>
  <c r="E309" i="34"/>
  <c r="I309" i="34" s="1"/>
  <c r="E313" i="34"/>
  <c r="I313" i="34" s="1"/>
  <c r="E317" i="34"/>
  <c r="I317" i="34" s="1"/>
  <c r="E321" i="34"/>
  <c r="I321" i="34" s="1"/>
  <c r="E304" i="34"/>
  <c r="I304" i="34" s="1"/>
  <c r="E312" i="34"/>
  <c r="I312" i="34" s="1"/>
  <c r="E320" i="34"/>
  <c r="I320" i="34" s="1"/>
  <c r="E324" i="34"/>
  <c r="I324" i="34" s="1"/>
  <c r="E297" i="34"/>
  <c r="I297" i="34" s="1"/>
  <c r="E300" i="34"/>
  <c r="I300" i="34" s="1"/>
  <c r="E308" i="34"/>
  <c r="I308" i="34" s="1"/>
  <c r="E316" i="34"/>
  <c r="I316" i="34" s="1"/>
  <c r="E322" i="34"/>
  <c r="I322" i="34" s="1"/>
  <c r="E318" i="34"/>
  <c r="I318" i="34" s="1"/>
  <c r="E314" i="34"/>
  <c r="I314" i="34" s="1"/>
  <c r="E310" i="34"/>
  <c r="I310" i="34" s="1"/>
  <c r="E291" i="34"/>
  <c r="I291" i="34" s="1"/>
  <c r="E259" i="34"/>
  <c r="I259" i="34" s="1"/>
  <c r="E295" i="34"/>
  <c r="I295" i="34" s="1"/>
  <c r="E280" i="34"/>
  <c r="I280" i="34" s="1"/>
  <c r="E252" i="34"/>
  <c r="I252" i="34" s="1"/>
  <c r="E251" i="34"/>
  <c r="I251" i="34" s="1"/>
  <c r="E276" i="34"/>
  <c r="I276" i="34" s="1"/>
  <c r="E243" i="34"/>
  <c r="I243" i="34" s="1"/>
  <c r="E191" i="34"/>
  <c r="I191" i="34" s="1"/>
  <c r="E167" i="34"/>
  <c r="I167" i="34" s="1"/>
  <c r="E135" i="34"/>
  <c r="I135" i="34" s="1"/>
  <c r="E170" i="34"/>
  <c r="I170" i="34" s="1"/>
  <c r="E138" i="34"/>
  <c r="I138" i="34" s="1"/>
  <c r="E175" i="34"/>
  <c r="I175" i="34" s="1"/>
  <c r="E143" i="34"/>
  <c r="I143" i="34" s="1"/>
  <c r="E171" i="34"/>
  <c r="I171" i="34" s="1"/>
  <c r="E139" i="34"/>
  <c r="I139" i="34" s="1"/>
  <c r="E90" i="34"/>
  <c r="I90" i="34" s="1"/>
  <c r="E58" i="34"/>
  <c r="I58" i="34" s="1"/>
  <c r="E26" i="34"/>
  <c r="I26" i="34" s="1"/>
  <c r="E122" i="34"/>
  <c r="I122" i="34" s="1"/>
  <c r="E87" i="34"/>
  <c r="I87" i="34" s="1"/>
  <c r="E55" i="34"/>
  <c r="I55" i="34" s="1"/>
  <c r="E22" i="34"/>
  <c r="I22" i="34" s="1"/>
  <c r="E98" i="34"/>
  <c r="I98" i="34" s="1"/>
  <c r="E66" i="34"/>
  <c r="I66" i="34" s="1"/>
  <c r="E34" i="34"/>
  <c r="I34" i="34" s="1"/>
  <c r="E118" i="34"/>
  <c r="I118" i="34" s="1"/>
  <c r="E86" i="34"/>
  <c r="I86" i="34" s="1"/>
  <c r="E54" i="34"/>
  <c r="I54" i="34" s="1"/>
  <c r="E23" i="34"/>
  <c r="I23" i="34" s="1"/>
  <c r="E315" i="34"/>
  <c r="I315" i="34" s="1"/>
  <c r="E311" i="34"/>
  <c r="I311" i="34" s="1"/>
  <c r="E307" i="34"/>
  <c r="I307" i="34" s="1"/>
  <c r="E303" i="34"/>
  <c r="I303" i="34" s="1"/>
  <c r="E284" i="34"/>
  <c r="I284" i="34" s="1"/>
  <c r="E247" i="34"/>
  <c r="I247" i="34" s="1"/>
  <c r="E288" i="34"/>
  <c r="I288" i="34" s="1"/>
  <c r="E275" i="34"/>
  <c r="I275" i="34" s="1"/>
  <c r="E236" i="34"/>
  <c r="I236" i="34" s="1"/>
  <c r="E244" i="34"/>
  <c r="I244" i="34" s="1"/>
  <c r="E263" i="34"/>
  <c r="I263" i="34" s="1"/>
  <c r="E232" i="34"/>
  <c r="I232" i="34" s="1"/>
  <c r="E158" i="34"/>
  <c r="I158" i="34" s="1"/>
  <c r="E194" i="34"/>
  <c r="I194" i="34" s="1"/>
  <c r="E163" i="34"/>
  <c r="I163" i="34" s="1"/>
  <c r="E195" i="34"/>
  <c r="I195" i="34" s="1"/>
  <c r="E166" i="34"/>
  <c r="I166" i="34" s="1"/>
  <c r="E134" i="34"/>
  <c r="I134" i="34" s="1"/>
  <c r="E162" i="34"/>
  <c r="I162" i="34" s="1"/>
  <c r="E127" i="34"/>
  <c r="I127" i="34" s="1"/>
  <c r="E111" i="34"/>
  <c r="I111" i="34" s="1"/>
  <c r="E83" i="34"/>
  <c r="I83" i="34" s="1"/>
  <c r="E51" i="34"/>
  <c r="I51" i="34" s="1"/>
  <c r="E19" i="34"/>
  <c r="I19" i="34" s="1"/>
  <c r="E114" i="34"/>
  <c r="I114" i="34" s="1"/>
  <c r="E78" i="34"/>
  <c r="I78" i="34" s="1"/>
  <c r="E46" i="34"/>
  <c r="I46" i="34" s="1"/>
  <c r="E123" i="34"/>
  <c r="I123" i="34" s="1"/>
  <c r="E91" i="34"/>
  <c r="I91" i="34" s="1"/>
  <c r="E59" i="34"/>
  <c r="I59" i="34" s="1"/>
  <c r="E27" i="34"/>
  <c r="I27" i="34" s="1"/>
  <c r="E110" i="34"/>
  <c r="I110" i="34" s="1"/>
  <c r="E79" i="34"/>
  <c r="I79" i="34" s="1"/>
  <c r="E47" i="34"/>
  <c r="I47" i="34" s="1"/>
  <c r="E306" i="34"/>
  <c r="I306" i="34" s="1"/>
  <c r="E302" i="34"/>
  <c r="I302" i="34" s="1"/>
  <c r="E298" i="34"/>
  <c r="I298" i="34" s="1"/>
  <c r="E264" i="34"/>
  <c r="I264" i="34" s="1"/>
  <c r="E272" i="34"/>
  <c r="I272" i="34" s="1"/>
  <c r="E240" i="34"/>
  <c r="I240" i="34" s="1"/>
  <c r="E296" i="34"/>
  <c r="I296" i="34" s="1"/>
  <c r="E268" i="34"/>
  <c r="I268" i="34" s="1"/>
  <c r="E219" i="34"/>
  <c r="I219" i="34" s="1"/>
  <c r="E292" i="34"/>
  <c r="I292" i="34" s="1"/>
  <c r="E255" i="34"/>
  <c r="I255" i="34" s="1"/>
  <c r="E215" i="34"/>
  <c r="I215" i="34" s="1"/>
  <c r="E183" i="34"/>
  <c r="I183" i="34" s="1"/>
  <c r="E151" i="34"/>
  <c r="I151" i="34" s="1"/>
  <c r="E186" i="34"/>
  <c r="I186" i="34" s="1"/>
  <c r="E154" i="34"/>
  <c r="I154" i="34" s="1"/>
  <c r="E187" i="34"/>
  <c r="I187" i="34" s="1"/>
  <c r="E159" i="34"/>
  <c r="I159" i="34" s="1"/>
  <c r="E190" i="34"/>
  <c r="I190" i="34" s="1"/>
  <c r="E155" i="34"/>
  <c r="I155" i="34" s="1"/>
  <c r="E106" i="34"/>
  <c r="I106" i="34" s="1"/>
  <c r="E74" i="34"/>
  <c r="I74" i="34" s="1"/>
  <c r="E42" i="34"/>
  <c r="I42" i="34" s="1"/>
  <c r="E131" i="34"/>
  <c r="I131" i="34" s="1"/>
  <c r="E103" i="34"/>
  <c r="I103" i="34" s="1"/>
  <c r="E71" i="34"/>
  <c r="I71" i="34" s="1"/>
  <c r="E38" i="34"/>
  <c r="I38" i="34" s="1"/>
  <c r="E115" i="34"/>
  <c r="I115" i="34" s="1"/>
  <c r="E82" i="34"/>
  <c r="I82" i="34" s="1"/>
  <c r="E50" i="34"/>
  <c r="I50" i="34" s="1"/>
  <c r="E18" i="34"/>
  <c r="I18" i="34" s="1"/>
  <c r="E102" i="34"/>
  <c r="I102" i="34" s="1"/>
  <c r="E70" i="34"/>
  <c r="I70" i="34" s="1"/>
  <c r="E39" i="34"/>
  <c r="I39" i="34" s="1"/>
  <c r="E299" i="34"/>
  <c r="I299" i="34" s="1"/>
  <c r="E323" i="34"/>
  <c r="I323" i="34" s="1"/>
  <c r="E319" i="34"/>
  <c r="I319" i="34" s="1"/>
  <c r="E256" i="34"/>
  <c r="I256" i="34" s="1"/>
  <c r="E267" i="34"/>
  <c r="I267" i="34" s="1"/>
  <c r="E214" i="34"/>
  <c r="I214" i="34" s="1"/>
  <c r="E287" i="34"/>
  <c r="I287" i="34" s="1"/>
  <c r="E260" i="34"/>
  <c r="I260" i="34" s="1"/>
  <c r="E279" i="34"/>
  <c r="I279" i="34" s="1"/>
  <c r="E283" i="34"/>
  <c r="I283" i="34" s="1"/>
  <c r="E248" i="34"/>
  <c r="I248" i="34" s="1"/>
  <c r="E174" i="34"/>
  <c r="I174" i="34" s="1"/>
  <c r="E142" i="34"/>
  <c r="I142" i="34" s="1"/>
  <c r="E179" i="34"/>
  <c r="I179" i="34" s="1"/>
  <c r="E147" i="34"/>
  <c r="I147" i="34" s="1"/>
  <c r="E182" i="34"/>
  <c r="I182" i="34" s="1"/>
  <c r="E150" i="34"/>
  <c r="I150" i="34" s="1"/>
  <c r="E178" i="34"/>
  <c r="I178" i="34" s="1"/>
  <c r="E146" i="34"/>
  <c r="I146" i="34" s="1"/>
  <c r="E119" i="34"/>
  <c r="I119" i="34" s="1"/>
  <c r="E99" i="34"/>
  <c r="I99" i="34" s="1"/>
  <c r="E67" i="34"/>
  <c r="I67" i="34" s="1"/>
  <c r="E35" i="34"/>
  <c r="I35" i="34" s="1"/>
  <c r="E130" i="34"/>
  <c r="I130" i="34" s="1"/>
  <c r="E94" i="34"/>
  <c r="I94" i="34" s="1"/>
  <c r="E62" i="34"/>
  <c r="I62" i="34" s="1"/>
  <c r="E31" i="34"/>
  <c r="I31" i="34" s="1"/>
  <c r="E107" i="34"/>
  <c r="I107" i="34" s="1"/>
  <c r="E75" i="34"/>
  <c r="I75" i="34" s="1"/>
  <c r="E43" i="34"/>
  <c r="I43" i="34" s="1"/>
  <c r="E126" i="34"/>
  <c r="I126" i="34" s="1"/>
  <c r="E95" i="34"/>
  <c r="I95" i="34" s="1"/>
  <c r="E63" i="34"/>
  <c r="I63" i="34" s="1"/>
  <c r="E30" i="34"/>
  <c r="I30" i="34" s="1"/>
  <c r="E16" i="34"/>
  <c r="F6" i="25"/>
  <c r="D6" i="54" s="1"/>
  <c r="D5" i="39"/>
  <c r="D5" i="12"/>
  <c r="G320" i="9"/>
  <c r="E6" i="54" l="1"/>
  <c r="E315" i="54" s="1"/>
  <c r="D315" i="54"/>
  <c r="E19" i="12"/>
  <c r="G19" i="12" s="1"/>
  <c r="H19" i="12" s="1"/>
  <c r="E19" i="39"/>
  <c r="G19" i="39" s="1"/>
  <c r="H19" i="39" s="1"/>
  <c r="I19" i="39" s="1"/>
  <c r="J19" i="39" s="1"/>
  <c r="I20" i="25" s="1"/>
  <c r="E32" i="12"/>
  <c r="G32" i="12" s="1"/>
  <c r="H32" i="12" s="1"/>
  <c r="E32" i="39"/>
  <c r="G32" i="39" s="1"/>
  <c r="H32" i="39" s="1"/>
  <c r="I32" i="39" s="1"/>
  <c r="J32" i="39" s="1"/>
  <c r="I33" i="25" s="1"/>
  <c r="E51" i="12"/>
  <c r="G51" i="12" s="1"/>
  <c r="H51" i="12" s="1"/>
  <c r="E51" i="39"/>
  <c r="G51" i="39" s="1"/>
  <c r="H51" i="39" s="1"/>
  <c r="I51" i="39" s="1"/>
  <c r="J51" i="39" s="1"/>
  <c r="I52" i="25" s="1"/>
  <c r="E56" i="12"/>
  <c r="G56" i="12" s="1"/>
  <c r="H56" i="12" s="1"/>
  <c r="E56" i="39"/>
  <c r="G56" i="39" s="1"/>
  <c r="H56" i="39" s="1"/>
  <c r="I56" i="39" s="1"/>
  <c r="J56" i="39" s="1"/>
  <c r="E167" i="12"/>
  <c r="G167" i="12" s="1"/>
  <c r="H167" i="12" s="1"/>
  <c r="E167" i="39"/>
  <c r="G167" i="39" s="1"/>
  <c r="H167" i="39" s="1"/>
  <c r="I167" i="39" s="1"/>
  <c r="J167" i="39" s="1"/>
  <c r="I168" i="25" s="1"/>
  <c r="E168" i="12"/>
  <c r="G168" i="12" s="1"/>
  <c r="H168" i="12" s="1"/>
  <c r="E168" i="39"/>
  <c r="G168" i="39" s="1"/>
  <c r="H168" i="39" s="1"/>
  <c r="I168" i="39" s="1"/>
  <c r="J168" i="39" s="1"/>
  <c r="I169" i="25" s="1"/>
  <c r="E272" i="12"/>
  <c r="G272" i="12" s="1"/>
  <c r="H272" i="12" s="1"/>
  <c r="E272" i="39"/>
  <c r="G272" i="39" s="1"/>
  <c r="H272" i="39" s="1"/>
  <c r="I272" i="39" s="1"/>
  <c r="J272" i="39" s="1"/>
  <c r="I273" i="25" s="1"/>
  <c r="E203" i="12"/>
  <c r="G203" i="12" s="1"/>
  <c r="H203" i="12" s="1"/>
  <c r="E203" i="39"/>
  <c r="G203" i="39" s="1"/>
  <c r="H203" i="39" s="1"/>
  <c r="I203" i="39" s="1"/>
  <c r="J203" i="39" s="1"/>
  <c r="I204" i="25" s="1"/>
  <c r="E312" i="12"/>
  <c r="G312" i="12" s="1"/>
  <c r="H312" i="12" s="1"/>
  <c r="E312" i="39"/>
  <c r="G312" i="39" s="1"/>
  <c r="H312" i="39" s="1"/>
  <c r="I312" i="39" s="1"/>
  <c r="J312" i="39" s="1"/>
  <c r="I313" i="25" s="1"/>
  <c r="E91" i="12"/>
  <c r="G91" i="12" s="1"/>
  <c r="H91" i="12" s="1"/>
  <c r="E91" i="39"/>
  <c r="G91" i="39" s="1"/>
  <c r="H91" i="39" s="1"/>
  <c r="I91" i="39" s="1"/>
  <c r="J91" i="39" s="1"/>
  <c r="E104" i="12"/>
  <c r="G104" i="12" s="1"/>
  <c r="H104" i="12" s="1"/>
  <c r="E104" i="39"/>
  <c r="G104" i="39" s="1"/>
  <c r="H104" i="39" s="1"/>
  <c r="I104" i="39" s="1"/>
  <c r="J104" i="39" s="1"/>
  <c r="I105" i="25" s="1"/>
  <c r="E120" i="12"/>
  <c r="G120" i="12" s="1"/>
  <c r="H120" i="12" s="1"/>
  <c r="E120" i="39"/>
  <c r="G120" i="39" s="1"/>
  <c r="H120" i="39" s="1"/>
  <c r="I120" i="39" s="1"/>
  <c r="J120" i="39" s="1"/>
  <c r="I121" i="25" s="1"/>
  <c r="E144" i="12"/>
  <c r="G144" i="12" s="1"/>
  <c r="H144" i="12" s="1"/>
  <c r="E144" i="39"/>
  <c r="G144" i="39" s="1"/>
  <c r="H144" i="39" s="1"/>
  <c r="I144" i="39" s="1"/>
  <c r="J144" i="39" s="1"/>
  <c r="I145" i="25" s="1"/>
  <c r="E143" i="12"/>
  <c r="G143" i="12" s="1"/>
  <c r="H143" i="12" s="1"/>
  <c r="E143" i="39"/>
  <c r="G143" i="39" s="1"/>
  <c r="H143" i="39" s="1"/>
  <c r="I143" i="39" s="1"/>
  <c r="J143" i="39" s="1"/>
  <c r="I144" i="25" s="1"/>
  <c r="E204" i="12"/>
  <c r="G204" i="12" s="1"/>
  <c r="H204" i="12" s="1"/>
  <c r="E204" i="39"/>
  <c r="G204" i="39" s="1"/>
  <c r="H204" i="39" s="1"/>
  <c r="I204" i="39" s="1"/>
  <c r="J204" i="39" s="1"/>
  <c r="I205" i="25" s="1"/>
  <c r="E257" i="12"/>
  <c r="G257" i="12" s="1"/>
  <c r="H257" i="12" s="1"/>
  <c r="E257" i="39"/>
  <c r="G257" i="39" s="1"/>
  <c r="H257" i="39" s="1"/>
  <c r="I257" i="39" s="1"/>
  <c r="J257" i="39" s="1"/>
  <c r="I258" i="25" s="1"/>
  <c r="E253" i="12"/>
  <c r="G253" i="12" s="1"/>
  <c r="H253" i="12" s="1"/>
  <c r="E253" i="39"/>
  <c r="G253" i="39" s="1"/>
  <c r="H253" i="39" s="1"/>
  <c r="I253" i="39" s="1"/>
  <c r="J253" i="39" s="1"/>
  <c r="I254" i="25" s="1"/>
  <c r="E36" i="12"/>
  <c r="G36" i="12" s="1"/>
  <c r="H36" i="12" s="1"/>
  <c r="E36" i="39"/>
  <c r="G36" i="39" s="1"/>
  <c r="H36" i="39" s="1"/>
  <c r="I36" i="39" s="1"/>
  <c r="J36" i="39" s="1"/>
  <c r="I37" i="25" s="1"/>
  <c r="E48" i="12"/>
  <c r="G48" i="12" s="1"/>
  <c r="H48" i="12" s="1"/>
  <c r="E48" i="39"/>
  <c r="G48" i="39" s="1"/>
  <c r="H48" i="39" s="1"/>
  <c r="I48" i="39" s="1"/>
  <c r="J48" i="39" s="1"/>
  <c r="I49" i="25" s="1"/>
  <c r="E67" i="12"/>
  <c r="G67" i="12" s="1"/>
  <c r="H67" i="12" s="1"/>
  <c r="E67" i="39"/>
  <c r="G67" i="39" s="1"/>
  <c r="H67" i="39" s="1"/>
  <c r="I67" i="39" s="1"/>
  <c r="J67" i="39" s="1"/>
  <c r="I68" i="25" s="1"/>
  <c r="E72" i="12"/>
  <c r="G72" i="12" s="1"/>
  <c r="H72" i="12" s="1"/>
  <c r="E72" i="39"/>
  <c r="G72" i="39" s="1"/>
  <c r="H72" i="39" s="1"/>
  <c r="I72" i="39" s="1"/>
  <c r="J72" i="39" s="1"/>
  <c r="I73" i="25" s="1"/>
  <c r="E123" i="12"/>
  <c r="G123" i="12" s="1"/>
  <c r="H123" i="12" s="1"/>
  <c r="E123" i="39"/>
  <c r="G123" i="39" s="1"/>
  <c r="H123" i="39" s="1"/>
  <c r="I123" i="39" s="1"/>
  <c r="J123" i="39" s="1"/>
  <c r="I124" i="25" s="1"/>
  <c r="E183" i="12"/>
  <c r="G183" i="12" s="1"/>
  <c r="H183" i="12" s="1"/>
  <c r="E183" i="39"/>
  <c r="G183" i="39" s="1"/>
  <c r="H183" i="39" s="1"/>
  <c r="I183" i="39" s="1"/>
  <c r="J183" i="39" s="1"/>
  <c r="I184" i="25" s="1"/>
  <c r="E233" i="12"/>
  <c r="G233" i="12" s="1"/>
  <c r="H233" i="12" s="1"/>
  <c r="E233" i="39"/>
  <c r="G233" i="39" s="1"/>
  <c r="H233" i="39" s="1"/>
  <c r="I233" i="39" s="1"/>
  <c r="J233" i="39" s="1"/>
  <c r="I234" i="25" s="1"/>
  <c r="E236" i="12"/>
  <c r="G236" i="12" s="1"/>
  <c r="H236" i="12" s="1"/>
  <c r="E236" i="39"/>
  <c r="G236" i="39" s="1"/>
  <c r="H236" i="39" s="1"/>
  <c r="I236" i="39" s="1"/>
  <c r="J236" i="39" s="1"/>
  <c r="I237" i="25" s="1"/>
  <c r="E300" i="12"/>
  <c r="G300" i="12" s="1"/>
  <c r="H300" i="12" s="1"/>
  <c r="E300" i="39"/>
  <c r="G300" i="39" s="1"/>
  <c r="H300" i="39" s="1"/>
  <c r="I300" i="39" s="1"/>
  <c r="J300" i="39" s="1"/>
  <c r="I301" i="25" s="1"/>
  <c r="E75" i="12"/>
  <c r="G75" i="12" s="1"/>
  <c r="H75" i="12" s="1"/>
  <c r="E75" i="39"/>
  <c r="G75" i="39" s="1"/>
  <c r="H75" i="39" s="1"/>
  <c r="I75" i="39" s="1"/>
  <c r="J75" i="39" s="1"/>
  <c r="I76" i="25" s="1"/>
  <c r="E87" i="12"/>
  <c r="G87" i="12" s="1"/>
  <c r="H87" i="12" s="1"/>
  <c r="E87" i="39"/>
  <c r="G87" i="39" s="1"/>
  <c r="H87" i="39" s="1"/>
  <c r="I87" i="39" s="1"/>
  <c r="J87" i="39" s="1"/>
  <c r="I88" i="25" s="1"/>
  <c r="E111" i="12"/>
  <c r="G111" i="12" s="1"/>
  <c r="H111" i="12" s="1"/>
  <c r="E111" i="39"/>
  <c r="G111" i="39" s="1"/>
  <c r="H111" i="39" s="1"/>
  <c r="I111" i="39" s="1"/>
  <c r="J111" i="39" s="1"/>
  <c r="I112" i="25" s="1"/>
  <c r="E128" i="12"/>
  <c r="G128" i="12" s="1"/>
  <c r="H128" i="12" s="1"/>
  <c r="E128" i="39"/>
  <c r="G128" i="39" s="1"/>
  <c r="H128" i="39" s="1"/>
  <c r="I128" i="39" s="1"/>
  <c r="J128" i="39" s="1"/>
  <c r="I129" i="25" s="1"/>
  <c r="E127" i="12"/>
  <c r="G127" i="12" s="1"/>
  <c r="H127" i="12" s="1"/>
  <c r="E127" i="39"/>
  <c r="G127" i="39" s="1"/>
  <c r="H127" i="39" s="1"/>
  <c r="I127" i="39" s="1"/>
  <c r="J127" i="39" s="1"/>
  <c r="I128" i="25" s="1"/>
  <c r="E180" i="12"/>
  <c r="G180" i="12" s="1"/>
  <c r="H180" i="12" s="1"/>
  <c r="E180" i="39"/>
  <c r="G180" i="39" s="1"/>
  <c r="H180" i="39" s="1"/>
  <c r="I180" i="39" s="1"/>
  <c r="J180" i="39" s="1"/>
  <c r="I181" i="25" s="1"/>
  <c r="E241" i="12"/>
  <c r="G241" i="12" s="1"/>
  <c r="H241" i="12" s="1"/>
  <c r="E241" i="39"/>
  <c r="G241" i="39" s="1"/>
  <c r="H241" i="39" s="1"/>
  <c r="I241" i="39" s="1"/>
  <c r="J241" i="39" s="1"/>
  <c r="I242" i="25" s="1"/>
  <c r="E280" i="12"/>
  <c r="G280" i="12" s="1"/>
  <c r="H280" i="12" s="1"/>
  <c r="E280" i="39"/>
  <c r="G280" i="39" s="1"/>
  <c r="H280" i="39" s="1"/>
  <c r="I280" i="39" s="1"/>
  <c r="J280" i="39" s="1"/>
  <c r="I281" i="25" s="1"/>
  <c r="E311" i="12"/>
  <c r="G311" i="12" s="1"/>
  <c r="H311" i="12" s="1"/>
  <c r="E311" i="39"/>
  <c r="G311" i="39" s="1"/>
  <c r="H311" i="39" s="1"/>
  <c r="I311" i="39" s="1"/>
  <c r="J311" i="39" s="1"/>
  <c r="I312" i="25" s="1"/>
  <c r="E286" i="12"/>
  <c r="G286" i="12" s="1"/>
  <c r="H286" i="12" s="1"/>
  <c r="E286" i="39"/>
  <c r="G286" i="39" s="1"/>
  <c r="H286" i="39" s="1"/>
  <c r="I286" i="39" s="1"/>
  <c r="J286" i="39" s="1"/>
  <c r="I287" i="25" s="1"/>
  <c r="E293" i="12"/>
  <c r="G293" i="12" s="1"/>
  <c r="H293" i="12" s="1"/>
  <c r="E293" i="39"/>
  <c r="G293" i="39" s="1"/>
  <c r="H293" i="39" s="1"/>
  <c r="I293" i="39" s="1"/>
  <c r="J293" i="39" s="1"/>
  <c r="I294" i="25" s="1"/>
  <c r="E298" i="12"/>
  <c r="G298" i="12" s="1"/>
  <c r="H298" i="12" s="1"/>
  <c r="E298" i="39"/>
  <c r="G298" i="39" s="1"/>
  <c r="H298" i="39" s="1"/>
  <c r="I298" i="39" s="1"/>
  <c r="J298" i="39" s="1"/>
  <c r="I299" i="25" s="1"/>
  <c r="E228" i="12"/>
  <c r="G228" i="12" s="1"/>
  <c r="H228" i="12" s="1"/>
  <c r="E228" i="39"/>
  <c r="G228" i="39" s="1"/>
  <c r="H228" i="39" s="1"/>
  <c r="I228" i="39" s="1"/>
  <c r="J228" i="39" s="1"/>
  <c r="I229" i="25" s="1"/>
  <c r="E212" i="12"/>
  <c r="G212" i="12" s="1"/>
  <c r="H212" i="12" s="1"/>
  <c r="E212" i="39"/>
  <c r="G212" i="39" s="1"/>
  <c r="H212" i="39" s="1"/>
  <c r="I212" i="39" s="1"/>
  <c r="J212" i="39" s="1"/>
  <c r="I213" i="25" s="1"/>
  <c r="E188" i="12"/>
  <c r="G188" i="12" s="1"/>
  <c r="H188" i="12" s="1"/>
  <c r="E188" i="39"/>
  <c r="G188" i="39" s="1"/>
  <c r="H188" i="39" s="1"/>
  <c r="I188" i="39" s="1"/>
  <c r="J188" i="39" s="1"/>
  <c r="I189" i="25" s="1"/>
  <c r="E173" i="12"/>
  <c r="G173" i="12" s="1"/>
  <c r="H173" i="12" s="1"/>
  <c r="E173" i="39"/>
  <c r="G173" i="39" s="1"/>
  <c r="H173" i="39" s="1"/>
  <c r="I173" i="39" s="1"/>
  <c r="J173" i="39" s="1"/>
  <c r="I174" i="25" s="1"/>
  <c r="E271" i="12"/>
  <c r="G271" i="12" s="1"/>
  <c r="H271" i="12" s="1"/>
  <c r="E271" i="39"/>
  <c r="G271" i="39" s="1"/>
  <c r="H271" i="39" s="1"/>
  <c r="I271" i="39" s="1"/>
  <c r="J271" i="39" s="1"/>
  <c r="I272" i="25" s="1"/>
  <c r="E255" i="12"/>
  <c r="G255" i="12" s="1"/>
  <c r="H255" i="12" s="1"/>
  <c r="E255" i="39"/>
  <c r="G255" i="39" s="1"/>
  <c r="H255" i="39" s="1"/>
  <c r="I255" i="39" s="1"/>
  <c r="J255" i="39" s="1"/>
  <c r="I256" i="25" s="1"/>
  <c r="E239" i="12"/>
  <c r="G239" i="12" s="1"/>
  <c r="H239" i="12" s="1"/>
  <c r="E239" i="39"/>
  <c r="G239" i="39" s="1"/>
  <c r="H239" i="39" s="1"/>
  <c r="I239" i="39" s="1"/>
  <c r="J239" i="39" s="1"/>
  <c r="I240" i="25" s="1"/>
  <c r="E223" i="12"/>
  <c r="G223" i="12" s="1"/>
  <c r="H223" i="12" s="1"/>
  <c r="E223" i="39"/>
  <c r="G223" i="39" s="1"/>
  <c r="H223" i="39" s="1"/>
  <c r="I223" i="39" s="1"/>
  <c r="J223" i="39" s="1"/>
  <c r="I224" i="25" s="1"/>
  <c r="E207" i="12"/>
  <c r="G207" i="12" s="1"/>
  <c r="H207" i="12" s="1"/>
  <c r="I207" i="12" s="1"/>
  <c r="J207" i="12" s="1"/>
  <c r="E207" i="39"/>
  <c r="G207" i="39" s="1"/>
  <c r="H207" i="39" s="1"/>
  <c r="I207" i="39" s="1"/>
  <c r="J207" i="39" s="1"/>
  <c r="I208" i="25" s="1"/>
  <c r="E187" i="12"/>
  <c r="G187" i="12" s="1"/>
  <c r="H187" i="12" s="1"/>
  <c r="E187" i="39"/>
  <c r="G187" i="39" s="1"/>
  <c r="H187" i="39" s="1"/>
  <c r="I187" i="39" s="1"/>
  <c r="J187" i="39" s="1"/>
  <c r="I188" i="25" s="1"/>
  <c r="E270" i="12"/>
  <c r="G270" i="12" s="1"/>
  <c r="H270" i="12" s="1"/>
  <c r="E270" i="39"/>
  <c r="G270" i="39" s="1"/>
  <c r="H270" i="39" s="1"/>
  <c r="I270" i="39" s="1"/>
  <c r="J270" i="39" s="1"/>
  <c r="I271" i="25" s="1"/>
  <c r="E254" i="12"/>
  <c r="G254" i="12" s="1"/>
  <c r="H254" i="12" s="1"/>
  <c r="E254" i="39"/>
  <c r="G254" i="39" s="1"/>
  <c r="H254" i="39" s="1"/>
  <c r="I254" i="39" s="1"/>
  <c r="J254" i="39" s="1"/>
  <c r="I255" i="25" s="1"/>
  <c r="E238" i="12"/>
  <c r="G238" i="12" s="1"/>
  <c r="H238" i="12" s="1"/>
  <c r="E238" i="39"/>
  <c r="G238" i="39" s="1"/>
  <c r="H238" i="39" s="1"/>
  <c r="I238" i="39" s="1"/>
  <c r="J238" i="39" s="1"/>
  <c r="I239" i="25" s="1"/>
  <c r="E222" i="12"/>
  <c r="G222" i="12" s="1"/>
  <c r="H222" i="12" s="1"/>
  <c r="E222" i="39"/>
  <c r="G222" i="39" s="1"/>
  <c r="H222" i="39" s="1"/>
  <c r="I222" i="39" s="1"/>
  <c r="J222" i="39" s="1"/>
  <c r="I223" i="25" s="1"/>
  <c r="E206" i="12"/>
  <c r="G206" i="12" s="1"/>
  <c r="H206" i="12" s="1"/>
  <c r="E206" i="39"/>
  <c r="G206" i="39" s="1"/>
  <c r="H206" i="39" s="1"/>
  <c r="I206" i="39" s="1"/>
  <c r="J206" i="39" s="1"/>
  <c r="I207" i="25" s="1"/>
  <c r="E190" i="12"/>
  <c r="G190" i="12" s="1"/>
  <c r="H190" i="12" s="1"/>
  <c r="E190" i="39"/>
  <c r="G190" i="39" s="1"/>
  <c r="H190" i="39" s="1"/>
  <c r="I190" i="39" s="1"/>
  <c r="J190" i="39" s="1"/>
  <c r="I191" i="25" s="1"/>
  <c r="E177" i="12"/>
  <c r="G177" i="12" s="1"/>
  <c r="H177" i="12" s="1"/>
  <c r="E177" i="39"/>
  <c r="G177" i="39" s="1"/>
  <c r="H177" i="39" s="1"/>
  <c r="I177" i="39" s="1"/>
  <c r="J177" i="39" s="1"/>
  <c r="I178" i="25" s="1"/>
  <c r="E205" i="12"/>
  <c r="G205" i="12" s="1"/>
  <c r="H205" i="12" s="1"/>
  <c r="E205" i="39"/>
  <c r="G205" i="39" s="1"/>
  <c r="H205" i="39" s="1"/>
  <c r="I205" i="39" s="1"/>
  <c r="J205" i="39" s="1"/>
  <c r="I206" i="25" s="1"/>
  <c r="E189" i="12"/>
  <c r="G189" i="12" s="1"/>
  <c r="H189" i="12" s="1"/>
  <c r="E189" i="39"/>
  <c r="G189" i="39" s="1"/>
  <c r="H189" i="39" s="1"/>
  <c r="I189" i="39" s="1"/>
  <c r="J189" i="39" s="1"/>
  <c r="I190" i="25" s="1"/>
  <c r="E109" i="12"/>
  <c r="G109" i="12" s="1"/>
  <c r="H109" i="12" s="1"/>
  <c r="E109" i="39"/>
  <c r="G109" i="39" s="1"/>
  <c r="H109" i="39" s="1"/>
  <c r="I109" i="39" s="1"/>
  <c r="J109" i="39" s="1"/>
  <c r="I110" i="25" s="1"/>
  <c r="E73" i="12"/>
  <c r="G73" i="12" s="1"/>
  <c r="H73" i="12" s="1"/>
  <c r="E73" i="39"/>
  <c r="G73" i="39" s="1"/>
  <c r="H73" i="39" s="1"/>
  <c r="I73" i="39" s="1"/>
  <c r="J73" i="39" s="1"/>
  <c r="I74" i="25" s="1"/>
  <c r="E77" i="12"/>
  <c r="G77" i="12" s="1"/>
  <c r="H77" i="12" s="1"/>
  <c r="E77" i="39"/>
  <c r="G77" i="39" s="1"/>
  <c r="H77" i="39" s="1"/>
  <c r="I77" i="39" s="1"/>
  <c r="J77" i="39" s="1"/>
  <c r="I78" i="25" s="1"/>
  <c r="E166" i="12"/>
  <c r="G166" i="12" s="1"/>
  <c r="H166" i="12" s="1"/>
  <c r="E166" i="39"/>
  <c r="G166" i="39" s="1"/>
  <c r="H166" i="39" s="1"/>
  <c r="I166" i="39" s="1"/>
  <c r="J166" i="39" s="1"/>
  <c r="I167" i="25" s="1"/>
  <c r="E150" i="12"/>
  <c r="G150" i="12" s="1"/>
  <c r="H150" i="12" s="1"/>
  <c r="E150" i="39"/>
  <c r="G150" i="39" s="1"/>
  <c r="H150" i="39" s="1"/>
  <c r="I150" i="39" s="1"/>
  <c r="J150" i="39" s="1"/>
  <c r="I151" i="25" s="1"/>
  <c r="E134" i="12"/>
  <c r="G134" i="12" s="1"/>
  <c r="H134" i="12" s="1"/>
  <c r="E134" i="39"/>
  <c r="G134" i="39" s="1"/>
  <c r="H134" i="39" s="1"/>
  <c r="I134" i="39" s="1"/>
  <c r="J134" i="39" s="1"/>
  <c r="I135" i="25" s="1"/>
  <c r="E114" i="12"/>
  <c r="G114" i="12" s="1"/>
  <c r="H114" i="12" s="1"/>
  <c r="E114" i="39"/>
  <c r="G114" i="39" s="1"/>
  <c r="H114" i="39" s="1"/>
  <c r="I114" i="39" s="1"/>
  <c r="J114" i="39" s="1"/>
  <c r="I115" i="25" s="1"/>
  <c r="E98" i="12"/>
  <c r="G98" i="12" s="1"/>
  <c r="H98" i="12" s="1"/>
  <c r="E98" i="39"/>
  <c r="G98" i="39" s="1"/>
  <c r="H98" i="39" s="1"/>
  <c r="I98" i="39" s="1"/>
  <c r="J98" i="39" s="1"/>
  <c r="I99" i="25" s="1"/>
  <c r="E49" i="12"/>
  <c r="G49" i="12" s="1"/>
  <c r="H49" i="12" s="1"/>
  <c r="E49" i="39"/>
  <c r="G49" i="39" s="1"/>
  <c r="H49" i="39" s="1"/>
  <c r="I49" i="39" s="1"/>
  <c r="J49" i="39" s="1"/>
  <c r="I50" i="25" s="1"/>
  <c r="E161" i="12"/>
  <c r="G161" i="12" s="1"/>
  <c r="H161" i="12" s="1"/>
  <c r="E161" i="39"/>
  <c r="G161" i="39" s="1"/>
  <c r="H161" i="39" s="1"/>
  <c r="I161" i="39" s="1"/>
  <c r="J161" i="39" s="1"/>
  <c r="I162" i="25" s="1"/>
  <c r="E145" i="12"/>
  <c r="G145" i="12" s="1"/>
  <c r="H145" i="12" s="1"/>
  <c r="E145" i="39"/>
  <c r="G145" i="39" s="1"/>
  <c r="H145" i="39" s="1"/>
  <c r="I145" i="39" s="1"/>
  <c r="J145" i="39" s="1"/>
  <c r="I146" i="25" s="1"/>
  <c r="E129" i="12"/>
  <c r="G129" i="12" s="1"/>
  <c r="H129" i="12" s="1"/>
  <c r="E129" i="39"/>
  <c r="G129" i="39" s="1"/>
  <c r="H129" i="39" s="1"/>
  <c r="I129" i="39" s="1"/>
  <c r="J129" i="39" s="1"/>
  <c r="I130" i="25" s="1"/>
  <c r="E69" i="12"/>
  <c r="G69" i="12" s="1"/>
  <c r="H69" i="12" s="1"/>
  <c r="E69" i="39"/>
  <c r="G69" i="39" s="1"/>
  <c r="H69" i="39" s="1"/>
  <c r="I69" i="39" s="1"/>
  <c r="J69" i="39" s="1"/>
  <c r="I70" i="25" s="1"/>
  <c r="E25" i="12"/>
  <c r="G25" i="12" s="1"/>
  <c r="H25" i="12" s="1"/>
  <c r="I25" i="12" s="1"/>
  <c r="J25" i="12" s="1"/>
  <c r="E25" i="39"/>
  <c r="G25" i="39" s="1"/>
  <c r="H25" i="39" s="1"/>
  <c r="I25" i="39" s="1"/>
  <c r="J25" i="39" s="1"/>
  <c r="I26" i="25" s="1"/>
  <c r="E9" i="12"/>
  <c r="G9" i="12" s="1"/>
  <c r="H9" i="12" s="1"/>
  <c r="E9" i="39"/>
  <c r="G9" i="39" s="1"/>
  <c r="H9" i="39" s="1"/>
  <c r="I9" i="39" s="1"/>
  <c r="J9" i="39" s="1"/>
  <c r="I10" i="25" s="1"/>
  <c r="E82" i="12"/>
  <c r="G82" i="12" s="1"/>
  <c r="H82" i="12" s="1"/>
  <c r="E82" i="39"/>
  <c r="G82" i="39" s="1"/>
  <c r="H82" i="39" s="1"/>
  <c r="I82" i="39" s="1"/>
  <c r="J82" i="39" s="1"/>
  <c r="I83" i="25" s="1"/>
  <c r="E66" i="12"/>
  <c r="G66" i="12" s="1"/>
  <c r="H66" i="12" s="1"/>
  <c r="E66" i="39"/>
  <c r="G66" i="39" s="1"/>
  <c r="H66" i="39" s="1"/>
  <c r="I66" i="39" s="1"/>
  <c r="J66" i="39" s="1"/>
  <c r="I67" i="25" s="1"/>
  <c r="E50" i="12"/>
  <c r="G50" i="12" s="1"/>
  <c r="H50" i="12" s="1"/>
  <c r="I50" i="12" s="1"/>
  <c r="J50" i="12" s="1"/>
  <c r="E50" i="39"/>
  <c r="G50" i="39" s="1"/>
  <c r="H50" i="39" s="1"/>
  <c r="I50" i="39" s="1"/>
  <c r="J50" i="39" s="1"/>
  <c r="I51" i="25" s="1"/>
  <c r="E34" i="12"/>
  <c r="G34" i="12" s="1"/>
  <c r="H34" i="12" s="1"/>
  <c r="E34" i="39"/>
  <c r="G34" i="39" s="1"/>
  <c r="H34" i="39" s="1"/>
  <c r="I34" i="39" s="1"/>
  <c r="J34" i="39" s="1"/>
  <c r="I35" i="25" s="1"/>
  <c r="E18" i="12"/>
  <c r="G18" i="12" s="1"/>
  <c r="H18" i="12" s="1"/>
  <c r="E18" i="39"/>
  <c r="G18" i="39" s="1"/>
  <c r="H18" i="39" s="1"/>
  <c r="I18" i="39" s="1"/>
  <c r="J18" i="39" s="1"/>
  <c r="I19" i="25" s="1"/>
  <c r="E52" i="12"/>
  <c r="G52" i="12" s="1"/>
  <c r="H52" i="12" s="1"/>
  <c r="E52" i="39"/>
  <c r="G52" i="39" s="1"/>
  <c r="H52" i="39" s="1"/>
  <c r="I52" i="39" s="1"/>
  <c r="J52" i="39" s="1"/>
  <c r="I53" i="25" s="1"/>
  <c r="E64" i="12"/>
  <c r="G64" i="12" s="1"/>
  <c r="H64" i="12" s="1"/>
  <c r="I64" i="12" s="1"/>
  <c r="J64" i="12" s="1"/>
  <c r="E64" i="39"/>
  <c r="G64" i="39" s="1"/>
  <c r="H64" i="39" s="1"/>
  <c r="I64" i="39" s="1"/>
  <c r="J64" i="39" s="1"/>
  <c r="I65" i="25" s="1"/>
  <c r="E83" i="12"/>
  <c r="G83" i="12" s="1"/>
  <c r="H83" i="12" s="1"/>
  <c r="E83" i="39"/>
  <c r="G83" i="39" s="1"/>
  <c r="H83" i="39" s="1"/>
  <c r="I83" i="39" s="1"/>
  <c r="J83" i="39" s="1"/>
  <c r="I84" i="25" s="1"/>
  <c r="E88" i="12"/>
  <c r="G88" i="12" s="1"/>
  <c r="H88" i="12" s="1"/>
  <c r="I88" i="12" s="1"/>
  <c r="J88" i="12" s="1"/>
  <c r="E88" i="39"/>
  <c r="G88" i="39" s="1"/>
  <c r="H88" i="39" s="1"/>
  <c r="I88" i="39" s="1"/>
  <c r="J88" i="39" s="1"/>
  <c r="I89" i="25" s="1"/>
  <c r="E139" i="12"/>
  <c r="G139" i="12" s="1"/>
  <c r="H139" i="12" s="1"/>
  <c r="E139" i="39"/>
  <c r="G139" i="39" s="1"/>
  <c r="H139" i="39" s="1"/>
  <c r="I139" i="39" s="1"/>
  <c r="J139" i="39" s="1"/>
  <c r="I140" i="25" s="1"/>
  <c r="E131" i="12"/>
  <c r="G131" i="12" s="1"/>
  <c r="H131" i="12" s="1"/>
  <c r="I131" i="12" s="1"/>
  <c r="J131" i="12" s="1"/>
  <c r="E131" i="39"/>
  <c r="G131" i="39" s="1"/>
  <c r="H131" i="39" s="1"/>
  <c r="I131" i="39" s="1"/>
  <c r="J131" i="39" s="1"/>
  <c r="I132" i="25" s="1"/>
  <c r="E268" i="12"/>
  <c r="G268" i="12" s="1"/>
  <c r="H268" i="12" s="1"/>
  <c r="E268" i="39"/>
  <c r="G268" i="39" s="1"/>
  <c r="H268" i="39" s="1"/>
  <c r="I268" i="39" s="1"/>
  <c r="J268" i="39" s="1"/>
  <c r="I269" i="25" s="1"/>
  <c r="E256" i="12"/>
  <c r="G256" i="12" s="1"/>
  <c r="H256" i="12" s="1"/>
  <c r="E256" i="39"/>
  <c r="G256" i="39" s="1"/>
  <c r="H256" i="39" s="1"/>
  <c r="I256" i="39" s="1"/>
  <c r="J256" i="39" s="1"/>
  <c r="I257" i="25" s="1"/>
  <c r="E288" i="12"/>
  <c r="G288" i="12" s="1"/>
  <c r="H288" i="12" s="1"/>
  <c r="E288" i="39"/>
  <c r="G288" i="39" s="1"/>
  <c r="H288" i="39" s="1"/>
  <c r="I288" i="39" s="1"/>
  <c r="J288" i="39" s="1"/>
  <c r="I289" i="25" s="1"/>
  <c r="E7" i="12"/>
  <c r="G7" i="12" s="1"/>
  <c r="H7" i="12" s="1"/>
  <c r="I7" i="12" s="1"/>
  <c r="J7" i="12" s="1"/>
  <c r="E7" i="39"/>
  <c r="G7" i="39" s="1"/>
  <c r="H7" i="39" s="1"/>
  <c r="I7" i="39" s="1"/>
  <c r="J7" i="39" s="1"/>
  <c r="I8" i="25" s="1"/>
  <c r="E27" i="12"/>
  <c r="G27" i="12" s="1"/>
  <c r="H27" i="12" s="1"/>
  <c r="E27" i="39"/>
  <c r="G27" i="39" s="1"/>
  <c r="H27" i="39" s="1"/>
  <c r="I27" i="39" s="1"/>
  <c r="J27" i="39" s="1"/>
  <c r="I28" i="25" s="1"/>
  <c r="E31" i="12"/>
  <c r="G31" i="12" s="1"/>
  <c r="H31" i="12" s="1"/>
  <c r="E31" i="39"/>
  <c r="G31" i="39" s="1"/>
  <c r="H31" i="39" s="1"/>
  <c r="I31" i="39" s="1"/>
  <c r="J31" i="39" s="1"/>
  <c r="I32" i="25" s="1"/>
  <c r="E179" i="12"/>
  <c r="G179" i="12" s="1"/>
  <c r="H179" i="12" s="1"/>
  <c r="E179" i="39"/>
  <c r="G179" i="39" s="1"/>
  <c r="H179" i="39" s="1"/>
  <c r="I179" i="39" s="1"/>
  <c r="J179" i="39" s="1"/>
  <c r="I180" i="25" s="1"/>
  <c r="E175" i="12"/>
  <c r="G175" i="12" s="1"/>
  <c r="H175" i="12" s="1"/>
  <c r="I175" i="12" s="1"/>
  <c r="J175" i="12" s="1"/>
  <c r="E175" i="39"/>
  <c r="G175" i="39" s="1"/>
  <c r="H175" i="39" s="1"/>
  <c r="I175" i="39" s="1"/>
  <c r="J175" i="39" s="1"/>
  <c r="I176" i="25" s="1"/>
  <c r="E244" i="12"/>
  <c r="G244" i="12" s="1"/>
  <c r="H244" i="12" s="1"/>
  <c r="E244" i="39"/>
  <c r="G244" i="39" s="1"/>
  <c r="H244" i="39" s="1"/>
  <c r="I244" i="39" s="1"/>
  <c r="J244" i="39" s="1"/>
  <c r="I245" i="25" s="1"/>
  <c r="E285" i="12"/>
  <c r="G285" i="12" s="1"/>
  <c r="H285" i="12" s="1"/>
  <c r="I285" i="12" s="1"/>
  <c r="J285" i="12" s="1"/>
  <c r="E285" i="39"/>
  <c r="G285" i="39" s="1"/>
  <c r="H285" i="39" s="1"/>
  <c r="I285" i="39" s="1"/>
  <c r="J285" i="39" s="1"/>
  <c r="I286" i="25" s="1"/>
  <c r="E287" i="12"/>
  <c r="G287" i="12" s="1"/>
  <c r="H287" i="12" s="1"/>
  <c r="E287" i="39"/>
  <c r="G287" i="39" s="1"/>
  <c r="H287" i="39" s="1"/>
  <c r="I287" i="39" s="1"/>
  <c r="J287" i="39" s="1"/>
  <c r="I288" i="25" s="1"/>
  <c r="E68" i="12"/>
  <c r="G68" i="12" s="1"/>
  <c r="H68" i="12" s="1"/>
  <c r="I68" i="12" s="1"/>
  <c r="J68" i="12" s="1"/>
  <c r="E68" i="39"/>
  <c r="G68" i="39" s="1"/>
  <c r="H68" i="39" s="1"/>
  <c r="I68" i="39" s="1"/>
  <c r="J68" i="39" s="1"/>
  <c r="I69" i="25" s="1"/>
  <c r="E80" i="12"/>
  <c r="G80" i="12" s="1"/>
  <c r="H80" i="12" s="1"/>
  <c r="E80" i="39"/>
  <c r="G80" i="39" s="1"/>
  <c r="H80" i="39" s="1"/>
  <c r="I80" i="39" s="1"/>
  <c r="J80" i="39" s="1"/>
  <c r="I81" i="25" s="1"/>
  <c r="E103" i="12"/>
  <c r="G103" i="12" s="1"/>
  <c r="H103" i="12" s="1"/>
  <c r="I103" i="12" s="1"/>
  <c r="J103" i="12" s="1"/>
  <c r="E103" i="39"/>
  <c r="G103" i="39" s="1"/>
  <c r="H103" i="39" s="1"/>
  <c r="I103" i="39" s="1"/>
  <c r="J103" i="39" s="1"/>
  <c r="I104" i="25" s="1"/>
  <c r="E100" i="12"/>
  <c r="G100" i="12" s="1"/>
  <c r="H100" i="12" s="1"/>
  <c r="E100" i="39"/>
  <c r="G100" i="39" s="1"/>
  <c r="H100" i="39" s="1"/>
  <c r="I100" i="39" s="1"/>
  <c r="J100" i="39" s="1"/>
  <c r="I101" i="25" s="1"/>
  <c r="E155" i="12"/>
  <c r="G155" i="12" s="1"/>
  <c r="H155" i="12" s="1"/>
  <c r="I155" i="12" s="1"/>
  <c r="J155" i="12" s="1"/>
  <c r="E155" i="39"/>
  <c r="G155" i="39" s="1"/>
  <c r="H155" i="39" s="1"/>
  <c r="I155" i="39" s="1"/>
  <c r="J155" i="39" s="1"/>
  <c r="I156" i="25" s="1"/>
  <c r="E147" i="12"/>
  <c r="G147" i="12" s="1"/>
  <c r="H147" i="12" s="1"/>
  <c r="E147" i="39"/>
  <c r="G147" i="39" s="1"/>
  <c r="H147" i="39" s="1"/>
  <c r="I147" i="39" s="1"/>
  <c r="J147" i="39" s="1"/>
  <c r="I148" i="25" s="1"/>
  <c r="E225" i="12"/>
  <c r="G225" i="12" s="1"/>
  <c r="H225" i="12" s="1"/>
  <c r="E225" i="39"/>
  <c r="G225" i="39" s="1"/>
  <c r="H225" i="39" s="1"/>
  <c r="I225" i="39" s="1"/>
  <c r="J225" i="39" s="1"/>
  <c r="I226" i="25" s="1"/>
  <c r="E273" i="12"/>
  <c r="G273" i="12" s="1"/>
  <c r="H273" i="12" s="1"/>
  <c r="I273" i="12" s="1"/>
  <c r="J273" i="12" s="1"/>
  <c r="E273" i="39"/>
  <c r="G273" i="39" s="1"/>
  <c r="H273" i="39" s="1"/>
  <c r="I273" i="39" s="1"/>
  <c r="J273" i="39" s="1"/>
  <c r="I274" i="25" s="1"/>
  <c r="E304" i="12"/>
  <c r="G304" i="12" s="1"/>
  <c r="H304" i="12" s="1"/>
  <c r="I304" i="12" s="1"/>
  <c r="J304" i="12" s="1"/>
  <c r="E304" i="39"/>
  <c r="G304" i="39" s="1"/>
  <c r="H304" i="39" s="1"/>
  <c r="I304" i="39" s="1"/>
  <c r="J304" i="39" s="1"/>
  <c r="I305" i="25" s="1"/>
  <c r="E107" i="12"/>
  <c r="G107" i="12" s="1"/>
  <c r="H107" i="12" s="1"/>
  <c r="E107" i="39"/>
  <c r="G107" i="39" s="1"/>
  <c r="H107" i="39" s="1"/>
  <c r="I107" i="39" s="1"/>
  <c r="J107" i="39" s="1"/>
  <c r="I108" i="25" s="1"/>
  <c r="E11" i="12"/>
  <c r="G11" i="12" s="1"/>
  <c r="H11" i="12" s="1"/>
  <c r="E11" i="39"/>
  <c r="G11" i="39" s="1"/>
  <c r="H11" i="39" s="1"/>
  <c r="I11" i="39" s="1"/>
  <c r="J11" i="39" s="1"/>
  <c r="I12" i="25" s="1"/>
  <c r="E15" i="12"/>
  <c r="G15" i="12" s="1"/>
  <c r="H15" i="12" s="1"/>
  <c r="E15" i="39"/>
  <c r="G15" i="39" s="1"/>
  <c r="H15" i="39" s="1"/>
  <c r="I15" i="39" s="1"/>
  <c r="J15" i="39" s="1"/>
  <c r="I16" i="25" s="1"/>
  <c r="E160" i="12"/>
  <c r="G160" i="12" s="1"/>
  <c r="H160" i="12" s="1"/>
  <c r="I160" i="12" s="1"/>
  <c r="J160" i="12" s="1"/>
  <c r="E160" i="39"/>
  <c r="G160" i="39" s="1"/>
  <c r="H160" i="39" s="1"/>
  <c r="I160" i="39" s="1"/>
  <c r="J160" i="39" s="1"/>
  <c r="I161" i="25" s="1"/>
  <c r="E159" i="12"/>
  <c r="G159" i="12" s="1"/>
  <c r="H159" i="12" s="1"/>
  <c r="I159" i="12" s="1"/>
  <c r="J159" i="12" s="1"/>
  <c r="E159" i="39"/>
  <c r="G159" i="39" s="1"/>
  <c r="H159" i="39" s="1"/>
  <c r="I159" i="39" s="1"/>
  <c r="J159" i="39" s="1"/>
  <c r="I160" i="25" s="1"/>
  <c r="E232" i="12"/>
  <c r="G232" i="12" s="1"/>
  <c r="H232" i="12" s="1"/>
  <c r="E232" i="39"/>
  <c r="G232" i="39" s="1"/>
  <c r="H232" i="39" s="1"/>
  <c r="I232" i="39" s="1"/>
  <c r="J232" i="39" s="1"/>
  <c r="I233" i="25" s="1"/>
  <c r="E269" i="12"/>
  <c r="G269" i="12" s="1"/>
  <c r="H269" i="12" s="1"/>
  <c r="E269" i="39"/>
  <c r="G269" i="39" s="1"/>
  <c r="H269" i="39" s="1"/>
  <c r="I269" i="39" s="1"/>
  <c r="J269" i="39" s="1"/>
  <c r="I270" i="25" s="1"/>
  <c r="E299" i="12"/>
  <c r="G299" i="12" s="1"/>
  <c r="H299" i="12" s="1"/>
  <c r="I299" i="12" s="1"/>
  <c r="J299" i="12" s="1"/>
  <c r="E299" i="39"/>
  <c r="G299" i="39" s="1"/>
  <c r="H299" i="39" s="1"/>
  <c r="I299" i="39" s="1"/>
  <c r="J299" i="39" s="1"/>
  <c r="I300" i="25" s="1"/>
  <c r="E305" i="12"/>
  <c r="G305" i="12" s="1"/>
  <c r="H305" i="12" s="1"/>
  <c r="E305" i="39"/>
  <c r="G305" i="39" s="1"/>
  <c r="H305" i="39" s="1"/>
  <c r="I305" i="39" s="1"/>
  <c r="J305" i="39" s="1"/>
  <c r="I306" i="25" s="1"/>
  <c r="E313" i="12"/>
  <c r="G313" i="12" s="1"/>
  <c r="H313" i="12" s="1"/>
  <c r="I313" i="12" s="1"/>
  <c r="J313" i="12" s="1"/>
  <c r="E313" i="39"/>
  <c r="G313" i="39" s="1"/>
  <c r="H313" i="39" s="1"/>
  <c r="I313" i="39" s="1"/>
  <c r="J313" i="39" s="1"/>
  <c r="I314" i="25" s="1"/>
  <c r="E310" i="12"/>
  <c r="G310" i="12" s="1"/>
  <c r="H310" i="12" s="1"/>
  <c r="I310" i="12" s="1"/>
  <c r="J310" i="12" s="1"/>
  <c r="E310" i="39"/>
  <c r="G310" i="39" s="1"/>
  <c r="H310" i="39" s="1"/>
  <c r="I310" i="39" s="1"/>
  <c r="J310" i="39" s="1"/>
  <c r="I311" i="25" s="1"/>
  <c r="E294" i="12"/>
  <c r="G294" i="12" s="1"/>
  <c r="H294" i="12" s="1"/>
  <c r="I294" i="12" s="1"/>
  <c r="J294" i="12" s="1"/>
  <c r="E294" i="39"/>
  <c r="G294" i="39" s="1"/>
  <c r="H294" i="39" s="1"/>
  <c r="I294" i="39" s="1"/>
  <c r="J294" i="39" s="1"/>
  <c r="I295" i="25" s="1"/>
  <c r="E224" i="12"/>
  <c r="G224" i="12" s="1"/>
  <c r="H224" i="12" s="1"/>
  <c r="E224" i="39"/>
  <c r="G224" i="39" s="1"/>
  <c r="H224" i="39" s="1"/>
  <c r="I224" i="39" s="1"/>
  <c r="J224" i="39" s="1"/>
  <c r="I225" i="25" s="1"/>
  <c r="E200" i="12"/>
  <c r="G200" i="12" s="1"/>
  <c r="H200" i="12" s="1"/>
  <c r="I200" i="12" s="1"/>
  <c r="J200" i="12" s="1"/>
  <c r="E200" i="39"/>
  <c r="G200" i="39" s="1"/>
  <c r="H200" i="39" s="1"/>
  <c r="I200" i="39" s="1"/>
  <c r="J200" i="39" s="1"/>
  <c r="I201" i="25" s="1"/>
  <c r="E182" i="12"/>
  <c r="G182" i="12" s="1"/>
  <c r="H182" i="12" s="1"/>
  <c r="I182" i="12" s="1"/>
  <c r="E182" i="39"/>
  <c r="G182" i="39" s="1"/>
  <c r="H182" i="39" s="1"/>
  <c r="I182" i="39" s="1"/>
  <c r="J182" i="39" s="1"/>
  <c r="I183" i="25" s="1"/>
  <c r="E283" i="12"/>
  <c r="G283" i="12" s="1"/>
  <c r="H283" i="12" s="1"/>
  <c r="I283" i="12" s="1"/>
  <c r="J283" i="12" s="1"/>
  <c r="E283" i="39"/>
  <c r="G283" i="39" s="1"/>
  <c r="H283" i="39" s="1"/>
  <c r="I283" i="39" s="1"/>
  <c r="J283" i="39" s="1"/>
  <c r="I284" i="25" s="1"/>
  <c r="E267" i="12"/>
  <c r="G267" i="12" s="1"/>
  <c r="H267" i="12" s="1"/>
  <c r="E267" i="39"/>
  <c r="G267" i="39" s="1"/>
  <c r="H267" i="39" s="1"/>
  <c r="I267" i="39" s="1"/>
  <c r="J267" i="39" s="1"/>
  <c r="I268" i="25" s="1"/>
  <c r="E251" i="12"/>
  <c r="G251" i="12" s="1"/>
  <c r="H251" i="12" s="1"/>
  <c r="I251" i="12" s="1"/>
  <c r="J251" i="12" s="1"/>
  <c r="E251" i="39"/>
  <c r="G251" i="39" s="1"/>
  <c r="H251" i="39" s="1"/>
  <c r="I251" i="39" s="1"/>
  <c r="J251" i="39" s="1"/>
  <c r="I252" i="25" s="1"/>
  <c r="E235" i="12"/>
  <c r="G235" i="12" s="1"/>
  <c r="H235" i="12" s="1"/>
  <c r="E235" i="39"/>
  <c r="G235" i="39" s="1"/>
  <c r="H235" i="39" s="1"/>
  <c r="I235" i="39" s="1"/>
  <c r="J235" i="39" s="1"/>
  <c r="I236" i="25" s="1"/>
  <c r="E219" i="12"/>
  <c r="G219" i="12" s="1"/>
  <c r="H219" i="12" s="1"/>
  <c r="I219" i="12" s="1"/>
  <c r="J219" i="12" s="1"/>
  <c r="E219" i="39"/>
  <c r="G219" i="39" s="1"/>
  <c r="H219" i="39" s="1"/>
  <c r="I219" i="39" s="1"/>
  <c r="J219" i="39" s="1"/>
  <c r="I220" i="25" s="1"/>
  <c r="E199" i="12"/>
  <c r="G199" i="12" s="1"/>
  <c r="H199" i="12" s="1"/>
  <c r="I199" i="12" s="1"/>
  <c r="J199" i="12" s="1"/>
  <c r="E199" i="39"/>
  <c r="G199" i="39" s="1"/>
  <c r="H199" i="39" s="1"/>
  <c r="I199" i="39" s="1"/>
  <c r="J199" i="39" s="1"/>
  <c r="I200" i="25" s="1"/>
  <c r="E282" i="12"/>
  <c r="G282" i="12" s="1"/>
  <c r="H282" i="12" s="1"/>
  <c r="I282" i="12" s="1"/>
  <c r="J282" i="12" s="1"/>
  <c r="E282" i="39"/>
  <c r="G282" i="39" s="1"/>
  <c r="H282" i="39" s="1"/>
  <c r="I282" i="39" s="1"/>
  <c r="J282" i="39" s="1"/>
  <c r="I283" i="25" s="1"/>
  <c r="E266" i="12"/>
  <c r="G266" i="12" s="1"/>
  <c r="H266" i="12" s="1"/>
  <c r="E266" i="39"/>
  <c r="G266" i="39" s="1"/>
  <c r="H266" i="39" s="1"/>
  <c r="I266" i="39" s="1"/>
  <c r="J266" i="39" s="1"/>
  <c r="I267" i="25" s="1"/>
  <c r="E250" i="12"/>
  <c r="G250" i="12" s="1"/>
  <c r="H250" i="12" s="1"/>
  <c r="I250" i="12" s="1"/>
  <c r="J250" i="12" s="1"/>
  <c r="E250" i="39"/>
  <c r="G250" i="39" s="1"/>
  <c r="H250" i="39" s="1"/>
  <c r="I250" i="39" s="1"/>
  <c r="J250" i="39" s="1"/>
  <c r="I251" i="25" s="1"/>
  <c r="E234" i="12"/>
  <c r="G234" i="12" s="1"/>
  <c r="H234" i="12" s="1"/>
  <c r="I234" i="12" s="1"/>
  <c r="J234" i="12" s="1"/>
  <c r="E234" i="39"/>
  <c r="G234" i="39" s="1"/>
  <c r="H234" i="39" s="1"/>
  <c r="I234" i="39" s="1"/>
  <c r="J234" i="39" s="1"/>
  <c r="I235" i="25" s="1"/>
  <c r="E218" i="12"/>
  <c r="G218" i="12" s="1"/>
  <c r="H218" i="12" s="1"/>
  <c r="I218" i="12" s="1"/>
  <c r="J218" i="12" s="1"/>
  <c r="E218" i="39"/>
  <c r="G218" i="39" s="1"/>
  <c r="H218" i="39" s="1"/>
  <c r="I218" i="39" s="1"/>
  <c r="J218" i="39" s="1"/>
  <c r="I219" i="25" s="1"/>
  <c r="E202" i="12"/>
  <c r="G202" i="12" s="1"/>
  <c r="H202" i="12" s="1"/>
  <c r="E202" i="39"/>
  <c r="G202" i="39" s="1"/>
  <c r="H202" i="39" s="1"/>
  <c r="I202" i="39" s="1"/>
  <c r="J202" i="39" s="1"/>
  <c r="I203" i="25" s="1"/>
  <c r="E186" i="12"/>
  <c r="G186" i="12" s="1"/>
  <c r="H186" i="12" s="1"/>
  <c r="I186" i="12" s="1"/>
  <c r="J186" i="12" s="1"/>
  <c r="E186" i="39"/>
  <c r="G186" i="39" s="1"/>
  <c r="H186" i="39" s="1"/>
  <c r="I186" i="39" s="1"/>
  <c r="J186" i="39" s="1"/>
  <c r="I187" i="25" s="1"/>
  <c r="E217" i="12"/>
  <c r="G217" i="12" s="1"/>
  <c r="H217" i="12" s="1"/>
  <c r="I217" i="12" s="1"/>
  <c r="J217" i="12" s="1"/>
  <c r="E217" i="39"/>
  <c r="G217" i="39" s="1"/>
  <c r="H217" i="39" s="1"/>
  <c r="I217" i="39" s="1"/>
  <c r="J217" i="39" s="1"/>
  <c r="I218" i="25" s="1"/>
  <c r="E201" i="12"/>
  <c r="G201" i="12" s="1"/>
  <c r="H201" i="12" s="1"/>
  <c r="E201" i="39"/>
  <c r="G201" i="39" s="1"/>
  <c r="H201" i="39" s="1"/>
  <c r="I201" i="39" s="1"/>
  <c r="J201" i="39" s="1"/>
  <c r="I202" i="25" s="1"/>
  <c r="E118" i="12"/>
  <c r="G118" i="12" s="1"/>
  <c r="H118" i="12" s="1"/>
  <c r="I118" i="12" s="1"/>
  <c r="J118" i="12" s="1"/>
  <c r="E118" i="39"/>
  <c r="G118" i="39" s="1"/>
  <c r="H118" i="39" s="1"/>
  <c r="I118" i="39" s="1"/>
  <c r="J118" i="39" s="1"/>
  <c r="I119" i="25" s="1"/>
  <c r="E102" i="12"/>
  <c r="G102" i="12" s="1"/>
  <c r="H102" i="12" s="1"/>
  <c r="I102" i="12" s="1"/>
  <c r="J102" i="12" s="1"/>
  <c r="E102" i="39"/>
  <c r="G102" i="39" s="1"/>
  <c r="H102" i="39" s="1"/>
  <c r="I102" i="39" s="1"/>
  <c r="J102" i="39" s="1"/>
  <c r="I103" i="25" s="1"/>
  <c r="E57" i="12"/>
  <c r="G57" i="12" s="1"/>
  <c r="H57" i="12" s="1"/>
  <c r="I57" i="12" s="1"/>
  <c r="J57" i="12" s="1"/>
  <c r="E57" i="39"/>
  <c r="G57" i="39" s="1"/>
  <c r="H57" i="39" s="1"/>
  <c r="I57" i="39" s="1"/>
  <c r="J57" i="39" s="1"/>
  <c r="I58" i="25" s="1"/>
  <c r="E61" i="12"/>
  <c r="G61" i="12" s="1"/>
  <c r="H61" i="12" s="1"/>
  <c r="I61" i="12" s="1"/>
  <c r="J61" i="12" s="1"/>
  <c r="E61" i="39"/>
  <c r="G61" i="39" s="1"/>
  <c r="H61" i="39" s="1"/>
  <c r="I61" i="39" s="1"/>
  <c r="J61" i="39" s="1"/>
  <c r="I62" i="25" s="1"/>
  <c r="E162" i="12"/>
  <c r="G162" i="12" s="1"/>
  <c r="H162" i="12" s="1"/>
  <c r="I162" i="12" s="1"/>
  <c r="J162" i="12" s="1"/>
  <c r="E162" i="39"/>
  <c r="G162" i="39" s="1"/>
  <c r="H162" i="39" s="1"/>
  <c r="I162" i="39" s="1"/>
  <c r="J162" i="39" s="1"/>
  <c r="I163" i="25" s="1"/>
  <c r="E146" i="12"/>
  <c r="G146" i="12" s="1"/>
  <c r="H146" i="12" s="1"/>
  <c r="I146" i="12" s="1"/>
  <c r="J146" i="12" s="1"/>
  <c r="E146" i="39"/>
  <c r="G146" i="39" s="1"/>
  <c r="H146" i="39" s="1"/>
  <c r="I146" i="39" s="1"/>
  <c r="J146" i="39" s="1"/>
  <c r="I147" i="25" s="1"/>
  <c r="E130" i="12"/>
  <c r="G130" i="12" s="1"/>
  <c r="H130" i="12" s="1"/>
  <c r="I130" i="12" s="1"/>
  <c r="J130" i="12" s="1"/>
  <c r="E130" i="39"/>
  <c r="G130" i="39" s="1"/>
  <c r="H130" i="39" s="1"/>
  <c r="I130" i="39" s="1"/>
  <c r="J130" i="39" s="1"/>
  <c r="I131" i="25" s="1"/>
  <c r="E113" i="12"/>
  <c r="G113" i="12" s="1"/>
  <c r="H113" i="12" s="1"/>
  <c r="E113" i="39"/>
  <c r="G113" i="39" s="1"/>
  <c r="H113" i="39" s="1"/>
  <c r="I113" i="39" s="1"/>
  <c r="J113" i="39" s="1"/>
  <c r="I114" i="25" s="1"/>
  <c r="E97" i="12"/>
  <c r="G97" i="12" s="1"/>
  <c r="H97" i="12" s="1"/>
  <c r="I97" i="12" s="1"/>
  <c r="J97" i="12" s="1"/>
  <c r="E97" i="39"/>
  <c r="G97" i="39" s="1"/>
  <c r="H97" i="39" s="1"/>
  <c r="I97" i="39" s="1"/>
  <c r="J97" i="39" s="1"/>
  <c r="I98" i="25" s="1"/>
  <c r="E33" i="12"/>
  <c r="G33" i="12" s="1"/>
  <c r="H33" i="12" s="1"/>
  <c r="I33" i="12" s="1"/>
  <c r="J33" i="12" s="1"/>
  <c r="E33" i="39"/>
  <c r="G33" i="39" s="1"/>
  <c r="H33" i="39" s="1"/>
  <c r="I33" i="39" s="1"/>
  <c r="J33" i="39" s="1"/>
  <c r="I34" i="25" s="1"/>
  <c r="E157" i="12"/>
  <c r="G157" i="12" s="1"/>
  <c r="H157" i="12" s="1"/>
  <c r="E157" i="39"/>
  <c r="G157" i="39" s="1"/>
  <c r="H157" i="39" s="1"/>
  <c r="I157" i="39" s="1"/>
  <c r="J157" i="39" s="1"/>
  <c r="I158" i="25" s="1"/>
  <c r="E141" i="12"/>
  <c r="G141" i="12" s="1"/>
  <c r="H141" i="12" s="1"/>
  <c r="I141" i="12" s="1"/>
  <c r="J141" i="12" s="1"/>
  <c r="E141" i="39"/>
  <c r="G141" i="39" s="1"/>
  <c r="H141" i="39" s="1"/>
  <c r="I141" i="39" s="1"/>
  <c r="J141" i="39" s="1"/>
  <c r="I142" i="25" s="1"/>
  <c r="E125" i="12"/>
  <c r="G125" i="12" s="1"/>
  <c r="H125" i="12" s="1"/>
  <c r="I125" i="12" s="1"/>
  <c r="J125" i="12" s="1"/>
  <c r="E125" i="39"/>
  <c r="G125" i="39" s="1"/>
  <c r="H125" i="39" s="1"/>
  <c r="I125" i="39" s="1"/>
  <c r="J125" i="39" s="1"/>
  <c r="I126" i="25" s="1"/>
  <c r="E53" i="12"/>
  <c r="G53" i="12" s="1"/>
  <c r="H53" i="12" s="1"/>
  <c r="I53" i="12" s="1"/>
  <c r="J53" i="12" s="1"/>
  <c r="E53" i="39"/>
  <c r="G53" i="39" s="1"/>
  <c r="H53" i="39" s="1"/>
  <c r="I53" i="39" s="1"/>
  <c r="J53" i="39" s="1"/>
  <c r="I54" i="25" s="1"/>
  <c r="E21" i="12"/>
  <c r="G21" i="12" s="1"/>
  <c r="H21" i="12" s="1"/>
  <c r="E21" i="39"/>
  <c r="G21" i="39" s="1"/>
  <c r="H21" i="39" s="1"/>
  <c r="I21" i="39" s="1"/>
  <c r="J21" i="39" s="1"/>
  <c r="I22" i="25" s="1"/>
  <c r="E94" i="12"/>
  <c r="G94" i="12" s="1"/>
  <c r="H94" i="12" s="1"/>
  <c r="I94" i="12" s="1"/>
  <c r="J94" i="12" s="1"/>
  <c r="E94" i="39"/>
  <c r="G94" i="39" s="1"/>
  <c r="H94" i="39" s="1"/>
  <c r="I94" i="39" s="1"/>
  <c r="J94" i="39" s="1"/>
  <c r="I95" i="25" s="1"/>
  <c r="E78" i="12"/>
  <c r="G78" i="12" s="1"/>
  <c r="H78" i="12" s="1"/>
  <c r="I78" i="12" s="1"/>
  <c r="J78" i="12" s="1"/>
  <c r="E78" i="39"/>
  <c r="G78" i="39" s="1"/>
  <c r="H78" i="39" s="1"/>
  <c r="I78" i="39" s="1"/>
  <c r="J78" i="39" s="1"/>
  <c r="I79" i="25" s="1"/>
  <c r="E62" i="12"/>
  <c r="G62" i="12" s="1"/>
  <c r="H62" i="12" s="1"/>
  <c r="I62" i="12" s="1"/>
  <c r="J62" i="12" s="1"/>
  <c r="E62" i="39"/>
  <c r="G62" i="39" s="1"/>
  <c r="H62" i="39" s="1"/>
  <c r="I62" i="39" s="1"/>
  <c r="J62" i="39" s="1"/>
  <c r="I63" i="25" s="1"/>
  <c r="E46" i="12"/>
  <c r="G46" i="12" s="1"/>
  <c r="H46" i="12" s="1"/>
  <c r="I46" i="12" s="1"/>
  <c r="E46" i="39"/>
  <c r="G46" i="39" s="1"/>
  <c r="H46" i="39" s="1"/>
  <c r="I46" i="39" s="1"/>
  <c r="J46" i="39" s="1"/>
  <c r="I47" i="25" s="1"/>
  <c r="E30" i="12"/>
  <c r="G30" i="12" s="1"/>
  <c r="H30" i="12" s="1"/>
  <c r="I30" i="12" s="1"/>
  <c r="J30" i="12" s="1"/>
  <c r="E30" i="39"/>
  <c r="G30" i="39" s="1"/>
  <c r="H30" i="39" s="1"/>
  <c r="I30" i="39" s="1"/>
  <c r="J30" i="39" s="1"/>
  <c r="I31" i="25" s="1"/>
  <c r="E14" i="12"/>
  <c r="G14" i="12" s="1"/>
  <c r="H14" i="12" s="1"/>
  <c r="E14" i="39"/>
  <c r="G14" i="39" s="1"/>
  <c r="H14" i="39" s="1"/>
  <c r="I14" i="39" s="1"/>
  <c r="J14" i="39" s="1"/>
  <c r="I15" i="25" s="1"/>
  <c r="E84" i="12"/>
  <c r="G84" i="12" s="1"/>
  <c r="H84" i="12" s="1"/>
  <c r="E84" i="39"/>
  <c r="G84" i="39" s="1"/>
  <c r="H84" i="39" s="1"/>
  <c r="I84" i="39" s="1"/>
  <c r="J84" i="39" s="1"/>
  <c r="I85" i="25" s="1"/>
  <c r="E96" i="12"/>
  <c r="G96" i="12" s="1"/>
  <c r="H96" i="12" s="1"/>
  <c r="E96" i="39"/>
  <c r="G96" i="39" s="1"/>
  <c r="H96" i="39" s="1"/>
  <c r="I96" i="39" s="1"/>
  <c r="J96" i="39" s="1"/>
  <c r="I97" i="25" s="1"/>
  <c r="E119" i="12"/>
  <c r="G119" i="12" s="1"/>
  <c r="H119" i="12" s="1"/>
  <c r="I119" i="12" s="1"/>
  <c r="J119" i="12" s="1"/>
  <c r="E119" i="39"/>
  <c r="G119" i="39" s="1"/>
  <c r="H119" i="39" s="1"/>
  <c r="I119" i="39" s="1"/>
  <c r="J119" i="39" s="1"/>
  <c r="I120" i="25" s="1"/>
  <c r="E108" i="12"/>
  <c r="G108" i="12" s="1"/>
  <c r="H108" i="12" s="1"/>
  <c r="I108" i="12" s="1"/>
  <c r="J108" i="12" s="1"/>
  <c r="E108" i="39"/>
  <c r="G108" i="39" s="1"/>
  <c r="H108" i="39" s="1"/>
  <c r="I108" i="39" s="1"/>
  <c r="J108" i="39" s="1"/>
  <c r="I109" i="25" s="1"/>
  <c r="E171" i="12"/>
  <c r="G171" i="12" s="1"/>
  <c r="H171" i="12" s="1"/>
  <c r="I171" i="12" s="1"/>
  <c r="J171" i="12" s="1"/>
  <c r="E171" i="39"/>
  <c r="G171" i="39" s="1"/>
  <c r="H171" i="39" s="1"/>
  <c r="I171" i="39" s="1"/>
  <c r="J171" i="39" s="1"/>
  <c r="I172" i="25" s="1"/>
  <c r="E163" i="12"/>
  <c r="G163" i="12" s="1"/>
  <c r="H163" i="12" s="1"/>
  <c r="E163" i="39"/>
  <c r="G163" i="39" s="1"/>
  <c r="H163" i="39" s="1"/>
  <c r="I163" i="39" s="1"/>
  <c r="J163" i="39" s="1"/>
  <c r="I164" i="25" s="1"/>
  <c r="E249" i="12"/>
  <c r="G249" i="12" s="1"/>
  <c r="H249" i="12" s="1"/>
  <c r="I249" i="12" s="1"/>
  <c r="J249" i="12" s="1"/>
  <c r="E249" i="39"/>
  <c r="G249" i="39" s="1"/>
  <c r="H249" i="39" s="1"/>
  <c r="I249" i="39" s="1"/>
  <c r="J249" i="39" s="1"/>
  <c r="I250" i="25" s="1"/>
  <c r="E245" i="12"/>
  <c r="G245" i="12" s="1"/>
  <c r="H245" i="12" s="1"/>
  <c r="I245" i="12" s="1"/>
  <c r="J245" i="12" s="1"/>
  <c r="E245" i="39"/>
  <c r="G245" i="39" s="1"/>
  <c r="H245" i="39" s="1"/>
  <c r="I245" i="39" s="1"/>
  <c r="J245" i="39" s="1"/>
  <c r="I246" i="25" s="1"/>
  <c r="E28" i="12"/>
  <c r="G28" i="12" s="1"/>
  <c r="H28" i="12" s="1"/>
  <c r="I28" i="12" s="1"/>
  <c r="J28" i="12" s="1"/>
  <c r="E28" i="39"/>
  <c r="G28" i="39" s="1"/>
  <c r="H28" i="39" s="1"/>
  <c r="I28" i="39" s="1"/>
  <c r="J28" i="39" s="1"/>
  <c r="I29" i="25" s="1"/>
  <c r="E39" i="12"/>
  <c r="G39" i="12" s="1"/>
  <c r="H39" i="12" s="1"/>
  <c r="E39" i="39"/>
  <c r="G39" i="39" s="1"/>
  <c r="H39" i="39" s="1"/>
  <c r="I39" i="39" s="1"/>
  <c r="J39" i="39" s="1"/>
  <c r="I40" i="25" s="1"/>
  <c r="E60" i="12"/>
  <c r="G60" i="12" s="1"/>
  <c r="H60" i="12" s="1"/>
  <c r="E60" i="39"/>
  <c r="G60" i="39" s="1"/>
  <c r="H60" i="39" s="1"/>
  <c r="I60" i="39" s="1"/>
  <c r="J60" i="39" s="1"/>
  <c r="I61" i="25" s="1"/>
  <c r="E63" i="12"/>
  <c r="G63" i="12" s="1"/>
  <c r="H63" i="12" s="1"/>
  <c r="I63" i="12" s="1"/>
  <c r="J63" i="12" s="1"/>
  <c r="E63" i="39"/>
  <c r="G63" i="39" s="1"/>
  <c r="H63" i="39" s="1"/>
  <c r="I63" i="39" s="1"/>
  <c r="J63" i="39" s="1"/>
  <c r="I64" i="25" s="1"/>
  <c r="E148" i="12"/>
  <c r="G148" i="12" s="1"/>
  <c r="H148" i="12" s="1"/>
  <c r="I148" i="12" s="1"/>
  <c r="J148" i="12" s="1"/>
  <c r="E148" i="39"/>
  <c r="G148" i="39" s="1"/>
  <c r="H148" i="39" s="1"/>
  <c r="I148" i="39" s="1"/>
  <c r="J148" i="39" s="1"/>
  <c r="I149" i="25" s="1"/>
  <c r="E140" i="12"/>
  <c r="G140" i="12" s="1"/>
  <c r="H140" i="12" s="1"/>
  <c r="I140" i="12" s="1"/>
  <c r="J140" i="12" s="1"/>
  <c r="E140" i="39"/>
  <c r="G140" i="39" s="1"/>
  <c r="H140" i="39" s="1"/>
  <c r="I140" i="39" s="1"/>
  <c r="J140" i="39" s="1"/>
  <c r="I141" i="25" s="1"/>
  <c r="E281" i="12"/>
  <c r="G281" i="12" s="1"/>
  <c r="H281" i="12" s="1"/>
  <c r="I281" i="12" s="1"/>
  <c r="J281" i="12" s="1"/>
  <c r="E281" i="39"/>
  <c r="G281" i="39" s="1"/>
  <c r="H281" i="39" s="1"/>
  <c r="I281" i="39" s="1"/>
  <c r="J281" i="39" s="1"/>
  <c r="I282" i="25" s="1"/>
  <c r="E229" i="12"/>
  <c r="G229" i="12" s="1"/>
  <c r="H229" i="12" s="1"/>
  <c r="I229" i="12" s="1"/>
  <c r="J229" i="12" s="1"/>
  <c r="E229" i="39"/>
  <c r="G229" i="39" s="1"/>
  <c r="H229" i="39" s="1"/>
  <c r="I229" i="39" s="1"/>
  <c r="J229" i="39" s="1"/>
  <c r="I230" i="25" s="1"/>
  <c r="E291" i="12"/>
  <c r="G291" i="12" s="1"/>
  <c r="H291" i="12" s="1"/>
  <c r="I291" i="12" s="1"/>
  <c r="E291" i="39"/>
  <c r="G291" i="39" s="1"/>
  <c r="H291" i="39" s="1"/>
  <c r="I291" i="39" s="1"/>
  <c r="J291" i="39" s="1"/>
  <c r="I292" i="25" s="1"/>
  <c r="E99" i="12"/>
  <c r="G99" i="12" s="1"/>
  <c r="H99" i="12" s="1"/>
  <c r="E99" i="39"/>
  <c r="G99" i="39" s="1"/>
  <c r="H99" i="39" s="1"/>
  <c r="I99" i="39" s="1"/>
  <c r="J99" i="39" s="1"/>
  <c r="I100" i="25" s="1"/>
  <c r="E112" i="12"/>
  <c r="G112" i="12" s="1"/>
  <c r="H112" i="12" s="1"/>
  <c r="I112" i="12" s="1"/>
  <c r="J112" i="12" s="1"/>
  <c r="E112" i="39"/>
  <c r="G112" i="39" s="1"/>
  <c r="H112" i="39" s="1"/>
  <c r="I112" i="39" s="1"/>
  <c r="J112" i="39" s="1"/>
  <c r="I113" i="25" s="1"/>
  <c r="E8" i="12"/>
  <c r="G8" i="12" s="1"/>
  <c r="H8" i="12" s="1"/>
  <c r="E8" i="39"/>
  <c r="G8" i="39" s="1"/>
  <c r="H8" i="39" s="1"/>
  <c r="I8" i="39" s="1"/>
  <c r="J8" i="39" s="1"/>
  <c r="I9" i="25" s="1"/>
  <c r="E116" i="12"/>
  <c r="G116" i="12" s="1"/>
  <c r="H116" i="12" s="1"/>
  <c r="E116" i="39"/>
  <c r="G116" i="39" s="1"/>
  <c r="H116" i="39" s="1"/>
  <c r="I116" i="39" s="1"/>
  <c r="J116" i="39" s="1"/>
  <c r="I117" i="25" s="1"/>
  <c r="E184" i="12"/>
  <c r="G184" i="12" s="1"/>
  <c r="H184" i="12" s="1"/>
  <c r="I184" i="12" s="1"/>
  <c r="J184" i="12" s="1"/>
  <c r="E184" i="39"/>
  <c r="G184" i="39" s="1"/>
  <c r="H184" i="39" s="1"/>
  <c r="I184" i="39" s="1"/>
  <c r="J184" i="39" s="1"/>
  <c r="I185" i="25" s="1"/>
  <c r="E221" i="12"/>
  <c r="G221" i="12" s="1"/>
  <c r="H221" i="12" s="1"/>
  <c r="I221" i="12" s="1"/>
  <c r="E221" i="39"/>
  <c r="G221" i="39" s="1"/>
  <c r="H221" i="39" s="1"/>
  <c r="I221" i="39" s="1"/>
  <c r="J221" i="39" s="1"/>
  <c r="I222" i="25" s="1"/>
  <c r="E264" i="12"/>
  <c r="G264" i="12" s="1"/>
  <c r="H264" i="12" s="1"/>
  <c r="I264" i="12" s="1"/>
  <c r="J264" i="12" s="1"/>
  <c r="E264" i="39"/>
  <c r="G264" i="39" s="1"/>
  <c r="H264" i="39" s="1"/>
  <c r="I264" i="39" s="1"/>
  <c r="J264" i="39" s="1"/>
  <c r="I265" i="25" s="1"/>
  <c r="E292" i="12"/>
  <c r="G292" i="12" s="1"/>
  <c r="H292" i="12" s="1"/>
  <c r="I292" i="12" s="1"/>
  <c r="E292" i="39"/>
  <c r="G292" i="39" s="1"/>
  <c r="H292" i="39" s="1"/>
  <c r="I292" i="39" s="1"/>
  <c r="J292" i="39" s="1"/>
  <c r="I293" i="25" s="1"/>
  <c r="E12" i="12"/>
  <c r="G12" i="12" s="1"/>
  <c r="H12" i="12" s="1"/>
  <c r="I12" i="12" s="1"/>
  <c r="J12" i="12" s="1"/>
  <c r="E12" i="39"/>
  <c r="G12" i="39" s="1"/>
  <c r="H12" i="39" s="1"/>
  <c r="I12" i="39" s="1"/>
  <c r="J12" i="39" s="1"/>
  <c r="I13" i="25" s="1"/>
  <c r="E23" i="12"/>
  <c r="G23" i="12" s="1"/>
  <c r="H23" i="12" s="1"/>
  <c r="I23" i="12" s="1"/>
  <c r="J23" i="12" s="1"/>
  <c r="E23" i="39"/>
  <c r="G23" i="39" s="1"/>
  <c r="H23" i="39" s="1"/>
  <c r="I23" i="39" s="1"/>
  <c r="J23" i="39" s="1"/>
  <c r="I24" i="25" s="1"/>
  <c r="E44" i="12"/>
  <c r="G44" i="12" s="1"/>
  <c r="H44" i="12" s="1"/>
  <c r="E44" i="39"/>
  <c r="G44" i="39" s="1"/>
  <c r="H44" i="39" s="1"/>
  <c r="I44" i="39" s="1"/>
  <c r="J44" i="39" s="1"/>
  <c r="I45" i="25" s="1"/>
  <c r="E47" i="12"/>
  <c r="G47" i="12" s="1"/>
  <c r="H47" i="12" s="1"/>
  <c r="I47" i="12" s="1"/>
  <c r="J47" i="12" s="1"/>
  <c r="E47" i="39"/>
  <c r="G47" i="39" s="1"/>
  <c r="H47" i="39" s="1"/>
  <c r="I47" i="39" s="1"/>
  <c r="J47" i="39" s="1"/>
  <c r="I48" i="25" s="1"/>
  <c r="E132" i="12"/>
  <c r="G132" i="12" s="1"/>
  <c r="H132" i="12" s="1"/>
  <c r="I132" i="12" s="1"/>
  <c r="E132" i="39"/>
  <c r="G132" i="39" s="1"/>
  <c r="H132" i="39" s="1"/>
  <c r="I132" i="39" s="1"/>
  <c r="J132" i="39" s="1"/>
  <c r="I133" i="25" s="1"/>
  <c r="E124" i="12"/>
  <c r="G124" i="12" s="1"/>
  <c r="H124" i="12" s="1"/>
  <c r="I124" i="12" s="1"/>
  <c r="J124" i="12" s="1"/>
  <c r="E124" i="39"/>
  <c r="G124" i="39" s="1"/>
  <c r="H124" i="39" s="1"/>
  <c r="I124" i="39" s="1"/>
  <c r="J124" i="39" s="1"/>
  <c r="I125" i="25" s="1"/>
  <c r="E265" i="12"/>
  <c r="G265" i="12" s="1"/>
  <c r="H265" i="12" s="1"/>
  <c r="I265" i="12" s="1"/>
  <c r="J265" i="12" s="1"/>
  <c r="E265" i="39"/>
  <c r="G265" i="39" s="1"/>
  <c r="H265" i="39" s="1"/>
  <c r="I265" i="39" s="1"/>
  <c r="J265" i="39" s="1"/>
  <c r="I266" i="25" s="1"/>
  <c r="E284" i="12"/>
  <c r="G284" i="12" s="1"/>
  <c r="H284" i="12" s="1"/>
  <c r="E284" i="39"/>
  <c r="G284" i="39" s="1"/>
  <c r="H284" i="39" s="1"/>
  <c r="I284" i="39" s="1"/>
  <c r="J284" i="39" s="1"/>
  <c r="I285" i="25" s="1"/>
  <c r="E303" i="12"/>
  <c r="G303" i="12" s="1"/>
  <c r="H303" i="12" s="1"/>
  <c r="I303" i="12" s="1"/>
  <c r="J303" i="12" s="1"/>
  <c r="E303" i="39"/>
  <c r="G303" i="39" s="1"/>
  <c r="H303" i="39" s="1"/>
  <c r="I303" i="39" s="1"/>
  <c r="J303" i="39" s="1"/>
  <c r="I304" i="25" s="1"/>
  <c r="E297" i="12"/>
  <c r="G297" i="12" s="1"/>
  <c r="H297" i="12" s="1"/>
  <c r="I297" i="12" s="1"/>
  <c r="J297" i="12" s="1"/>
  <c r="E297" i="39"/>
  <c r="G297" i="39" s="1"/>
  <c r="H297" i="39" s="1"/>
  <c r="I297" i="39" s="1"/>
  <c r="J297" i="39" s="1"/>
  <c r="I298" i="25" s="1"/>
  <c r="E309" i="12"/>
  <c r="G309" i="12" s="1"/>
  <c r="H309" i="12" s="1"/>
  <c r="I309" i="12" s="1"/>
  <c r="E309" i="39"/>
  <c r="G309" i="39" s="1"/>
  <c r="H309" i="39" s="1"/>
  <c r="I309" i="39" s="1"/>
  <c r="J309" i="39" s="1"/>
  <c r="I310" i="25" s="1"/>
  <c r="E306" i="12"/>
  <c r="G306" i="12" s="1"/>
  <c r="H306" i="12" s="1"/>
  <c r="E306" i="39"/>
  <c r="G306" i="39" s="1"/>
  <c r="H306" i="39" s="1"/>
  <c r="I306" i="39" s="1"/>
  <c r="J306" i="39" s="1"/>
  <c r="I307" i="25" s="1"/>
  <c r="E290" i="12"/>
  <c r="G290" i="12" s="1"/>
  <c r="H290" i="12" s="1"/>
  <c r="I290" i="12" s="1"/>
  <c r="E290" i="39"/>
  <c r="G290" i="39" s="1"/>
  <c r="H290" i="39" s="1"/>
  <c r="I290" i="39" s="1"/>
  <c r="J290" i="39" s="1"/>
  <c r="I291" i="25" s="1"/>
  <c r="E220" i="12"/>
  <c r="G220" i="12" s="1"/>
  <c r="H220" i="12" s="1"/>
  <c r="I220" i="12" s="1"/>
  <c r="J220" i="12" s="1"/>
  <c r="E220" i="39"/>
  <c r="G220" i="39" s="1"/>
  <c r="H220" i="39" s="1"/>
  <c r="I220" i="39" s="1"/>
  <c r="J220" i="39" s="1"/>
  <c r="I221" i="25" s="1"/>
  <c r="E196" i="12"/>
  <c r="G196" i="12" s="1"/>
  <c r="H196" i="12" s="1"/>
  <c r="I196" i="12" s="1"/>
  <c r="J196" i="12" s="1"/>
  <c r="E196" i="39"/>
  <c r="G196" i="39" s="1"/>
  <c r="H196" i="39" s="1"/>
  <c r="I196" i="39" s="1"/>
  <c r="J196" i="39" s="1"/>
  <c r="I197" i="25" s="1"/>
  <c r="E181" i="12"/>
  <c r="G181" i="12" s="1"/>
  <c r="H181" i="12" s="1"/>
  <c r="I181" i="12" s="1"/>
  <c r="J181" i="12" s="1"/>
  <c r="E181" i="39"/>
  <c r="G181" i="39" s="1"/>
  <c r="H181" i="39" s="1"/>
  <c r="I181" i="39" s="1"/>
  <c r="J181" i="39" s="1"/>
  <c r="I182" i="25" s="1"/>
  <c r="E279" i="12"/>
  <c r="G279" i="12" s="1"/>
  <c r="H279" i="12" s="1"/>
  <c r="I279" i="12" s="1"/>
  <c r="E279" i="39"/>
  <c r="G279" i="39" s="1"/>
  <c r="H279" i="39" s="1"/>
  <c r="I279" i="39" s="1"/>
  <c r="J279" i="39" s="1"/>
  <c r="I280" i="25" s="1"/>
  <c r="E263" i="12"/>
  <c r="G263" i="12" s="1"/>
  <c r="H263" i="12" s="1"/>
  <c r="I263" i="12" s="1"/>
  <c r="J263" i="12" s="1"/>
  <c r="E263" i="39"/>
  <c r="G263" i="39" s="1"/>
  <c r="H263" i="39" s="1"/>
  <c r="I263" i="39" s="1"/>
  <c r="J263" i="39" s="1"/>
  <c r="I264" i="25" s="1"/>
  <c r="E247" i="12"/>
  <c r="G247" i="12" s="1"/>
  <c r="H247" i="12" s="1"/>
  <c r="I247" i="12" s="1"/>
  <c r="J247" i="12" s="1"/>
  <c r="E247" i="39"/>
  <c r="G247" i="39" s="1"/>
  <c r="H247" i="39" s="1"/>
  <c r="I247" i="39" s="1"/>
  <c r="J247" i="39" s="1"/>
  <c r="I248" i="25" s="1"/>
  <c r="E231" i="12"/>
  <c r="G231" i="12" s="1"/>
  <c r="H231" i="12" s="1"/>
  <c r="I231" i="12" s="1"/>
  <c r="J231" i="12" s="1"/>
  <c r="E231" i="39"/>
  <c r="G231" i="39" s="1"/>
  <c r="H231" i="39" s="1"/>
  <c r="I231" i="39" s="1"/>
  <c r="J231" i="39" s="1"/>
  <c r="I232" i="25" s="1"/>
  <c r="E215" i="12"/>
  <c r="G215" i="12" s="1"/>
  <c r="H215" i="12" s="1"/>
  <c r="I215" i="12" s="1"/>
  <c r="J215" i="12" s="1"/>
  <c r="E215" i="39"/>
  <c r="G215" i="39" s="1"/>
  <c r="H215" i="39" s="1"/>
  <c r="I215" i="39" s="1"/>
  <c r="J215" i="39" s="1"/>
  <c r="I216" i="25" s="1"/>
  <c r="E195" i="12"/>
  <c r="G195" i="12" s="1"/>
  <c r="H195" i="12" s="1"/>
  <c r="E195" i="39"/>
  <c r="G195" i="39" s="1"/>
  <c r="H195" i="39" s="1"/>
  <c r="I195" i="39" s="1"/>
  <c r="J195" i="39" s="1"/>
  <c r="I196" i="25" s="1"/>
  <c r="E278" i="12"/>
  <c r="G278" i="12" s="1"/>
  <c r="H278" i="12" s="1"/>
  <c r="I278" i="12" s="1"/>
  <c r="E278" i="39"/>
  <c r="G278" i="39" s="1"/>
  <c r="H278" i="39" s="1"/>
  <c r="I278" i="39" s="1"/>
  <c r="J278" i="39" s="1"/>
  <c r="I279" i="25" s="1"/>
  <c r="E262" i="12"/>
  <c r="G262" i="12" s="1"/>
  <c r="H262" i="12" s="1"/>
  <c r="I262" i="12" s="1"/>
  <c r="J262" i="12" s="1"/>
  <c r="E262" i="39"/>
  <c r="G262" i="39" s="1"/>
  <c r="H262" i="39" s="1"/>
  <c r="I262" i="39" s="1"/>
  <c r="J262" i="39" s="1"/>
  <c r="I263" i="25" s="1"/>
  <c r="E246" i="12"/>
  <c r="G246" i="12" s="1"/>
  <c r="H246" i="12" s="1"/>
  <c r="I246" i="12" s="1"/>
  <c r="J246" i="12" s="1"/>
  <c r="E246" i="39"/>
  <c r="G246" i="39" s="1"/>
  <c r="H246" i="39" s="1"/>
  <c r="I246" i="39" s="1"/>
  <c r="J246" i="39" s="1"/>
  <c r="I247" i="25" s="1"/>
  <c r="E230" i="12"/>
  <c r="G230" i="12" s="1"/>
  <c r="H230" i="12" s="1"/>
  <c r="I230" i="12" s="1"/>
  <c r="E230" i="39"/>
  <c r="G230" i="39" s="1"/>
  <c r="H230" i="39" s="1"/>
  <c r="I230" i="39" s="1"/>
  <c r="J230" i="39" s="1"/>
  <c r="I231" i="25" s="1"/>
  <c r="E214" i="12"/>
  <c r="G214" i="12" s="1"/>
  <c r="H214" i="12" s="1"/>
  <c r="I214" i="12" s="1"/>
  <c r="E214" i="39"/>
  <c r="G214" i="39" s="1"/>
  <c r="H214" i="39" s="1"/>
  <c r="I214" i="39" s="1"/>
  <c r="J214" i="39" s="1"/>
  <c r="I215" i="25" s="1"/>
  <c r="E198" i="12"/>
  <c r="G198" i="12" s="1"/>
  <c r="H198" i="12" s="1"/>
  <c r="I198" i="12" s="1"/>
  <c r="J198" i="12" s="1"/>
  <c r="E198" i="39"/>
  <c r="G198" i="39" s="1"/>
  <c r="H198" i="39" s="1"/>
  <c r="I198" i="39" s="1"/>
  <c r="J198" i="39" s="1"/>
  <c r="I199" i="25" s="1"/>
  <c r="E185" i="12"/>
  <c r="G185" i="12" s="1"/>
  <c r="H185" i="12" s="1"/>
  <c r="E185" i="39"/>
  <c r="G185" i="39" s="1"/>
  <c r="H185" i="39" s="1"/>
  <c r="I185" i="39" s="1"/>
  <c r="J185" i="39" s="1"/>
  <c r="I186" i="25" s="1"/>
  <c r="E213" i="12"/>
  <c r="G213" i="12" s="1"/>
  <c r="H213" i="12" s="1"/>
  <c r="I213" i="12" s="1"/>
  <c r="J213" i="12" s="1"/>
  <c r="E213" i="39"/>
  <c r="G213" i="39" s="1"/>
  <c r="H213" i="39" s="1"/>
  <c r="I213" i="39" s="1"/>
  <c r="J213" i="39" s="1"/>
  <c r="I214" i="25" s="1"/>
  <c r="E197" i="12"/>
  <c r="G197" i="12" s="1"/>
  <c r="H197" i="12" s="1"/>
  <c r="I197" i="12" s="1"/>
  <c r="J197" i="12" s="1"/>
  <c r="E197" i="39"/>
  <c r="G197" i="39" s="1"/>
  <c r="H197" i="39" s="1"/>
  <c r="I197" i="39" s="1"/>
  <c r="J197" i="39" s="1"/>
  <c r="I198" i="25" s="1"/>
  <c r="E117" i="12"/>
  <c r="G117" i="12" s="1"/>
  <c r="H117" i="12" s="1"/>
  <c r="I117" i="12" s="1"/>
  <c r="J117" i="12" s="1"/>
  <c r="E117" i="39"/>
  <c r="G117" i="39" s="1"/>
  <c r="H117" i="39" s="1"/>
  <c r="I117" i="39" s="1"/>
  <c r="J117" i="39" s="1"/>
  <c r="I118" i="25" s="1"/>
  <c r="E101" i="12"/>
  <c r="G101" i="12" s="1"/>
  <c r="H101" i="12" s="1"/>
  <c r="I101" i="12" s="1"/>
  <c r="E101" i="39"/>
  <c r="G101" i="39" s="1"/>
  <c r="H101" i="39" s="1"/>
  <c r="I101" i="39" s="1"/>
  <c r="J101" i="39" s="1"/>
  <c r="I102" i="25" s="1"/>
  <c r="E41" i="12"/>
  <c r="G41" i="12" s="1"/>
  <c r="H41" i="12" s="1"/>
  <c r="I41" i="12" s="1"/>
  <c r="J41" i="12" s="1"/>
  <c r="E41" i="39"/>
  <c r="G41" i="39" s="1"/>
  <c r="H41" i="39" s="1"/>
  <c r="I41" i="39" s="1"/>
  <c r="J41" i="39" s="1"/>
  <c r="I42" i="25" s="1"/>
  <c r="E45" i="12"/>
  <c r="G45" i="12" s="1"/>
  <c r="H45" i="12" s="1"/>
  <c r="I45" i="12" s="1"/>
  <c r="J45" i="12" s="1"/>
  <c r="E45" i="39"/>
  <c r="G45" i="39" s="1"/>
  <c r="H45" i="39" s="1"/>
  <c r="I45" i="39" s="1"/>
  <c r="J45" i="39" s="1"/>
  <c r="I46" i="25" s="1"/>
  <c r="E158" i="12"/>
  <c r="G158" i="12" s="1"/>
  <c r="H158" i="12" s="1"/>
  <c r="I158" i="12" s="1"/>
  <c r="J158" i="12" s="1"/>
  <c r="E158" i="39"/>
  <c r="G158" i="39" s="1"/>
  <c r="H158" i="39" s="1"/>
  <c r="I158" i="39" s="1"/>
  <c r="J158" i="39" s="1"/>
  <c r="I159" i="25" s="1"/>
  <c r="E142" i="12"/>
  <c r="G142" i="12" s="1"/>
  <c r="H142" i="12" s="1"/>
  <c r="I142" i="12" s="1"/>
  <c r="E142" i="39"/>
  <c r="G142" i="39" s="1"/>
  <c r="H142" i="39" s="1"/>
  <c r="I142" i="39" s="1"/>
  <c r="J142" i="39" s="1"/>
  <c r="I143" i="25" s="1"/>
  <c r="E126" i="12"/>
  <c r="G126" i="12" s="1"/>
  <c r="H126" i="12" s="1"/>
  <c r="I126" i="12" s="1"/>
  <c r="J126" i="12" s="1"/>
  <c r="E126" i="39"/>
  <c r="G126" i="39" s="1"/>
  <c r="H126" i="39" s="1"/>
  <c r="I126" i="39" s="1"/>
  <c r="J126" i="39" s="1"/>
  <c r="I127" i="25" s="1"/>
  <c r="E106" i="12"/>
  <c r="G106" i="12" s="1"/>
  <c r="H106" i="12" s="1"/>
  <c r="I106" i="12" s="1"/>
  <c r="J106" i="12" s="1"/>
  <c r="E106" i="39"/>
  <c r="G106" i="39" s="1"/>
  <c r="H106" i="39" s="1"/>
  <c r="I106" i="39" s="1"/>
  <c r="J106" i="39" s="1"/>
  <c r="I107" i="25" s="1"/>
  <c r="E81" i="12"/>
  <c r="G81" i="12" s="1"/>
  <c r="H81" i="12" s="1"/>
  <c r="I81" i="12" s="1"/>
  <c r="J81" i="12" s="1"/>
  <c r="E81" i="39"/>
  <c r="G81" i="39" s="1"/>
  <c r="H81" i="39" s="1"/>
  <c r="I81" i="39" s="1"/>
  <c r="J81" i="39" s="1"/>
  <c r="I82" i="25" s="1"/>
  <c r="E169" i="12"/>
  <c r="G169" i="12" s="1"/>
  <c r="H169" i="12" s="1"/>
  <c r="I169" i="12" s="1"/>
  <c r="J169" i="12" s="1"/>
  <c r="E169" i="39"/>
  <c r="G169" i="39" s="1"/>
  <c r="H169" i="39" s="1"/>
  <c r="I169" i="39" s="1"/>
  <c r="J169" i="39" s="1"/>
  <c r="I170" i="25" s="1"/>
  <c r="E153" i="12"/>
  <c r="G153" i="12" s="1"/>
  <c r="H153" i="12" s="1"/>
  <c r="I153" i="12" s="1"/>
  <c r="J153" i="12" s="1"/>
  <c r="E153" i="39"/>
  <c r="G153" i="39" s="1"/>
  <c r="H153" i="39" s="1"/>
  <c r="I153" i="39" s="1"/>
  <c r="J153" i="39" s="1"/>
  <c r="I154" i="25" s="1"/>
  <c r="E137" i="12"/>
  <c r="G137" i="12" s="1"/>
  <c r="H137" i="12" s="1"/>
  <c r="E137" i="39"/>
  <c r="G137" i="39" s="1"/>
  <c r="H137" i="39" s="1"/>
  <c r="I137" i="39" s="1"/>
  <c r="J137" i="39" s="1"/>
  <c r="I138" i="25" s="1"/>
  <c r="E121" i="12"/>
  <c r="G121" i="12" s="1"/>
  <c r="H121" i="12" s="1"/>
  <c r="I121" i="12" s="1"/>
  <c r="J121" i="12" s="1"/>
  <c r="E121" i="39"/>
  <c r="G121" i="39" s="1"/>
  <c r="H121" i="39" s="1"/>
  <c r="I121" i="39" s="1"/>
  <c r="J121" i="39" s="1"/>
  <c r="I122" i="25" s="1"/>
  <c r="E37" i="12"/>
  <c r="G37" i="12" s="1"/>
  <c r="H37" i="12" s="1"/>
  <c r="I37" i="12" s="1"/>
  <c r="J37" i="12" s="1"/>
  <c r="E37" i="39"/>
  <c r="G37" i="39" s="1"/>
  <c r="H37" i="39" s="1"/>
  <c r="I37" i="39" s="1"/>
  <c r="J37" i="39" s="1"/>
  <c r="I38" i="25" s="1"/>
  <c r="E17" i="12"/>
  <c r="G17" i="12" s="1"/>
  <c r="H17" i="12" s="1"/>
  <c r="I17" i="12" s="1"/>
  <c r="J17" i="12" s="1"/>
  <c r="E17" i="39"/>
  <c r="G17" i="39" s="1"/>
  <c r="H17" i="39" s="1"/>
  <c r="I17" i="39" s="1"/>
  <c r="J17" i="39" s="1"/>
  <c r="I18" i="25" s="1"/>
  <c r="E90" i="12"/>
  <c r="G90" i="12" s="1"/>
  <c r="H90" i="12" s="1"/>
  <c r="I90" i="12" s="1"/>
  <c r="E90" i="39"/>
  <c r="G90" i="39" s="1"/>
  <c r="H90" i="39" s="1"/>
  <c r="I90" i="39" s="1"/>
  <c r="J90" i="39" s="1"/>
  <c r="I91" i="25" s="1"/>
  <c r="E74" i="12"/>
  <c r="G74" i="12" s="1"/>
  <c r="H74" i="12" s="1"/>
  <c r="I74" i="12" s="1"/>
  <c r="J74" i="12" s="1"/>
  <c r="E74" i="39"/>
  <c r="G74" i="39" s="1"/>
  <c r="H74" i="39" s="1"/>
  <c r="I74" i="39" s="1"/>
  <c r="J74" i="39" s="1"/>
  <c r="I75" i="25" s="1"/>
  <c r="E58" i="12"/>
  <c r="G58" i="12" s="1"/>
  <c r="H58" i="12" s="1"/>
  <c r="I58" i="12" s="1"/>
  <c r="J58" i="12" s="1"/>
  <c r="E58" i="39"/>
  <c r="G58" i="39" s="1"/>
  <c r="H58" i="39" s="1"/>
  <c r="I58" i="39" s="1"/>
  <c r="J58" i="39" s="1"/>
  <c r="I59" i="25" s="1"/>
  <c r="E42" i="12"/>
  <c r="G42" i="12" s="1"/>
  <c r="H42" i="12" s="1"/>
  <c r="I42" i="12" s="1"/>
  <c r="J42" i="12" s="1"/>
  <c r="E42" i="39"/>
  <c r="G42" i="39" s="1"/>
  <c r="H42" i="39" s="1"/>
  <c r="I42" i="39" s="1"/>
  <c r="J42" i="39" s="1"/>
  <c r="I43" i="25" s="1"/>
  <c r="E26" i="12"/>
  <c r="G26" i="12" s="1"/>
  <c r="H26" i="12" s="1"/>
  <c r="I26" i="12" s="1"/>
  <c r="J26" i="12" s="1"/>
  <c r="E26" i="39"/>
  <c r="G26" i="39" s="1"/>
  <c r="H26" i="39" s="1"/>
  <c r="I26" i="39" s="1"/>
  <c r="J26" i="39" s="1"/>
  <c r="I27" i="25" s="1"/>
  <c r="E10" i="12"/>
  <c r="G10" i="12" s="1"/>
  <c r="H10" i="12" s="1"/>
  <c r="E10" i="39"/>
  <c r="G10" i="39" s="1"/>
  <c r="H10" i="39" s="1"/>
  <c r="I10" i="39" s="1"/>
  <c r="J10" i="39" s="1"/>
  <c r="I11" i="25" s="1"/>
  <c r="E115" i="12"/>
  <c r="G115" i="12" s="1"/>
  <c r="H115" i="12" s="1"/>
  <c r="I115" i="12" s="1"/>
  <c r="E115" i="39"/>
  <c r="G115" i="39" s="1"/>
  <c r="H115" i="39" s="1"/>
  <c r="I115" i="39" s="1"/>
  <c r="J115" i="39" s="1"/>
  <c r="I116" i="25" s="1"/>
  <c r="E20" i="12"/>
  <c r="G20" i="12" s="1"/>
  <c r="H20" i="12" s="1"/>
  <c r="E20" i="39"/>
  <c r="G20" i="39" s="1"/>
  <c r="H20" i="39" s="1"/>
  <c r="I20" i="39" s="1"/>
  <c r="J20" i="39" s="1"/>
  <c r="I21" i="25" s="1"/>
  <c r="E24" i="12"/>
  <c r="G24" i="12" s="1"/>
  <c r="H24" i="12" s="1"/>
  <c r="I24" i="12" s="1"/>
  <c r="J24" i="12" s="1"/>
  <c r="E24" i="39"/>
  <c r="G24" i="39" s="1"/>
  <c r="H24" i="39" s="1"/>
  <c r="I24" i="39" s="1"/>
  <c r="J24" i="39" s="1"/>
  <c r="I25" i="25" s="1"/>
  <c r="E135" i="12"/>
  <c r="G135" i="12" s="1"/>
  <c r="H135" i="12" s="1"/>
  <c r="I135" i="12" s="1"/>
  <c r="J135" i="12" s="1"/>
  <c r="E135" i="39"/>
  <c r="G135" i="39" s="1"/>
  <c r="H135" i="39" s="1"/>
  <c r="I135" i="39" s="1"/>
  <c r="J135" i="39" s="1"/>
  <c r="I136" i="25" s="1"/>
  <c r="E136" i="12"/>
  <c r="G136" i="12" s="1"/>
  <c r="H136" i="12" s="1"/>
  <c r="I136" i="12" s="1"/>
  <c r="E136" i="39"/>
  <c r="G136" i="39" s="1"/>
  <c r="H136" i="39" s="1"/>
  <c r="I136" i="39" s="1"/>
  <c r="J136" i="39" s="1"/>
  <c r="I137" i="25" s="1"/>
  <c r="E237" i="12"/>
  <c r="G237" i="12" s="1"/>
  <c r="H237" i="12" s="1"/>
  <c r="I237" i="12" s="1"/>
  <c r="J237" i="12" s="1"/>
  <c r="E237" i="39"/>
  <c r="G237" i="39" s="1"/>
  <c r="H237" i="39" s="1"/>
  <c r="I237" i="39" s="1"/>
  <c r="J237" i="39" s="1"/>
  <c r="I238" i="25" s="1"/>
  <c r="E276" i="12"/>
  <c r="G276" i="12" s="1"/>
  <c r="H276" i="12" s="1"/>
  <c r="I276" i="12" s="1"/>
  <c r="E276" i="39"/>
  <c r="G276" i="39" s="1"/>
  <c r="H276" i="39" s="1"/>
  <c r="I276" i="39" s="1"/>
  <c r="J276" i="39" s="1"/>
  <c r="I277" i="25" s="1"/>
  <c r="E308" i="12"/>
  <c r="G308" i="12" s="1"/>
  <c r="H308" i="12" s="1"/>
  <c r="E308" i="39"/>
  <c r="G308" i="39" s="1"/>
  <c r="H308" i="39" s="1"/>
  <c r="I308" i="39" s="1"/>
  <c r="J308" i="39" s="1"/>
  <c r="I309" i="25" s="1"/>
  <c r="E59" i="12"/>
  <c r="G59" i="12" s="1"/>
  <c r="H59" i="12" s="1"/>
  <c r="I59" i="12" s="1"/>
  <c r="J59" i="12" s="1"/>
  <c r="E59" i="39"/>
  <c r="G59" i="39" s="1"/>
  <c r="H59" i="39" s="1"/>
  <c r="I59" i="39" s="1"/>
  <c r="J59" i="39" s="1"/>
  <c r="I60" i="25" s="1"/>
  <c r="E71" i="12"/>
  <c r="G71" i="12" s="1"/>
  <c r="H71" i="12" s="1"/>
  <c r="E71" i="39"/>
  <c r="G71" i="39" s="1"/>
  <c r="H71" i="39" s="1"/>
  <c r="I71" i="39" s="1"/>
  <c r="J71" i="39" s="1"/>
  <c r="I72" i="25" s="1"/>
  <c r="E92" i="12"/>
  <c r="G92" i="12" s="1"/>
  <c r="H92" i="12" s="1"/>
  <c r="I92" i="12" s="1"/>
  <c r="E92" i="39"/>
  <c r="G92" i="39" s="1"/>
  <c r="H92" i="39" s="1"/>
  <c r="I92" i="39" s="1"/>
  <c r="J92" i="39" s="1"/>
  <c r="I93" i="25" s="1"/>
  <c r="E95" i="12"/>
  <c r="G95" i="12" s="1"/>
  <c r="H95" i="12" s="1"/>
  <c r="I95" i="12" s="1"/>
  <c r="J95" i="12" s="1"/>
  <c r="E95" i="39"/>
  <c r="G95" i="39" s="1"/>
  <c r="H95" i="39" s="1"/>
  <c r="I95" i="39" s="1"/>
  <c r="J95" i="39" s="1"/>
  <c r="I96" i="25" s="1"/>
  <c r="E176" i="12"/>
  <c r="G176" i="12" s="1"/>
  <c r="H176" i="12" s="1"/>
  <c r="E176" i="39"/>
  <c r="G176" i="39" s="1"/>
  <c r="H176" i="39" s="1"/>
  <c r="I176" i="39" s="1"/>
  <c r="J176" i="39" s="1"/>
  <c r="I177" i="25" s="1"/>
  <c r="E172" i="12"/>
  <c r="G172" i="12" s="1"/>
  <c r="H172" i="12" s="1"/>
  <c r="I172" i="12" s="1"/>
  <c r="J172" i="12" s="1"/>
  <c r="E172" i="39"/>
  <c r="G172" i="39" s="1"/>
  <c r="H172" i="39" s="1"/>
  <c r="I172" i="39" s="1"/>
  <c r="J172" i="39" s="1"/>
  <c r="I173" i="25" s="1"/>
  <c r="E208" i="12"/>
  <c r="G208" i="12" s="1"/>
  <c r="H208" i="12" s="1"/>
  <c r="I208" i="12" s="1"/>
  <c r="E208" i="39"/>
  <c r="G208" i="39" s="1"/>
  <c r="H208" i="39" s="1"/>
  <c r="I208" i="39" s="1"/>
  <c r="J208" i="39" s="1"/>
  <c r="I209" i="25" s="1"/>
  <c r="E261" i="12"/>
  <c r="G261" i="12" s="1"/>
  <c r="H261" i="12" s="1"/>
  <c r="I261" i="12" s="1"/>
  <c r="E261" i="39"/>
  <c r="G261" i="39" s="1"/>
  <c r="H261" i="39" s="1"/>
  <c r="I261" i="39" s="1"/>
  <c r="J261" i="39" s="1"/>
  <c r="I262" i="25" s="1"/>
  <c r="E295" i="12"/>
  <c r="G295" i="12" s="1"/>
  <c r="H295" i="12" s="1"/>
  <c r="I295" i="12" s="1"/>
  <c r="E295" i="39"/>
  <c r="G295" i="39" s="1"/>
  <c r="H295" i="39" s="1"/>
  <c r="I295" i="39" s="1"/>
  <c r="J295" i="39" s="1"/>
  <c r="I296" i="25" s="1"/>
  <c r="E16" i="12"/>
  <c r="G16" i="12" s="1"/>
  <c r="H16" i="12" s="1"/>
  <c r="I16" i="12" s="1"/>
  <c r="J16" i="12" s="1"/>
  <c r="E16" i="39"/>
  <c r="G16" i="39" s="1"/>
  <c r="H16" i="39" s="1"/>
  <c r="I16" i="39" s="1"/>
  <c r="J16" i="39" s="1"/>
  <c r="I17" i="25" s="1"/>
  <c r="E35" i="12"/>
  <c r="G35" i="12" s="1"/>
  <c r="H35" i="12" s="1"/>
  <c r="I35" i="12" s="1"/>
  <c r="J35" i="12" s="1"/>
  <c r="E35" i="39"/>
  <c r="G35" i="39" s="1"/>
  <c r="H35" i="39" s="1"/>
  <c r="I35" i="39" s="1"/>
  <c r="J35" i="39" s="1"/>
  <c r="I36" i="25" s="1"/>
  <c r="E40" i="12"/>
  <c r="G40" i="12" s="1"/>
  <c r="H40" i="12" s="1"/>
  <c r="I40" i="12" s="1"/>
  <c r="J40" i="12" s="1"/>
  <c r="E40" i="39"/>
  <c r="G40" i="39" s="1"/>
  <c r="H40" i="39" s="1"/>
  <c r="I40" i="39" s="1"/>
  <c r="J40" i="39" s="1"/>
  <c r="I41" i="25" s="1"/>
  <c r="E151" i="12"/>
  <c r="G151" i="12" s="1"/>
  <c r="H151" i="12" s="1"/>
  <c r="I151" i="12" s="1"/>
  <c r="E151" i="39"/>
  <c r="G151" i="39" s="1"/>
  <c r="H151" i="39" s="1"/>
  <c r="I151" i="39" s="1"/>
  <c r="J151" i="39" s="1"/>
  <c r="I152" i="25" s="1"/>
  <c r="E152" i="12"/>
  <c r="G152" i="12" s="1"/>
  <c r="H152" i="12" s="1"/>
  <c r="I152" i="12" s="1"/>
  <c r="J152" i="12" s="1"/>
  <c r="E152" i="39"/>
  <c r="G152" i="39" s="1"/>
  <c r="H152" i="39" s="1"/>
  <c r="I152" i="39" s="1"/>
  <c r="J152" i="39" s="1"/>
  <c r="I153" i="25" s="1"/>
  <c r="E252" i="12"/>
  <c r="G252" i="12" s="1"/>
  <c r="H252" i="12" s="1"/>
  <c r="I252" i="12" s="1"/>
  <c r="J252" i="12" s="1"/>
  <c r="E252" i="39"/>
  <c r="G252" i="39" s="1"/>
  <c r="H252" i="39" s="1"/>
  <c r="I252" i="39" s="1"/>
  <c r="J252" i="39" s="1"/>
  <c r="I253" i="25" s="1"/>
  <c r="E277" i="12"/>
  <c r="G277" i="12" s="1"/>
  <c r="H277" i="12" s="1"/>
  <c r="I277" i="12" s="1"/>
  <c r="J277" i="12" s="1"/>
  <c r="E277" i="39"/>
  <c r="G277" i="39" s="1"/>
  <c r="H277" i="39" s="1"/>
  <c r="I277" i="39" s="1"/>
  <c r="J277" i="39" s="1"/>
  <c r="I278" i="25" s="1"/>
  <c r="E296" i="12"/>
  <c r="G296" i="12" s="1"/>
  <c r="H296" i="12" s="1"/>
  <c r="I296" i="12" s="1"/>
  <c r="J296" i="12" s="1"/>
  <c r="E296" i="39"/>
  <c r="G296" i="39" s="1"/>
  <c r="H296" i="39" s="1"/>
  <c r="I296" i="39" s="1"/>
  <c r="J296" i="39" s="1"/>
  <c r="I297" i="25" s="1"/>
  <c r="E43" i="12"/>
  <c r="G43" i="12" s="1"/>
  <c r="H43" i="12" s="1"/>
  <c r="I43" i="12" s="1"/>
  <c r="E43" i="39"/>
  <c r="G43" i="39" s="1"/>
  <c r="H43" i="39" s="1"/>
  <c r="I43" i="39" s="1"/>
  <c r="J43" i="39" s="1"/>
  <c r="I44" i="25" s="1"/>
  <c r="E55" i="12"/>
  <c r="G55" i="12" s="1"/>
  <c r="H55" i="12" s="1"/>
  <c r="I55" i="12" s="1"/>
  <c r="E55" i="39"/>
  <c r="G55" i="39" s="1"/>
  <c r="H55" i="39" s="1"/>
  <c r="I55" i="39" s="1"/>
  <c r="J55" i="39" s="1"/>
  <c r="I56" i="25" s="1"/>
  <c r="E76" i="12"/>
  <c r="G76" i="12" s="1"/>
  <c r="H76" i="12" s="1"/>
  <c r="I76" i="12" s="1"/>
  <c r="J76" i="12" s="1"/>
  <c r="E76" i="39"/>
  <c r="G76" i="39" s="1"/>
  <c r="H76" i="39" s="1"/>
  <c r="I76" i="39" s="1"/>
  <c r="J76" i="39" s="1"/>
  <c r="I77" i="25" s="1"/>
  <c r="E79" i="12"/>
  <c r="G79" i="12" s="1"/>
  <c r="H79" i="12" s="1"/>
  <c r="I79" i="12" s="1"/>
  <c r="J79" i="12" s="1"/>
  <c r="E79" i="39"/>
  <c r="G79" i="39" s="1"/>
  <c r="H79" i="39" s="1"/>
  <c r="I79" i="39" s="1"/>
  <c r="J79" i="39" s="1"/>
  <c r="I80" i="25" s="1"/>
  <c r="E164" i="12"/>
  <c r="G164" i="12" s="1"/>
  <c r="H164" i="12" s="1"/>
  <c r="I164" i="12" s="1"/>
  <c r="J164" i="12" s="1"/>
  <c r="E164" i="39"/>
  <c r="G164" i="39" s="1"/>
  <c r="H164" i="39" s="1"/>
  <c r="I164" i="39" s="1"/>
  <c r="J164" i="39" s="1"/>
  <c r="I165" i="25" s="1"/>
  <c r="E156" i="12"/>
  <c r="G156" i="12" s="1"/>
  <c r="H156" i="12" s="1"/>
  <c r="I156" i="12" s="1"/>
  <c r="J156" i="12" s="1"/>
  <c r="E156" i="39"/>
  <c r="G156" i="39" s="1"/>
  <c r="H156" i="39" s="1"/>
  <c r="I156" i="39" s="1"/>
  <c r="J156" i="39" s="1"/>
  <c r="I157" i="25" s="1"/>
  <c r="E240" i="12"/>
  <c r="G240" i="12" s="1"/>
  <c r="H240" i="12" s="1"/>
  <c r="I240" i="12" s="1"/>
  <c r="J240" i="12" s="1"/>
  <c r="E240" i="39"/>
  <c r="G240" i="39" s="1"/>
  <c r="H240" i="39" s="1"/>
  <c r="I240" i="39" s="1"/>
  <c r="J240" i="39" s="1"/>
  <c r="I241" i="25" s="1"/>
  <c r="E248" i="12"/>
  <c r="G248" i="12" s="1"/>
  <c r="H248" i="12" s="1"/>
  <c r="I248" i="12" s="1"/>
  <c r="J248" i="12" s="1"/>
  <c r="E248" i="39"/>
  <c r="G248" i="39" s="1"/>
  <c r="H248" i="39" s="1"/>
  <c r="I248" i="39" s="1"/>
  <c r="J248" i="39" s="1"/>
  <c r="I249" i="25" s="1"/>
  <c r="E307" i="12"/>
  <c r="G307" i="12" s="1"/>
  <c r="H307" i="12" s="1"/>
  <c r="I307" i="12" s="1"/>
  <c r="J307" i="12" s="1"/>
  <c r="E307" i="39"/>
  <c r="G307" i="39" s="1"/>
  <c r="H307" i="39" s="1"/>
  <c r="I307" i="39" s="1"/>
  <c r="J307" i="39" s="1"/>
  <c r="I308" i="25" s="1"/>
  <c r="E289" i="12"/>
  <c r="G289" i="12" s="1"/>
  <c r="H289" i="12" s="1"/>
  <c r="I289" i="12" s="1"/>
  <c r="J289" i="12" s="1"/>
  <c r="E289" i="39"/>
  <c r="G289" i="39" s="1"/>
  <c r="H289" i="39" s="1"/>
  <c r="I289" i="39" s="1"/>
  <c r="J289" i="39" s="1"/>
  <c r="I290" i="25" s="1"/>
  <c r="E301" i="12"/>
  <c r="G301" i="12" s="1"/>
  <c r="H301" i="12" s="1"/>
  <c r="I301" i="12" s="1"/>
  <c r="J301" i="12" s="1"/>
  <c r="E301" i="39"/>
  <c r="G301" i="39" s="1"/>
  <c r="H301" i="39" s="1"/>
  <c r="I301" i="39" s="1"/>
  <c r="J301" i="39" s="1"/>
  <c r="I302" i="25" s="1"/>
  <c r="E302" i="12"/>
  <c r="G302" i="12" s="1"/>
  <c r="H302" i="12" s="1"/>
  <c r="I302" i="12" s="1"/>
  <c r="J302" i="12" s="1"/>
  <c r="E302" i="39"/>
  <c r="G302" i="39" s="1"/>
  <c r="H302" i="39" s="1"/>
  <c r="I302" i="39" s="1"/>
  <c r="J302" i="39" s="1"/>
  <c r="I303" i="25" s="1"/>
  <c r="E260" i="12"/>
  <c r="G260" i="12" s="1"/>
  <c r="H260" i="12" s="1"/>
  <c r="I260" i="12" s="1"/>
  <c r="J260" i="12" s="1"/>
  <c r="E260" i="39"/>
  <c r="G260" i="39" s="1"/>
  <c r="H260" i="39" s="1"/>
  <c r="I260" i="39" s="1"/>
  <c r="J260" i="39" s="1"/>
  <c r="I261" i="25" s="1"/>
  <c r="E216" i="12"/>
  <c r="G216" i="12" s="1"/>
  <c r="H216" i="12" s="1"/>
  <c r="E216" i="39"/>
  <c r="G216" i="39" s="1"/>
  <c r="H216" i="39" s="1"/>
  <c r="I216" i="39" s="1"/>
  <c r="J216" i="39" s="1"/>
  <c r="I217" i="25" s="1"/>
  <c r="E192" i="12"/>
  <c r="G192" i="12" s="1"/>
  <c r="H192" i="12" s="1"/>
  <c r="I192" i="12" s="1"/>
  <c r="J192" i="12" s="1"/>
  <c r="E192" i="39"/>
  <c r="G192" i="39" s="1"/>
  <c r="H192" i="39" s="1"/>
  <c r="I192" i="39" s="1"/>
  <c r="J192" i="39" s="1"/>
  <c r="I193" i="25" s="1"/>
  <c r="E174" i="12"/>
  <c r="G174" i="12" s="1"/>
  <c r="H174" i="12" s="1"/>
  <c r="I174" i="12" s="1"/>
  <c r="E174" i="39"/>
  <c r="G174" i="39" s="1"/>
  <c r="H174" i="39" s="1"/>
  <c r="I174" i="39" s="1"/>
  <c r="J174" i="39" s="1"/>
  <c r="I175" i="25" s="1"/>
  <c r="E275" i="12"/>
  <c r="G275" i="12" s="1"/>
  <c r="H275" i="12" s="1"/>
  <c r="I275" i="12" s="1"/>
  <c r="J275" i="12" s="1"/>
  <c r="E275" i="39"/>
  <c r="G275" i="39" s="1"/>
  <c r="H275" i="39" s="1"/>
  <c r="I275" i="39" s="1"/>
  <c r="J275" i="39" s="1"/>
  <c r="I276" i="25" s="1"/>
  <c r="E259" i="12"/>
  <c r="G259" i="12" s="1"/>
  <c r="H259" i="12" s="1"/>
  <c r="I259" i="12" s="1"/>
  <c r="E259" i="39"/>
  <c r="G259" i="39" s="1"/>
  <c r="H259" i="39" s="1"/>
  <c r="I259" i="39" s="1"/>
  <c r="J259" i="39" s="1"/>
  <c r="I260" i="25" s="1"/>
  <c r="E243" i="12"/>
  <c r="G243" i="12" s="1"/>
  <c r="H243" i="12" s="1"/>
  <c r="I243" i="12" s="1"/>
  <c r="J243" i="12" s="1"/>
  <c r="E243" i="39"/>
  <c r="G243" i="39" s="1"/>
  <c r="H243" i="39" s="1"/>
  <c r="I243" i="39" s="1"/>
  <c r="J243" i="39" s="1"/>
  <c r="I244" i="25" s="1"/>
  <c r="E227" i="12"/>
  <c r="G227" i="12" s="1"/>
  <c r="H227" i="12" s="1"/>
  <c r="I227" i="12" s="1"/>
  <c r="J227" i="12" s="1"/>
  <c r="E227" i="39"/>
  <c r="G227" i="39" s="1"/>
  <c r="H227" i="39" s="1"/>
  <c r="I227" i="39" s="1"/>
  <c r="J227" i="39" s="1"/>
  <c r="I228" i="25" s="1"/>
  <c r="E211" i="12"/>
  <c r="G211" i="12" s="1"/>
  <c r="H211" i="12" s="1"/>
  <c r="E211" i="39"/>
  <c r="G211" i="39" s="1"/>
  <c r="H211" i="39" s="1"/>
  <c r="I211" i="39" s="1"/>
  <c r="J211" i="39" s="1"/>
  <c r="E191" i="12"/>
  <c r="G191" i="12" s="1"/>
  <c r="H191" i="12" s="1"/>
  <c r="I191" i="12" s="1"/>
  <c r="J191" i="12" s="1"/>
  <c r="E191" i="39"/>
  <c r="G191" i="39" s="1"/>
  <c r="H191" i="39" s="1"/>
  <c r="I191" i="39" s="1"/>
  <c r="J191" i="39" s="1"/>
  <c r="I192" i="25" s="1"/>
  <c r="E274" i="12"/>
  <c r="G274" i="12" s="1"/>
  <c r="H274" i="12" s="1"/>
  <c r="I274" i="12" s="1"/>
  <c r="J274" i="12" s="1"/>
  <c r="E274" i="39"/>
  <c r="G274" i="39" s="1"/>
  <c r="H274" i="39" s="1"/>
  <c r="I274" i="39" s="1"/>
  <c r="J274" i="39" s="1"/>
  <c r="I275" i="25" s="1"/>
  <c r="E258" i="12"/>
  <c r="G258" i="12" s="1"/>
  <c r="H258" i="12" s="1"/>
  <c r="I258" i="12" s="1"/>
  <c r="J258" i="12" s="1"/>
  <c r="E258" i="39"/>
  <c r="G258" i="39" s="1"/>
  <c r="H258" i="39" s="1"/>
  <c r="I258" i="39" s="1"/>
  <c r="J258" i="39" s="1"/>
  <c r="I259" i="25" s="1"/>
  <c r="E242" i="12"/>
  <c r="G242" i="12" s="1"/>
  <c r="H242" i="12" s="1"/>
  <c r="I242" i="12" s="1"/>
  <c r="J242" i="12" s="1"/>
  <c r="E242" i="39"/>
  <c r="G242" i="39" s="1"/>
  <c r="H242" i="39" s="1"/>
  <c r="I242" i="39" s="1"/>
  <c r="J242" i="39" s="1"/>
  <c r="I243" i="25" s="1"/>
  <c r="E226" i="12"/>
  <c r="G226" i="12" s="1"/>
  <c r="H226" i="12" s="1"/>
  <c r="I226" i="12" s="1"/>
  <c r="J226" i="12" s="1"/>
  <c r="E226" i="39"/>
  <c r="G226" i="39" s="1"/>
  <c r="H226" i="39" s="1"/>
  <c r="I226" i="39" s="1"/>
  <c r="J226" i="39" s="1"/>
  <c r="I227" i="25" s="1"/>
  <c r="E210" i="12"/>
  <c r="G210" i="12" s="1"/>
  <c r="H210" i="12" s="1"/>
  <c r="I210" i="12" s="1"/>
  <c r="J210" i="12" s="1"/>
  <c r="E210" i="39"/>
  <c r="G210" i="39" s="1"/>
  <c r="H210" i="39" s="1"/>
  <c r="I210" i="39" s="1"/>
  <c r="J210" i="39" s="1"/>
  <c r="I211" i="25" s="1"/>
  <c r="E194" i="12"/>
  <c r="G194" i="12" s="1"/>
  <c r="H194" i="12" s="1"/>
  <c r="I194" i="12" s="1"/>
  <c r="J194" i="12" s="1"/>
  <c r="E194" i="39"/>
  <c r="G194" i="39" s="1"/>
  <c r="H194" i="39" s="1"/>
  <c r="I194" i="39" s="1"/>
  <c r="J194" i="39" s="1"/>
  <c r="I195" i="25" s="1"/>
  <c r="E178" i="12"/>
  <c r="G178" i="12" s="1"/>
  <c r="H178" i="12" s="1"/>
  <c r="I178" i="12" s="1"/>
  <c r="J178" i="12" s="1"/>
  <c r="E178" i="39"/>
  <c r="G178" i="39" s="1"/>
  <c r="H178" i="39" s="1"/>
  <c r="I178" i="39" s="1"/>
  <c r="J178" i="39" s="1"/>
  <c r="I179" i="25" s="1"/>
  <c r="E209" i="12"/>
  <c r="G209" i="12" s="1"/>
  <c r="H209" i="12" s="1"/>
  <c r="I209" i="12" s="1"/>
  <c r="E209" i="39"/>
  <c r="G209" i="39" s="1"/>
  <c r="H209" i="39" s="1"/>
  <c r="I209" i="39" s="1"/>
  <c r="J209" i="39" s="1"/>
  <c r="I210" i="25" s="1"/>
  <c r="E193" i="12"/>
  <c r="G193" i="12" s="1"/>
  <c r="H193" i="12" s="1"/>
  <c r="I193" i="12" s="1"/>
  <c r="J193" i="12" s="1"/>
  <c r="E193" i="39"/>
  <c r="G193" i="39" s="1"/>
  <c r="H193" i="39" s="1"/>
  <c r="I193" i="39" s="1"/>
  <c r="J193" i="39" s="1"/>
  <c r="I194" i="25" s="1"/>
  <c r="E110" i="12"/>
  <c r="G110" i="12" s="1"/>
  <c r="H110" i="12" s="1"/>
  <c r="I110" i="12" s="1"/>
  <c r="J110" i="12" s="1"/>
  <c r="E110" i="39"/>
  <c r="G110" i="39" s="1"/>
  <c r="H110" i="39" s="1"/>
  <c r="I110" i="39" s="1"/>
  <c r="J110" i="39" s="1"/>
  <c r="I111" i="25" s="1"/>
  <c r="E89" i="12"/>
  <c r="G89" i="12" s="1"/>
  <c r="H89" i="12" s="1"/>
  <c r="I89" i="12" s="1"/>
  <c r="J89" i="12" s="1"/>
  <c r="E89" i="39"/>
  <c r="G89" i="39" s="1"/>
  <c r="H89" i="39" s="1"/>
  <c r="I89" i="39" s="1"/>
  <c r="J89" i="39" s="1"/>
  <c r="I90" i="25" s="1"/>
  <c r="E93" i="12"/>
  <c r="G93" i="12" s="1"/>
  <c r="H93" i="12" s="1"/>
  <c r="E93" i="39"/>
  <c r="G93" i="39" s="1"/>
  <c r="H93" i="39" s="1"/>
  <c r="I93" i="39" s="1"/>
  <c r="J93" i="39" s="1"/>
  <c r="I94" i="25" s="1"/>
  <c r="E170" i="12"/>
  <c r="G170" i="12" s="1"/>
  <c r="H170" i="12" s="1"/>
  <c r="I170" i="12" s="1"/>
  <c r="J170" i="12" s="1"/>
  <c r="E170" i="39"/>
  <c r="G170" i="39" s="1"/>
  <c r="H170" i="39" s="1"/>
  <c r="I170" i="39" s="1"/>
  <c r="J170" i="39" s="1"/>
  <c r="I171" i="25" s="1"/>
  <c r="E154" i="12"/>
  <c r="G154" i="12" s="1"/>
  <c r="H154" i="12" s="1"/>
  <c r="I154" i="12" s="1"/>
  <c r="J154" i="12" s="1"/>
  <c r="E154" i="39"/>
  <c r="G154" i="39" s="1"/>
  <c r="H154" i="39" s="1"/>
  <c r="I154" i="39" s="1"/>
  <c r="J154" i="39" s="1"/>
  <c r="I155" i="25" s="1"/>
  <c r="E138" i="12"/>
  <c r="G138" i="12" s="1"/>
  <c r="H138" i="12" s="1"/>
  <c r="I138" i="12" s="1"/>
  <c r="J138" i="12" s="1"/>
  <c r="E138" i="39"/>
  <c r="G138" i="39" s="1"/>
  <c r="H138" i="39" s="1"/>
  <c r="I138" i="39" s="1"/>
  <c r="J138" i="39" s="1"/>
  <c r="I139" i="25" s="1"/>
  <c r="E122" i="12"/>
  <c r="G122" i="12" s="1"/>
  <c r="H122" i="12" s="1"/>
  <c r="I122" i="12" s="1"/>
  <c r="E122" i="39"/>
  <c r="G122" i="39" s="1"/>
  <c r="H122" i="39" s="1"/>
  <c r="I122" i="39" s="1"/>
  <c r="J122" i="39" s="1"/>
  <c r="I123" i="25" s="1"/>
  <c r="E105" i="12"/>
  <c r="G105" i="12" s="1"/>
  <c r="H105" i="12" s="1"/>
  <c r="I105" i="12" s="1"/>
  <c r="E105" i="39"/>
  <c r="G105" i="39" s="1"/>
  <c r="H105" i="39" s="1"/>
  <c r="I105" i="39" s="1"/>
  <c r="J105" i="39" s="1"/>
  <c r="I106" i="25" s="1"/>
  <c r="E65" i="12"/>
  <c r="G65" i="12" s="1"/>
  <c r="H65" i="12" s="1"/>
  <c r="I65" i="12" s="1"/>
  <c r="J65" i="12" s="1"/>
  <c r="E65" i="39"/>
  <c r="G65" i="39" s="1"/>
  <c r="H65" i="39" s="1"/>
  <c r="I65" i="39" s="1"/>
  <c r="J65" i="39" s="1"/>
  <c r="I66" i="25" s="1"/>
  <c r="E165" i="12"/>
  <c r="G165" i="12" s="1"/>
  <c r="H165" i="12" s="1"/>
  <c r="I165" i="12" s="1"/>
  <c r="J165" i="12" s="1"/>
  <c r="E165" i="39"/>
  <c r="G165" i="39" s="1"/>
  <c r="H165" i="39" s="1"/>
  <c r="I165" i="39" s="1"/>
  <c r="J165" i="39" s="1"/>
  <c r="I166" i="25" s="1"/>
  <c r="E149" i="12"/>
  <c r="G149" i="12" s="1"/>
  <c r="H149" i="12" s="1"/>
  <c r="I149" i="12" s="1"/>
  <c r="E149" i="39"/>
  <c r="G149" i="39" s="1"/>
  <c r="H149" i="39" s="1"/>
  <c r="I149" i="39" s="1"/>
  <c r="J149" i="39" s="1"/>
  <c r="I150" i="25" s="1"/>
  <c r="E133" i="12"/>
  <c r="G133" i="12" s="1"/>
  <c r="H133" i="12" s="1"/>
  <c r="I133" i="12" s="1"/>
  <c r="J133" i="12" s="1"/>
  <c r="E133" i="39"/>
  <c r="G133" i="39" s="1"/>
  <c r="H133" i="39" s="1"/>
  <c r="I133" i="39" s="1"/>
  <c r="J133" i="39" s="1"/>
  <c r="I134" i="25" s="1"/>
  <c r="E85" i="12"/>
  <c r="G85" i="12" s="1"/>
  <c r="H85" i="12" s="1"/>
  <c r="I85" i="12" s="1"/>
  <c r="J85" i="12" s="1"/>
  <c r="E85" i="39"/>
  <c r="G85" i="39" s="1"/>
  <c r="H85" i="39" s="1"/>
  <c r="I85" i="39" s="1"/>
  <c r="J85" i="39" s="1"/>
  <c r="I86" i="25" s="1"/>
  <c r="E29" i="12"/>
  <c r="G29" i="12" s="1"/>
  <c r="H29" i="12" s="1"/>
  <c r="I29" i="12" s="1"/>
  <c r="J29" i="12" s="1"/>
  <c r="E29" i="39"/>
  <c r="G29" i="39" s="1"/>
  <c r="H29" i="39" s="1"/>
  <c r="I29" i="39" s="1"/>
  <c r="J29" i="39" s="1"/>
  <c r="I30" i="25" s="1"/>
  <c r="E13" i="12"/>
  <c r="G13" i="12" s="1"/>
  <c r="H13" i="12" s="1"/>
  <c r="I13" i="12" s="1"/>
  <c r="J13" i="12" s="1"/>
  <c r="E13" i="39"/>
  <c r="G13" i="39" s="1"/>
  <c r="H13" i="39" s="1"/>
  <c r="I13" i="39" s="1"/>
  <c r="J13" i="39" s="1"/>
  <c r="I14" i="25" s="1"/>
  <c r="E86" i="12"/>
  <c r="G86" i="12" s="1"/>
  <c r="H86" i="12" s="1"/>
  <c r="I86" i="12" s="1"/>
  <c r="J86" i="12" s="1"/>
  <c r="E86" i="39"/>
  <c r="G86" i="39" s="1"/>
  <c r="H86" i="39" s="1"/>
  <c r="I86" i="39" s="1"/>
  <c r="J86" i="39" s="1"/>
  <c r="I87" i="25" s="1"/>
  <c r="E70" i="12"/>
  <c r="G70" i="12" s="1"/>
  <c r="H70" i="12" s="1"/>
  <c r="I70" i="12" s="1"/>
  <c r="J70" i="12" s="1"/>
  <c r="E70" i="39"/>
  <c r="G70" i="39" s="1"/>
  <c r="H70" i="39" s="1"/>
  <c r="I70" i="39" s="1"/>
  <c r="J70" i="39" s="1"/>
  <c r="I71" i="25" s="1"/>
  <c r="E54" i="12"/>
  <c r="G54" i="12" s="1"/>
  <c r="H54" i="12" s="1"/>
  <c r="I54" i="12" s="1"/>
  <c r="J54" i="12" s="1"/>
  <c r="E54" i="39"/>
  <c r="G54" i="39" s="1"/>
  <c r="H54" i="39" s="1"/>
  <c r="I54" i="39" s="1"/>
  <c r="J54" i="39" s="1"/>
  <c r="I55" i="25" s="1"/>
  <c r="E38" i="12"/>
  <c r="G38" i="12" s="1"/>
  <c r="H38" i="12" s="1"/>
  <c r="I38" i="12" s="1"/>
  <c r="J38" i="12" s="1"/>
  <c r="E38" i="39"/>
  <c r="G38" i="39" s="1"/>
  <c r="H38" i="39" s="1"/>
  <c r="I38" i="39" s="1"/>
  <c r="J38" i="39" s="1"/>
  <c r="I39" i="25" s="1"/>
  <c r="E22" i="12"/>
  <c r="G22" i="12" s="1"/>
  <c r="H22" i="12" s="1"/>
  <c r="I22" i="12" s="1"/>
  <c r="E22" i="39"/>
  <c r="G22" i="39" s="1"/>
  <c r="H22" i="39" s="1"/>
  <c r="I22" i="39" s="1"/>
  <c r="J22" i="39" s="1"/>
  <c r="I23" i="25" s="1"/>
  <c r="E6" i="12"/>
  <c r="G6" i="12" s="1"/>
  <c r="H6" i="12" s="1"/>
  <c r="I6" i="12" s="1"/>
  <c r="J6" i="12" s="1"/>
  <c r="E6" i="39"/>
  <c r="G6" i="39" s="1"/>
  <c r="H6" i="39" s="1"/>
  <c r="I6" i="39" s="1"/>
  <c r="J6" i="39" s="1"/>
  <c r="I7" i="25" s="1"/>
  <c r="I19" i="12"/>
  <c r="J19" i="12" s="1"/>
  <c r="I56" i="12"/>
  <c r="J56" i="12" s="1"/>
  <c r="I168" i="12"/>
  <c r="I91" i="12"/>
  <c r="J91" i="12" s="1"/>
  <c r="I144" i="12"/>
  <c r="J144" i="12" s="1"/>
  <c r="I257" i="12"/>
  <c r="I36" i="12"/>
  <c r="J36" i="12" s="1"/>
  <c r="I123" i="12"/>
  <c r="J123" i="12" s="1"/>
  <c r="I236" i="12"/>
  <c r="I87" i="12"/>
  <c r="J87" i="12" s="1"/>
  <c r="I128" i="12"/>
  <c r="J128" i="12" s="1"/>
  <c r="I241" i="12"/>
  <c r="I286" i="12"/>
  <c r="J286" i="12" s="1"/>
  <c r="I298" i="12"/>
  <c r="J298" i="12" s="1"/>
  <c r="I188" i="12"/>
  <c r="J188" i="12" s="1"/>
  <c r="I255" i="12"/>
  <c r="J255" i="12" s="1"/>
  <c r="I254" i="12"/>
  <c r="J254" i="12" s="1"/>
  <c r="I206" i="12"/>
  <c r="J206" i="12" s="1"/>
  <c r="I177" i="12"/>
  <c r="J177" i="12" s="1"/>
  <c r="I109" i="12"/>
  <c r="J109" i="12" s="1"/>
  <c r="I77" i="12"/>
  <c r="J77" i="12" s="1"/>
  <c r="I150" i="12"/>
  <c r="J150" i="12" s="1"/>
  <c r="I98" i="12"/>
  <c r="J98" i="12" s="1"/>
  <c r="I49" i="12"/>
  <c r="J49" i="12" s="1"/>
  <c r="I145" i="12"/>
  <c r="J145" i="12" s="1"/>
  <c r="I129" i="12"/>
  <c r="J129" i="12" s="1"/>
  <c r="I69" i="12"/>
  <c r="J69" i="12" s="1"/>
  <c r="I9" i="12"/>
  <c r="J9" i="12" s="1"/>
  <c r="I82" i="12"/>
  <c r="J82" i="12" s="1"/>
  <c r="I66" i="12"/>
  <c r="J66" i="12" s="1"/>
  <c r="I34" i="12"/>
  <c r="J34" i="12" s="1"/>
  <c r="I18" i="12"/>
  <c r="J18" i="12" s="1"/>
  <c r="I52" i="12"/>
  <c r="J52" i="12" s="1"/>
  <c r="I83" i="12"/>
  <c r="J83" i="12" s="1"/>
  <c r="I139" i="12"/>
  <c r="I268" i="12"/>
  <c r="J268" i="12" s="1"/>
  <c r="I256" i="12"/>
  <c r="J256" i="12" s="1"/>
  <c r="I288" i="12"/>
  <c r="J288" i="12" s="1"/>
  <c r="I27" i="12"/>
  <c r="J27" i="12" s="1"/>
  <c r="I31" i="12"/>
  <c r="J31" i="12" s="1"/>
  <c r="I179" i="12"/>
  <c r="J179" i="12" s="1"/>
  <c r="I244" i="12"/>
  <c r="I287" i="12"/>
  <c r="J287" i="12" s="1"/>
  <c r="I80" i="12"/>
  <c r="J80" i="12" s="1"/>
  <c r="I100" i="12"/>
  <c r="I147" i="12"/>
  <c r="J147" i="12" s="1"/>
  <c r="I225" i="12"/>
  <c r="J225" i="12" s="1"/>
  <c r="I107" i="12"/>
  <c r="J107" i="12" s="1"/>
  <c r="I11" i="12"/>
  <c r="J11" i="12" s="1"/>
  <c r="I15" i="12"/>
  <c r="J15" i="12" s="1"/>
  <c r="I232" i="12"/>
  <c r="J232" i="12" s="1"/>
  <c r="I269" i="12"/>
  <c r="J269" i="12" s="1"/>
  <c r="I305" i="12"/>
  <c r="J305" i="12" s="1"/>
  <c r="I224" i="12"/>
  <c r="J224" i="12" s="1"/>
  <c r="I267" i="12"/>
  <c r="J267" i="12" s="1"/>
  <c r="I235" i="12"/>
  <c r="J235" i="12" s="1"/>
  <c r="I266" i="12"/>
  <c r="J266" i="12" s="1"/>
  <c r="I202" i="12"/>
  <c r="J202" i="12" s="1"/>
  <c r="I201" i="12"/>
  <c r="I113" i="12"/>
  <c r="J113" i="12" s="1"/>
  <c r="I157" i="12"/>
  <c r="I21" i="12"/>
  <c r="J21" i="12" s="1"/>
  <c r="I14" i="12"/>
  <c r="I51" i="12"/>
  <c r="J51" i="12" s="1"/>
  <c r="I203" i="12"/>
  <c r="J203" i="12" s="1"/>
  <c r="I120" i="12"/>
  <c r="J120" i="12" s="1"/>
  <c r="I204" i="12"/>
  <c r="J204" i="12" s="1"/>
  <c r="I67" i="12"/>
  <c r="J67" i="12" s="1"/>
  <c r="I183" i="12"/>
  <c r="I75" i="12"/>
  <c r="J75" i="12" s="1"/>
  <c r="I127" i="12"/>
  <c r="I311" i="12"/>
  <c r="J311" i="12" s="1"/>
  <c r="I212" i="12"/>
  <c r="I239" i="12"/>
  <c r="J239" i="12" s="1"/>
  <c r="I187" i="12"/>
  <c r="J187" i="12" s="1"/>
  <c r="I222" i="12"/>
  <c r="J222" i="12" s="1"/>
  <c r="I205" i="12"/>
  <c r="I114" i="12"/>
  <c r="J114" i="12" s="1"/>
  <c r="I84" i="12"/>
  <c r="J84" i="12" s="1"/>
  <c r="I39" i="12"/>
  <c r="J39" i="12" s="1"/>
  <c r="I8" i="12"/>
  <c r="J8" i="12" s="1"/>
  <c r="I44" i="12"/>
  <c r="J44" i="12" s="1"/>
  <c r="I284" i="12"/>
  <c r="J284" i="12" s="1"/>
  <c r="I306" i="12"/>
  <c r="J306" i="12" s="1"/>
  <c r="I195" i="12"/>
  <c r="J195" i="12" s="1"/>
  <c r="I185" i="12"/>
  <c r="J185" i="12" s="1"/>
  <c r="I137" i="12"/>
  <c r="J137" i="12" s="1"/>
  <c r="I10" i="12"/>
  <c r="J10" i="12" s="1"/>
  <c r="I32" i="12"/>
  <c r="J32" i="12" s="1"/>
  <c r="I167" i="12"/>
  <c r="J167" i="12" s="1"/>
  <c r="I272" i="12"/>
  <c r="J272" i="12" s="1"/>
  <c r="I312" i="12"/>
  <c r="J312" i="12" s="1"/>
  <c r="I104" i="12"/>
  <c r="J104" i="12" s="1"/>
  <c r="I143" i="12"/>
  <c r="J143" i="12" s="1"/>
  <c r="I253" i="12"/>
  <c r="J253" i="12" s="1"/>
  <c r="I48" i="12"/>
  <c r="J48" i="12" s="1"/>
  <c r="I72" i="12"/>
  <c r="J72" i="12" s="1"/>
  <c r="I233" i="12"/>
  <c r="J233" i="12" s="1"/>
  <c r="I300" i="12"/>
  <c r="I111" i="12"/>
  <c r="J111" i="12" s="1"/>
  <c r="I180" i="12"/>
  <c r="J180" i="12" s="1"/>
  <c r="I280" i="12"/>
  <c r="J280" i="12" s="1"/>
  <c r="I293" i="12"/>
  <c r="J293" i="12" s="1"/>
  <c r="I228" i="12"/>
  <c r="J228" i="12" s="1"/>
  <c r="I173" i="12"/>
  <c r="I271" i="12"/>
  <c r="J271" i="12" s="1"/>
  <c r="I223" i="12"/>
  <c r="J223" i="12" s="1"/>
  <c r="I270" i="12"/>
  <c r="I238" i="12"/>
  <c r="J238" i="12" s="1"/>
  <c r="I190" i="12"/>
  <c r="J190" i="12" s="1"/>
  <c r="I189" i="12"/>
  <c r="J189" i="12" s="1"/>
  <c r="I73" i="12"/>
  <c r="J73" i="12" s="1"/>
  <c r="I166" i="12"/>
  <c r="J166" i="12" s="1"/>
  <c r="I134" i="12"/>
  <c r="J134" i="12" s="1"/>
  <c r="I161" i="12"/>
  <c r="J161" i="12" s="1"/>
  <c r="I96" i="12"/>
  <c r="J96" i="12" s="1"/>
  <c r="I163" i="12"/>
  <c r="J163" i="12" s="1"/>
  <c r="I60" i="12"/>
  <c r="J60" i="12" s="1"/>
  <c r="I99" i="12"/>
  <c r="J99" i="12" s="1"/>
  <c r="I116" i="12"/>
  <c r="J116" i="12" s="1"/>
  <c r="I20" i="12"/>
  <c r="J20" i="12" s="1"/>
  <c r="I308" i="12"/>
  <c r="J308" i="12" s="1"/>
  <c r="I71" i="12"/>
  <c r="J71" i="12" s="1"/>
  <c r="I176" i="12"/>
  <c r="J176" i="12" s="1"/>
  <c r="I216" i="12"/>
  <c r="J216" i="12" s="1"/>
  <c r="I211" i="12"/>
  <c r="J211" i="12" s="1"/>
  <c r="I93" i="12"/>
  <c r="J93" i="12" s="1"/>
  <c r="F41" i="48"/>
  <c r="G76" i="25"/>
  <c r="G19" i="25"/>
  <c r="G153" i="25"/>
  <c r="G169" i="25"/>
  <c r="G287" i="25"/>
  <c r="G38" i="25"/>
  <c r="G18" i="25"/>
  <c r="G222" i="25"/>
  <c r="G307" i="25"/>
  <c r="G251" i="25"/>
  <c r="G35" i="25"/>
  <c r="G289" i="25"/>
  <c r="G102" i="25"/>
  <c r="G217" i="25"/>
  <c r="G62" i="25"/>
  <c r="G106" i="25"/>
  <c r="G195" i="25"/>
  <c r="G155" i="25"/>
  <c r="G300" i="25"/>
  <c r="G247" i="25"/>
  <c r="G259" i="25"/>
  <c r="G86" i="25"/>
  <c r="G176" i="25"/>
  <c r="G28" i="25"/>
  <c r="G79" i="25"/>
  <c r="G254" i="25"/>
  <c r="G49" i="25"/>
  <c r="G242" i="25"/>
  <c r="G227" i="25"/>
  <c r="G67" i="25"/>
  <c r="G231" i="25"/>
  <c r="G193" i="25"/>
  <c r="G91" i="25"/>
  <c r="G197" i="25"/>
  <c r="G265" i="25"/>
  <c r="G119" i="25"/>
  <c r="G157" i="25"/>
  <c r="G244" i="25"/>
  <c r="G90" i="25"/>
  <c r="G101" i="25"/>
  <c r="G146" i="25"/>
  <c r="G61" i="25"/>
  <c r="G261" i="25"/>
  <c r="G133" i="25"/>
  <c r="G164" i="25"/>
  <c r="G238" i="25"/>
  <c r="G302" i="25"/>
  <c r="G64" i="25"/>
  <c r="G46" i="25"/>
  <c r="G87" i="25"/>
  <c r="G262" i="25"/>
  <c r="G249" i="25"/>
  <c r="G171" i="25"/>
  <c r="G39" i="25"/>
  <c r="G239" i="25"/>
  <c r="G27" i="25"/>
  <c r="G170" i="25"/>
  <c r="G313" i="25"/>
  <c r="G232" i="25"/>
  <c r="G303" i="25"/>
  <c r="G210" i="25"/>
  <c r="G260" i="25"/>
  <c r="G245" i="25"/>
  <c r="G168" i="25"/>
  <c r="G81" i="25"/>
  <c r="G122" i="25"/>
  <c r="G274" i="25"/>
  <c r="G198" i="25"/>
  <c r="G185" i="25"/>
  <c r="G145" i="25"/>
  <c r="G250" i="25"/>
  <c r="G183" i="25"/>
  <c r="G53" i="25"/>
  <c r="G199" i="25"/>
  <c r="G151" i="25"/>
  <c r="G85" i="25"/>
  <c r="G276" i="25"/>
  <c r="G134" i="25"/>
  <c r="G138" i="25"/>
  <c r="G186" i="25"/>
  <c r="G127" i="25"/>
  <c r="G175" i="25"/>
  <c r="G73" i="25"/>
  <c r="G288" i="25"/>
  <c r="G20" i="25"/>
  <c r="G264" i="25"/>
  <c r="G207" i="25"/>
  <c r="G285" i="25"/>
  <c r="G159" i="25"/>
  <c r="G23" i="25"/>
  <c r="G63" i="25"/>
  <c r="G179" i="25"/>
  <c r="G213" i="25"/>
  <c r="G298" i="25"/>
  <c r="G268" i="25"/>
  <c r="G309" i="25"/>
  <c r="G202" i="25"/>
  <c r="G229" i="25"/>
  <c r="G194" i="25"/>
  <c r="G10" i="25"/>
  <c r="G124" i="25"/>
  <c r="G237" i="25"/>
  <c r="G191" i="25"/>
  <c r="G22" i="25"/>
  <c r="G125" i="25"/>
  <c r="G212" i="25"/>
  <c r="G156" i="25"/>
  <c r="G83" i="25"/>
  <c r="G16" i="25"/>
  <c r="G108" i="25"/>
  <c r="G200" i="25"/>
  <c r="G118" i="25"/>
  <c r="G284" i="25"/>
  <c r="G123" i="25"/>
  <c r="G78" i="25"/>
  <c r="G21" i="25"/>
  <c r="G180" i="25"/>
  <c r="G51" i="25"/>
  <c r="G255" i="25"/>
  <c r="G236" i="25"/>
  <c r="G220" i="25"/>
  <c r="G142" i="25"/>
  <c r="G223" i="25"/>
  <c r="G97" i="25"/>
  <c r="G178" i="25"/>
  <c r="G17" i="25"/>
  <c r="G312" i="25"/>
  <c r="G258" i="25"/>
  <c r="G181" i="25"/>
  <c r="G95" i="25"/>
  <c r="G248" i="25"/>
  <c r="G158" i="25"/>
  <c r="G161" i="25"/>
  <c r="G230" i="25"/>
  <c r="G252" i="25"/>
  <c r="G270" i="25"/>
  <c r="G294" i="25"/>
  <c r="G283" i="25"/>
  <c r="G70" i="25"/>
  <c r="G257" i="25"/>
  <c r="G66" i="25"/>
  <c r="G80" i="25"/>
  <c r="G100" i="25"/>
  <c r="G45" i="25"/>
  <c r="G25" i="25"/>
  <c r="G301" i="25"/>
  <c r="G215" i="25"/>
  <c r="G189" i="25"/>
  <c r="G204" i="25"/>
  <c r="G14" i="25"/>
  <c r="G107" i="25"/>
  <c r="G163" i="25"/>
  <c r="G235" i="25"/>
  <c r="G280" i="25"/>
  <c r="G30" i="25"/>
  <c r="G266" i="25"/>
  <c r="G154" i="25"/>
  <c r="G218" i="25"/>
  <c r="G282" i="25"/>
  <c r="G8" i="25"/>
  <c r="G29" i="25"/>
  <c r="G137" i="25"/>
  <c r="G139" i="25"/>
  <c r="G272" i="25"/>
  <c r="G116" i="25"/>
  <c r="G177" i="25"/>
  <c r="G13" i="25"/>
  <c r="G174" i="25"/>
  <c r="G37" i="25"/>
  <c r="G9" i="25"/>
  <c r="G314" i="25"/>
  <c r="G55" i="25"/>
  <c r="G24" i="25"/>
  <c r="G166" i="25"/>
  <c r="G225" i="25"/>
  <c r="G226" i="25"/>
  <c r="G113" i="25"/>
  <c r="G188" i="25"/>
  <c r="G297" i="25"/>
  <c r="G48" i="25"/>
  <c r="G224" i="25"/>
  <c r="G148" i="25"/>
  <c r="G167" i="25"/>
  <c r="G234" i="25"/>
  <c r="I57" i="25"/>
  <c r="G57" i="25"/>
  <c r="G75" i="25"/>
  <c r="G50" i="25"/>
  <c r="G211" i="25"/>
  <c r="G216" i="25"/>
  <c r="G71" i="25"/>
  <c r="G88" i="25"/>
  <c r="F315" i="25"/>
  <c r="D314" i="12"/>
  <c r="D314" i="39"/>
  <c r="G96" i="25"/>
  <c r="G140" i="25"/>
  <c r="G278" i="25"/>
  <c r="G206" i="25"/>
  <c r="G279" i="25"/>
  <c r="G208" i="25"/>
  <c r="G228" i="25"/>
  <c r="G7" i="25"/>
  <c r="G150" i="25"/>
  <c r="G41" i="25"/>
  <c r="G311" i="25"/>
  <c r="G310" i="25"/>
  <c r="G190" i="25"/>
  <c r="G269" i="25"/>
  <c r="G293" i="25"/>
  <c r="G115" i="25"/>
  <c r="G58" i="25"/>
  <c r="G54" i="25"/>
  <c r="G271" i="25"/>
  <c r="G165" i="25"/>
  <c r="G47" i="25"/>
  <c r="G182" i="25"/>
  <c r="G308" i="25"/>
  <c r="G11" i="25"/>
  <c r="G136" i="25"/>
  <c r="G192" i="25"/>
  <c r="G152" i="25"/>
  <c r="G130" i="25"/>
  <c r="G187" i="25"/>
  <c r="G277" i="25"/>
  <c r="G292" i="25"/>
  <c r="G34" i="25"/>
  <c r="G147" i="25"/>
  <c r="G241" i="25"/>
  <c r="G72" i="25"/>
  <c r="G44" i="25"/>
  <c r="G295" i="25"/>
  <c r="G103" i="25"/>
  <c r="G205" i="25"/>
  <c r="G214" i="25"/>
  <c r="G273" i="25"/>
  <c r="G77" i="25"/>
  <c r="G256" i="25"/>
  <c r="G243" i="25"/>
  <c r="G296" i="25"/>
  <c r="G84" i="25"/>
  <c r="G104" i="25"/>
  <c r="G144" i="25"/>
  <c r="G246" i="25"/>
  <c r="G59" i="25"/>
  <c r="G143" i="25"/>
  <c r="G149" i="25"/>
  <c r="G26" i="25"/>
  <c r="G94" i="25"/>
  <c r="G111" i="25"/>
  <c r="G162" i="25"/>
  <c r="G196" i="25"/>
  <c r="G275" i="25"/>
  <c r="G201" i="25"/>
  <c r="G109" i="25"/>
  <c r="G121" i="25"/>
  <c r="G299" i="25"/>
  <c r="G31" i="25"/>
  <c r="G40" i="25"/>
  <c r="G128" i="25"/>
  <c r="G99" i="25"/>
  <c r="G209" i="25"/>
  <c r="G291" i="25"/>
  <c r="G52" i="25"/>
  <c r="G267" i="25"/>
  <c r="G286" i="25"/>
  <c r="G74" i="25"/>
  <c r="G141" i="25"/>
  <c r="G89" i="25"/>
  <c r="G93" i="25"/>
  <c r="G12" i="25"/>
  <c r="G219" i="25"/>
  <c r="G42" i="25"/>
  <c r="G43" i="25"/>
  <c r="G203" i="25"/>
  <c r="G263" i="25"/>
  <c r="G126" i="25"/>
  <c r="G233" i="25"/>
  <c r="G160" i="25"/>
  <c r="G306" i="25"/>
  <c r="G33" i="25"/>
  <c r="G105" i="25"/>
  <c r="G69" i="25"/>
  <c r="G82" i="25"/>
  <c r="G132" i="25"/>
  <c r="G117" i="25"/>
  <c r="G110" i="25"/>
  <c r="G281" i="25"/>
  <c r="G68" i="25"/>
  <c r="G173" i="25"/>
  <c r="G120" i="25"/>
  <c r="G92" i="25"/>
  <c r="I92" i="25"/>
  <c r="G112" i="25"/>
  <c r="G65" i="25"/>
  <c r="G184" i="25"/>
  <c r="G98" i="25"/>
  <c r="G172" i="25"/>
  <c r="G56" i="25"/>
  <c r="G253" i="25"/>
  <c r="G114" i="25"/>
  <c r="G221" i="25"/>
  <c r="G240" i="25"/>
  <c r="G304" i="25"/>
  <c r="G129" i="25"/>
  <c r="G32" i="25"/>
  <c r="G135" i="25"/>
  <c r="G305" i="25"/>
  <c r="G131" i="25"/>
  <c r="G60" i="25"/>
  <c r="G36" i="25"/>
  <c r="G290" i="25"/>
  <c r="I16" i="34"/>
  <c r="E325" i="34"/>
  <c r="G15" i="25"/>
  <c r="K19" i="12" l="1"/>
  <c r="K247" i="12"/>
  <c r="K298" i="12"/>
  <c r="K302" i="12"/>
  <c r="K73" i="12"/>
  <c r="K118" i="12"/>
  <c r="K37" i="12"/>
  <c r="K59" i="12"/>
  <c r="K184" i="12"/>
  <c r="K107" i="12"/>
  <c r="K252" i="12"/>
  <c r="K267" i="12"/>
  <c r="K179" i="12"/>
  <c r="K93" i="12"/>
  <c r="K163" i="12"/>
  <c r="K72" i="12"/>
  <c r="K106" i="12"/>
  <c r="K303" i="12"/>
  <c r="K203" i="12"/>
  <c r="K227" i="12"/>
  <c r="K176" i="12"/>
  <c r="K112" i="12"/>
  <c r="K119" i="12"/>
  <c r="K293" i="12"/>
  <c r="K32" i="12"/>
  <c r="K196" i="12"/>
  <c r="K80" i="12"/>
  <c r="K66" i="12"/>
  <c r="K70" i="12"/>
  <c r="K79" i="12"/>
  <c r="K169" i="12"/>
  <c r="K45" i="12"/>
  <c r="K264" i="12"/>
  <c r="K84" i="12"/>
  <c r="K21" i="12"/>
  <c r="K266" i="12"/>
  <c r="K305" i="12"/>
  <c r="J201" i="12"/>
  <c r="K201" i="12"/>
  <c r="J168" i="12"/>
  <c r="K168" i="12"/>
  <c r="J151" i="12"/>
  <c r="K151" i="12"/>
  <c r="J142" i="12"/>
  <c r="K142" i="12"/>
  <c r="J221" i="12"/>
  <c r="K221" i="12"/>
  <c r="J14" i="12"/>
  <c r="K14" i="12"/>
  <c r="J182" i="12"/>
  <c r="K182" i="12"/>
  <c r="J139" i="12"/>
  <c r="K139" i="12"/>
  <c r="J257" i="12"/>
  <c r="K257" i="12"/>
  <c r="J92" i="12"/>
  <c r="K92" i="12"/>
  <c r="J149" i="12"/>
  <c r="K149" i="12"/>
  <c r="J309" i="12"/>
  <c r="K309" i="12"/>
  <c r="J292" i="12"/>
  <c r="K292" i="12"/>
  <c r="J212" i="12"/>
  <c r="K212" i="12"/>
  <c r="J244" i="12"/>
  <c r="K244" i="12"/>
  <c r="J236" i="12"/>
  <c r="K236" i="12"/>
  <c r="J22" i="12"/>
  <c r="K22" i="12"/>
  <c r="J259" i="12"/>
  <c r="K259" i="12"/>
  <c r="J278" i="12"/>
  <c r="K278" i="12"/>
  <c r="J136" i="12"/>
  <c r="K136" i="12"/>
  <c r="J173" i="12"/>
  <c r="K173" i="12"/>
  <c r="J279" i="12"/>
  <c r="K279" i="12"/>
  <c r="J100" i="12"/>
  <c r="K100" i="12"/>
  <c r="J241" i="12"/>
  <c r="K241" i="12"/>
  <c r="K226" i="12"/>
  <c r="K156" i="12"/>
  <c r="K229" i="12"/>
  <c r="K166" i="12"/>
  <c r="K180" i="12"/>
  <c r="K253" i="12"/>
  <c r="K58" i="12"/>
  <c r="K249" i="12"/>
  <c r="K125" i="12"/>
  <c r="K269" i="12"/>
  <c r="K98" i="12"/>
  <c r="K277" i="12"/>
  <c r="K171" i="12"/>
  <c r="K153" i="12"/>
  <c r="K81" i="12"/>
  <c r="K282" i="12"/>
  <c r="J105" i="12"/>
  <c r="K105" i="12"/>
  <c r="K110" i="12"/>
  <c r="J174" i="12"/>
  <c r="K174" i="12"/>
  <c r="K35" i="12"/>
  <c r="J261" i="12"/>
  <c r="K261" i="12"/>
  <c r="J276" i="12"/>
  <c r="K276" i="12"/>
  <c r="J270" i="12"/>
  <c r="K270" i="12"/>
  <c r="J300" i="12"/>
  <c r="K300" i="12"/>
  <c r="K104" i="12"/>
  <c r="K26" i="12"/>
  <c r="J101" i="12"/>
  <c r="K101" i="12"/>
  <c r="J290" i="12"/>
  <c r="K290" i="12"/>
  <c r="K265" i="12"/>
  <c r="J183" i="12"/>
  <c r="K183" i="12"/>
  <c r="J157" i="12"/>
  <c r="K157" i="12"/>
  <c r="J122" i="12"/>
  <c r="K122" i="12"/>
  <c r="J55" i="12"/>
  <c r="K55" i="12"/>
  <c r="J208" i="12"/>
  <c r="K208" i="12"/>
  <c r="J291" i="12"/>
  <c r="K291" i="12"/>
  <c r="J43" i="12"/>
  <c r="K43" i="12"/>
  <c r="J90" i="12"/>
  <c r="K90" i="12"/>
  <c r="J214" i="12"/>
  <c r="K214" i="12"/>
  <c r="J127" i="12"/>
  <c r="K127" i="12"/>
  <c r="J46" i="12"/>
  <c r="K46" i="12"/>
  <c r="K13" i="12"/>
  <c r="J209" i="12"/>
  <c r="K209" i="12"/>
  <c r="J295" i="12"/>
  <c r="K295" i="12"/>
  <c r="J115" i="12"/>
  <c r="K115" i="12"/>
  <c r="K148" i="12"/>
  <c r="K121" i="12"/>
  <c r="J230" i="12"/>
  <c r="K230" i="12"/>
  <c r="J132" i="12"/>
  <c r="K132" i="12"/>
  <c r="J205" i="12"/>
  <c r="K205" i="12"/>
  <c r="K280" i="12"/>
  <c r="K42" i="12"/>
  <c r="K158" i="12"/>
  <c r="K124" i="12"/>
  <c r="K44" i="12"/>
  <c r="K63" i="12"/>
  <c r="K75" i="12"/>
  <c r="K204" i="12"/>
  <c r="K78" i="12"/>
  <c r="K97" i="12"/>
  <c r="K130" i="12"/>
  <c r="K235" i="12"/>
  <c r="K310" i="12"/>
  <c r="K15" i="12"/>
  <c r="K147" i="12"/>
  <c r="K288" i="12"/>
  <c r="K64" i="12"/>
  <c r="K25" i="12"/>
  <c r="K255" i="12"/>
  <c r="K123" i="12"/>
  <c r="K202" i="12"/>
  <c r="K224" i="12"/>
  <c r="K159" i="12"/>
  <c r="K27" i="12"/>
  <c r="K83" i="12"/>
  <c r="K52" i="12"/>
  <c r="K9" i="12"/>
  <c r="K69" i="12"/>
  <c r="K77" i="12"/>
  <c r="N7" i="13"/>
  <c r="N39" i="13"/>
  <c r="N71" i="13"/>
  <c r="N14" i="13"/>
  <c r="N86" i="13"/>
  <c r="N150" i="13"/>
  <c r="N66" i="13"/>
  <c r="N123" i="13"/>
  <c r="N155" i="13"/>
  <c r="N94" i="13"/>
  <c r="N111" i="13"/>
  <c r="N210" i="13"/>
  <c r="N195" i="13"/>
  <c r="N227" i="13"/>
  <c r="N259" i="13"/>
  <c r="N192" i="13"/>
  <c r="N228" i="13"/>
  <c r="N260" i="13"/>
  <c r="N175" i="13"/>
  <c r="N217" i="13"/>
  <c r="N303" i="13"/>
  <c r="N290" i="13"/>
  <c r="N249" i="13"/>
  <c r="N157" i="13"/>
  <c r="N80" i="13"/>
  <c r="N56" i="13"/>
  <c r="N297" i="13"/>
  <c r="N253" i="13"/>
  <c r="N152" i="13"/>
  <c r="N36" i="13"/>
  <c r="N296" i="13"/>
  <c r="N209" i="13"/>
  <c r="N177" i="13"/>
  <c r="N93" i="13"/>
  <c r="N60" i="13"/>
  <c r="N277" i="13"/>
  <c r="N137" i="13"/>
  <c r="N25" i="13"/>
  <c r="N116" i="13"/>
  <c r="N27" i="13"/>
  <c r="N59" i="13"/>
  <c r="N91" i="13"/>
  <c r="N38" i="13"/>
  <c r="N138" i="13"/>
  <c r="N170" i="13"/>
  <c r="N107" i="13"/>
  <c r="N143" i="13"/>
  <c r="N46" i="13"/>
  <c r="N102" i="13"/>
  <c r="N198" i="13"/>
  <c r="N186" i="13"/>
  <c r="N215" i="13"/>
  <c r="N247" i="13"/>
  <c r="N279" i="13"/>
  <c r="N216" i="13"/>
  <c r="N248" i="13"/>
  <c r="N280" i="13"/>
  <c r="N197" i="13"/>
  <c r="N291" i="13"/>
  <c r="N310" i="13"/>
  <c r="N304" i="13"/>
  <c r="N266" i="13"/>
  <c r="N133" i="13"/>
  <c r="N45" i="13"/>
  <c r="N13" i="13"/>
  <c r="N265" i="13"/>
  <c r="N185" i="13"/>
  <c r="N9" i="13"/>
  <c r="N100" i="13"/>
  <c r="N230" i="13"/>
  <c r="N141" i="13"/>
  <c r="N64" i="13"/>
  <c r="N40" i="13"/>
  <c r="N246" i="13"/>
  <c r="N164" i="13"/>
  <c r="N109" i="13"/>
  <c r="N97" i="13"/>
  <c r="N15" i="13"/>
  <c r="N47" i="13"/>
  <c r="N79" i="13"/>
  <c r="N22" i="13"/>
  <c r="N126" i="13"/>
  <c r="N158" i="13"/>
  <c r="N98" i="13"/>
  <c r="N131" i="13"/>
  <c r="N163" i="13"/>
  <c r="N58" i="13"/>
  <c r="N119" i="13"/>
  <c r="N218" i="13"/>
  <c r="N203" i="13"/>
  <c r="N235" i="13"/>
  <c r="N267" i="13"/>
  <c r="N200" i="13"/>
  <c r="N236" i="13"/>
  <c r="N268" i="13"/>
  <c r="N183" i="13"/>
  <c r="N225" i="13"/>
  <c r="N311" i="13"/>
  <c r="N306" i="13"/>
  <c r="N270" i="13"/>
  <c r="N160" i="13"/>
  <c r="N16" i="13"/>
  <c r="N108" i="13"/>
  <c r="N274" i="13"/>
  <c r="N148" i="13"/>
  <c r="N101" i="13"/>
  <c r="N81" i="13"/>
  <c r="N288" i="13"/>
  <c r="N245" i="13"/>
  <c r="N180" i="13"/>
  <c r="N28" i="13"/>
  <c r="N289" i="13"/>
  <c r="N269" i="13"/>
  <c r="N140" i="13"/>
  <c r="N84" i="13"/>
  <c r="N53" i="13"/>
  <c r="N35" i="13"/>
  <c r="N67" i="13"/>
  <c r="N10" i="13"/>
  <c r="N70" i="13"/>
  <c r="N146" i="13"/>
  <c r="N50" i="13"/>
  <c r="N115" i="13"/>
  <c r="N151" i="13"/>
  <c r="N78" i="13"/>
  <c r="N110" i="13"/>
  <c r="N206" i="13"/>
  <c r="N191" i="13"/>
  <c r="N223" i="13"/>
  <c r="N255" i="13"/>
  <c r="N188" i="13"/>
  <c r="N224" i="13"/>
  <c r="N256" i="13"/>
  <c r="N174" i="13"/>
  <c r="N213" i="13"/>
  <c r="N299" i="13"/>
  <c r="N287" i="13"/>
  <c r="N281" i="13"/>
  <c r="N181" i="13"/>
  <c r="N129" i="13"/>
  <c r="N88" i="13"/>
  <c r="N301" i="13"/>
  <c r="N234" i="13"/>
  <c r="N124" i="13"/>
  <c r="N68" i="13"/>
  <c r="N37" i="13"/>
  <c r="N258" i="13"/>
  <c r="N144" i="13"/>
  <c r="N121" i="13"/>
  <c r="N92" i="13"/>
  <c r="N204" i="13"/>
  <c r="N169" i="13"/>
  <c r="N57" i="13"/>
  <c r="N33" i="13"/>
  <c r="K38" i="12"/>
  <c r="K154" i="12"/>
  <c r="K194" i="12"/>
  <c r="K191" i="12"/>
  <c r="K216" i="12"/>
  <c r="K248" i="12"/>
  <c r="K197" i="12"/>
  <c r="K113" i="12"/>
  <c r="K256" i="12"/>
  <c r="N23" i="13"/>
  <c r="N55" i="13"/>
  <c r="N87" i="13"/>
  <c r="N30" i="13"/>
  <c r="N134" i="13"/>
  <c r="N166" i="13"/>
  <c r="N106" i="13"/>
  <c r="N139" i="13"/>
  <c r="N171" i="13"/>
  <c r="N90" i="13"/>
  <c r="N194" i="13"/>
  <c r="N179" i="13"/>
  <c r="N211" i="13"/>
  <c r="N243" i="13"/>
  <c r="N275" i="13"/>
  <c r="N212" i="13"/>
  <c r="N244" i="13"/>
  <c r="N276" i="13"/>
  <c r="N193" i="13"/>
  <c r="N261" i="13"/>
  <c r="N302" i="13"/>
  <c r="N308" i="13"/>
  <c r="N241" i="13"/>
  <c r="N165" i="13"/>
  <c r="N77" i="13"/>
  <c r="N44" i="13"/>
  <c r="N278" i="13"/>
  <c r="N153" i="13"/>
  <c r="N41" i="13"/>
  <c r="N17" i="13"/>
  <c r="N262" i="13"/>
  <c r="N173" i="13"/>
  <c r="N96" i="13"/>
  <c r="N72" i="13"/>
  <c r="N309" i="13"/>
  <c r="N238" i="13"/>
  <c r="N136" i="13"/>
  <c r="N21" i="13"/>
  <c r="N11" i="13"/>
  <c r="N43" i="13"/>
  <c r="N75" i="13"/>
  <c r="N18" i="13"/>
  <c r="N122" i="13"/>
  <c r="N154" i="13"/>
  <c r="N82" i="13"/>
  <c r="N127" i="13"/>
  <c r="N159" i="13"/>
  <c r="N42" i="13"/>
  <c r="N118" i="13"/>
  <c r="N214" i="13"/>
  <c r="N199" i="13"/>
  <c r="N231" i="13"/>
  <c r="N263" i="13"/>
  <c r="N196" i="13"/>
  <c r="N232" i="13"/>
  <c r="N264" i="13"/>
  <c r="N182" i="13"/>
  <c r="N221" i="13"/>
  <c r="N307" i="13"/>
  <c r="N298" i="13"/>
  <c r="N285" i="13"/>
  <c r="N125" i="13"/>
  <c r="N48" i="13"/>
  <c r="N24" i="13"/>
  <c r="N293" i="13"/>
  <c r="N222" i="13"/>
  <c r="N117" i="13"/>
  <c r="N113" i="13"/>
  <c r="N292" i="13"/>
  <c r="N282" i="13"/>
  <c r="N149" i="13"/>
  <c r="N61" i="13"/>
  <c r="N29" i="13"/>
  <c r="N250" i="13"/>
  <c r="N172" i="13"/>
  <c r="N120" i="13"/>
  <c r="N85" i="13"/>
  <c r="N31" i="13"/>
  <c r="N63" i="13"/>
  <c r="N95" i="13"/>
  <c r="N54" i="13"/>
  <c r="N142" i="13"/>
  <c r="N34" i="13"/>
  <c r="N114" i="13"/>
  <c r="N147" i="13"/>
  <c r="N62" i="13"/>
  <c r="N103" i="13"/>
  <c r="N202" i="13"/>
  <c r="N187" i="13"/>
  <c r="N219" i="13"/>
  <c r="N251" i="13"/>
  <c r="N283" i="13"/>
  <c r="N220" i="13"/>
  <c r="N252" i="13"/>
  <c r="N284" i="13"/>
  <c r="N201" i="13"/>
  <c r="N295" i="13"/>
  <c r="N314" i="13"/>
  <c r="N300" i="13"/>
  <c r="N233" i="13"/>
  <c r="N161" i="13"/>
  <c r="N12" i="13"/>
  <c r="N305" i="13"/>
  <c r="N226" i="13"/>
  <c r="N156" i="13"/>
  <c r="N104" i="13"/>
  <c r="N69" i="13"/>
  <c r="N286" i="13"/>
  <c r="N176" i="13"/>
  <c r="N32" i="13"/>
  <c r="N8" i="13"/>
  <c r="N257" i="13"/>
  <c r="N132" i="13"/>
  <c r="N89" i="13"/>
  <c r="N65" i="13"/>
  <c r="N19" i="13"/>
  <c r="N51" i="13"/>
  <c r="N83" i="13"/>
  <c r="N26" i="13"/>
  <c r="N130" i="13"/>
  <c r="N162" i="13"/>
  <c r="N99" i="13"/>
  <c r="N135" i="13"/>
  <c r="N167" i="13"/>
  <c r="N74" i="13"/>
  <c r="N190" i="13"/>
  <c r="N178" i="13"/>
  <c r="N207" i="13"/>
  <c r="N239" i="13"/>
  <c r="N271" i="13"/>
  <c r="N208" i="13"/>
  <c r="N240" i="13"/>
  <c r="N272" i="13"/>
  <c r="N189" i="13"/>
  <c r="N229" i="13"/>
  <c r="N294" i="13"/>
  <c r="N312" i="13"/>
  <c r="N242" i="13"/>
  <c r="N128" i="13"/>
  <c r="N112" i="13"/>
  <c r="N76" i="13"/>
  <c r="N237" i="13"/>
  <c r="N184" i="13"/>
  <c r="N73" i="13"/>
  <c r="N49" i="13"/>
  <c r="N254" i="13"/>
  <c r="N205" i="13"/>
  <c r="N145" i="13"/>
  <c r="N105" i="13"/>
  <c r="N313" i="13"/>
  <c r="N273" i="13"/>
  <c r="N168" i="13"/>
  <c r="N52" i="13"/>
  <c r="N20" i="13"/>
  <c r="K6" i="12"/>
  <c r="K85" i="12"/>
  <c r="K65" i="12"/>
  <c r="K258" i="12"/>
  <c r="K289" i="12"/>
  <c r="K296" i="12"/>
  <c r="K24" i="12"/>
  <c r="K28" i="12"/>
  <c r="K161" i="12"/>
  <c r="K189" i="12"/>
  <c r="K238" i="12"/>
  <c r="K223" i="12"/>
  <c r="K272" i="12"/>
  <c r="K137" i="12"/>
  <c r="K185" i="12"/>
  <c r="K246" i="12"/>
  <c r="K215" i="12"/>
  <c r="K12" i="12"/>
  <c r="K187" i="12"/>
  <c r="K162" i="12"/>
  <c r="K57" i="12"/>
  <c r="K217" i="12"/>
  <c r="K234" i="12"/>
  <c r="K199" i="12"/>
  <c r="K273" i="12"/>
  <c r="K287" i="12"/>
  <c r="K268" i="12"/>
  <c r="K34" i="12"/>
  <c r="K145" i="12"/>
  <c r="K177" i="12"/>
  <c r="K254" i="12"/>
  <c r="K87" i="12"/>
  <c r="K91" i="12"/>
  <c r="K56" i="12"/>
  <c r="K54" i="12"/>
  <c r="K86" i="12"/>
  <c r="K29" i="12"/>
  <c r="K133" i="12"/>
  <c r="K165" i="12"/>
  <c r="K138" i="12"/>
  <c r="K170" i="12"/>
  <c r="K89" i="12"/>
  <c r="K193" i="12"/>
  <c r="K178" i="12"/>
  <c r="K210" i="12"/>
  <c r="K242" i="12"/>
  <c r="K274" i="12"/>
  <c r="K211" i="12"/>
  <c r="K243" i="12"/>
  <c r="K275" i="12"/>
  <c r="K192" i="12"/>
  <c r="K260" i="12"/>
  <c r="K301" i="12"/>
  <c r="K307" i="12"/>
  <c r="K240" i="12"/>
  <c r="K164" i="12"/>
  <c r="K76" i="12"/>
  <c r="K152" i="12"/>
  <c r="K40" i="12"/>
  <c r="K16" i="12"/>
  <c r="K172" i="12"/>
  <c r="K95" i="12"/>
  <c r="K71" i="12"/>
  <c r="K308" i="12"/>
  <c r="K237" i="12"/>
  <c r="K135" i="12"/>
  <c r="K20" i="12"/>
  <c r="K116" i="12"/>
  <c r="K99" i="12"/>
  <c r="K140" i="12"/>
  <c r="K60" i="12"/>
  <c r="K245" i="12"/>
  <c r="K96" i="12"/>
  <c r="K134" i="12"/>
  <c r="K190" i="12"/>
  <c r="K271" i="12"/>
  <c r="K228" i="12"/>
  <c r="K111" i="12"/>
  <c r="K233" i="12"/>
  <c r="K48" i="12"/>
  <c r="K143" i="12"/>
  <c r="K312" i="12"/>
  <c r="K167" i="12"/>
  <c r="K10" i="12"/>
  <c r="K74" i="12"/>
  <c r="K17" i="12"/>
  <c r="K126" i="12"/>
  <c r="K41" i="12"/>
  <c r="K117" i="12"/>
  <c r="K213" i="12"/>
  <c r="K198" i="12"/>
  <c r="K262" i="12"/>
  <c r="K195" i="12"/>
  <c r="K231" i="12"/>
  <c r="K263" i="12"/>
  <c r="K181" i="12"/>
  <c r="K220" i="12"/>
  <c r="K306" i="12"/>
  <c r="K297" i="12"/>
  <c r="K284" i="12"/>
  <c r="K47" i="12"/>
  <c r="K23" i="12"/>
  <c r="K8" i="12"/>
  <c r="K281" i="12"/>
  <c r="K39" i="12"/>
  <c r="K108" i="12"/>
  <c r="K114" i="12"/>
  <c r="K222" i="12"/>
  <c r="K239" i="12"/>
  <c r="K311" i="12"/>
  <c r="K67" i="12"/>
  <c r="K120" i="12"/>
  <c r="K51" i="12"/>
  <c r="K30" i="12"/>
  <c r="K62" i="12"/>
  <c r="K94" i="12"/>
  <c r="K53" i="12"/>
  <c r="K141" i="12"/>
  <c r="K33" i="12"/>
  <c r="K146" i="12"/>
  <c r="K61" i="12"/>
  <c r="K102" i="12"/>
  <c r="K186" i="12"/>
  <c r="K218" i="12"/>
  <c r="K250" i="12"/>
  <c r="K219" i="12"/>
  <c r="K251" i="12"/>
  <c r="K283" i="12"/>
  <c r="K200" i="12"/>
  <c r="K294" i="12"/>
  <c r="K313" i="12"/>
  <c r="K299" i="12"/>
  <c r="K232" i="12"/>
  <c r="K160" i="12"/>
  <c r="K11" i="12"/>
  <c r="K304" i="12"/>
  <c r="K225" i="12"/>
  <c r="K155" i="12"/>
  <c r="K103" i="12"/>
  <c r="K68" i="12"/>
  <c r="K285" i="12"/>
  <c r="K175" i="12"/>
  <c r="K31" i="12"/>
  <c r="K7" i="12"/>
  <c r="K131" i="12"/>
  <c r="K88" i="12"/>
  <c r="K18" i="12"/>
  <c r="K50" i="12"/>
  <c r="K82" i="12"/>
  <c r="K129" i="12"/>
  <c r="K49" i="12"/>
  <c r="K150" i="12"/>
  <c r="K109" i="12"/>
  <c r="K206" i="12"/>
  <c r="K207" i="12"/>
  <c r="K188" i="12"/>
  <c r="K286" i="12"/>
  <c r="K128" i="12"/>
  <c r="K144" i="12"/>
  <c r="K36" i="12"/>
  <c r="I212" i="25"/>
  <c r="E38" i="48"/>
  <c r="E5" i="39"/>
  <c r="G5" i="39" s="1"/>
  <c r="H5" i="39" s="1"/>
  <c r="I5" i="39" s="1"/>
  <c r="J5" i="39" s="1"/>
  <c r="E5" i="12"/>
  <c r="G5" i="12" s="1"/>
  <c r="G6" i="25"/>
  <c r="C4" i="34"/>
  <c r="C10" i="34" s="1"/>
  <c r="I325" i="34"/>
  <c r="J274" i="25" l="1"/>
  <c r="J272" i="25"/>
  <c r="O272" i="13"/>
  <c r="P272" i="13" s="1"/>
  <c r="Q272" i="13" s="1"/>
  <c r="K272" i="25" s="1"/>
  <c r="O274" i="13"/>
  <c r="P274" i="13" s="1"/>
  <c r="Q274" i="13" s="1"/>
  <c r="K274" i="25" s="1"/>
  <c r="E314" i="39"/>
  <c r="G314" i="39" s="1"/>
  <c r="H314" i="39" s="1"/>
  <c r="G315" i="25"/>
  <c r="E314" i="12"/>
  <c r="G314" i="12" s="1"/>
  <c r="D10" i="34"/>
  <c r="D11" i="34" s="1"/>
  <c r="C11" i="34"/>
  <c r="H5" i="12"/>
  <c r="I6" i="25"/>
  <c r="J314" i="39"/>
  <c r="I315" i="25" s="1"/>
  <c r="O272" i="25" l="1"/>
  <c r="G272" i="54" s="1"/>
  <c r="H272" i="54" s="1"/>
  <c r="O274" i="25"/>
  <c r="G274" i="54" s="1"/>
  <c r="H274" i="54" s="1"/>
  <c r="L274" i="25"/>
  <c r="N274" i="25" s="1"/>
  <c r="L272" i="25"/>
  <c r="N272" i="25" s="1"/>
  <c r="O52" i="13"/>
  <c r="O185" i="13"/>
  <c r="O148" i="13"/>
  <c r="O111" i="13"/>
  <c r="O166" i="13"/>
  <c r="O127" i="13"/>
  <c r="O237" i="13"/>
  <c r="O165" i="13"/>
  <c r="O123" i="13"/>
  <c r="O279" i="13"/>
  <c r="O149" i="13"/>
  <c r="O86" i="13"/>
  <c r="O64" i="13"/>
  <c r="O135" i="13"/>
  <c r="O73" i="13"/>
  <c r="O276" i="13"/>
  <c r="O125" i="13"/>
  <c r="O78" i="13"/>
  <c r="O75" i="13"/>
  <c r="O180" i="13"/>
  <c r="O126" i="13"/>
  <c r="O89" i="13"/>
  <c r="O200" i="13"/>
  <c r="O42" i="13"/>
  <c r="O65" i="13"/>
  <c r="O141" i="13"/>
  <c r="O234" i="13"/>
  <c r="O25" i="13"/>
  <c r="O221" i="13"/>
  <c r="O310" i="13"/>
  <c r="O44" i="13"/>
  <c r="O133" i="13"/>
  <c r="O29" i="13"/>
  <c r="O228" i="13"/>
  <c r="O128" i="13"/>
  <c r="O60" i="13"/>
  <c r="O57" i="13"/>
  <c r="O265" i="13"/>
  <c r="O137" i="13"/>
  <c r="O113" i="13"/>
  <c r="O202" i="13"/>
  <c r="O63" i="13"/>
  <c r="O90" i="13"/>
  <c r="O94" i="13"/>
  <c r="O198" i="13"/>
  <c r="O172" i="13"/>
  <c r="O15" i="13"/>
  <c r="O54" i="13"/>
  <c r="O305" i="13"/>
  <c r="O167" i="13"/>
  <c r="O22" i="13"/>
  <c r="O176" i="13"/>
  <c r="O189" i="13"/>
  <c r="O246" i="13"/>
  <c r="O312" i="13"/>
  <c r="O245" i="13"/>
  <c r="O217" i="13"/>
  <c r="O40" i="13"/>
  <c r="O224" i="13"/>
  <c r="O236" i="13"/>
  <c r="O232" i="13"/>
  <c r="O10" i="13"/>
  <c r="O150" i="13"/>
  <c r="O278" i="13"/>
  <c r="O84" i="13"/>
  <c r="O223" i="13"/>
  <c r="O260" i="13"/>
  <c r="O173" i="13"/>
  <c r="O12" i="13"/>
  <c r="O182" i="13"/>
  <c r="O230" i="13"/>
  <c r="O85" i="13"/>
  <c r="O79" i="13"/>
  <c r="O13" i="13"/>
  <c r="O161" i="13"/>
  <c r="O99" i="13"/>
  <c r="O120" i="13"/>
  <c r="O147" i="13"/>
  <c r="O24" i="13"/>
  <c r="O213" i="13"/>
  <c r="O258" i="13"/>
  <c r="O38" i="13"/>
  <c r="O270" i="13"/>
  <c r="O188" i="13"/>
  <c r="O285" i="13"/>
  <c r="O43" i="13"/>
  <c r="O153" i="13"/>
  <c r="O212" i="13"/>
  <c r="O82" i="13"/>
  <c r="O262" i="13"/>
  <c r="O20" i="13"/>
  <c r="O93" i="13"/>
  <c r="O269" i="13"/>
  <c r="O158" i="13"/>
  <c r="O151" i="13"/>
  <c r="O129" i="13"/>
  <c r="O284" i="13"/>
  <c r="O101" i="13"/>
  <c r="O31" i="13"/>
  <c r="O177" i="13"/>
  <c r="O98" i="13"/>
  <c r="O187" i="13"/>
  <c r="O37" i="13"/>
  <c r="O159" i="13"/>
  <c r="O304" i="13"/>
  <c r="O206" i="13"/>
  <c r="O156" i="13"/>
  <c r="O171" i="13"/>
  <c r="O205" i="13"/>
  <c r="O116" i="13"/>
  <c r="O46" i="13"/>
  <c r="O32" i="13"/>
  <c r="O41" i="13"/>
  <c r="O18" i="13"/>
  <c r="O48" i="13"/>
  <c r="O154" i="13"/>
  <c r="O96" i="13"/>
  <c r="O314" i="13"/>
  <c r="O191" i="13"/>
  <c r="O87" i="13"/>
  <c r="O295" i="13"/>
  <c r="O209" i="13"/>
  <c r="O155" i="13"/>
  <c r="O216" i="13"/>
  <c r="O17" i="13"/>
  <c r="O35" i="13"/>
  <c r="O121" i="13"/>
  <c r="O83" i="13"/>
  <c r="O103" i="13"/>
  <c r="O109" i="13"/>
  <c r="O132" i="13"/>
  <c r="O11" i="13"/>
  <c r="O282" i="13"/>
  <c r="O179" i="13"/>
  <c r="O273" i="13"/>
  <c r="O203" i="13"/>
  <c r="O175" i="13"/>
  <c r="O69" i="13"/>
  <c r="O114" i="13"/>
  <c r="O299" i="13"/>
  <c r="O231" i="13"/>
  <c r="O145" i="13"/>
  <c r="O267" i="13"/>
  <c r="O211" i="13"/>
  <c r="O97" i="13"/>
  <c r="O251" i="13"/>
  <c r="O124" i="13"/>
  <c r="O193" i="13"/>
  <c r="O190" i="13"/>
  <c r="O162" i="13"/>
  <c r="O163" i="13"/>
  <c r="O160" i="13"/>
  <c r="O271" i="13"/>
  <c r="O107" i="13"/>
  <c r="O303" i="13"/>
  <c r="O241" i="13"/>
  <c r="O263" i="13"/>
  <c r="O215" i="13"/>
  <c r="O244" i="13"/>
  <c r="O45" i="13"/>
  <c r="O288" i="13"/>
  <c r="O157" i="13"/>
  <c r="O47" i="13"/>
  <c r="O81" i="13"/>
  <c r="O92" i="13"/>
  <c r="O105" i="13"/>
  <c r="O112" i="13"/>
  <c r="O301" i="13"/>
  <c r="O23" i="13"/>
  <c r="O91" i="13"/>
  <c r="O233" i="13"/>
  <c r="O296" i="13"/>
  <c r="O220" i="13"/>
  <c r="O19" i="13"/>
  <c r="O144" i="13"/>
  <c r="O39" i="13"/>
  <c r="O115" i="13"/>
  <c r="O247" i="13"/>
  <c r="O50" i="13"/>
  <c r="O214" i="13"/>
  <c r="O219" i="13"/>
  <c r="O311" i="13"/>
  <c r="O51" i="13"/>
  <c r="O14" i="13"/>
  <c r="O194" i="13"/>
  <c r="O72" i="13"/>
  <c r="O53" i="13"/>
  <c r="O226" i="13"/>
  <c r="O136" i="13"/>
  <c r="O227" i="13"/>
  <c r="O139" i="13"/>
  <c r="O291" i="13"/>
  <c r="O77" i="13"/>
  <c r="O222" i="13"/>
  <c r="O143" i="13"/>
  <c r="O293" i="13"/>
  <c r="O164" i="13"/>
  <c r="J131" i="25"/>
  <c r="O131" i="13"/>
  <c r="J70" i="25"/>
  <c r="O70" i="13"/>
  <c r="J170" i="25"/>
  <c r="O170" i="13"/>
  <c r="J286" i="25"/>
  <c r="O286" i="13"/>
  <c r="J192" i="25"/>
  <c r="O192" i="13"/>
  <c r="J55" i="25"/>
  <c r="O55" i="13"/>
  <c r="J138" i="25"/>
  <c r="O138" i="13"/>
  <c r="J292" i="25"/>
  <c r="O292" i="13"/>
  <c r="J80" i="25"/>
  <c r="O80" i="13"/>
  <c r="J186" i="25"/>
  <c r="O186" i="13"/>
  <c r="J210" i="25"/>
  <c r="O210" i="13"/>
  <c r="J235" i="25"/>
  <c r="O235" i="13"/>
  <c r="J68" i="25"/>
  <c r="O68" i="13"/>
  <c r="J250" i="25"/>
  <c r="O250" i="13"/>
  <c r="J56" i="25"/>
  <c r="O56" i="13"/>
  <c r="J204" i="25"/>
  <c r="O204" i="13"/>
  <c r="J275" i="25"/>
  <c r="O275" i="13"/>
  <c r="J283" i="25"/>
  <c r="O283" i="13"/>
  <c r="J259" i="25"/>
  <c r="O259" i="13"/>
  <c r="J110" i="25"/>
  <c r="O110" i="13"/>
  <c r="J152" i="25"/>
  <c r="O152" i="13"/>
  <c r="J168" i="25"/>
  <c r="O168" i="13"/>
  <c r="J287" i="25"/>
  <c r="O287" i="13"/>
  <c r="J240" i="25"/>
  <c r="O240" i="13"/>
  <c r="J197" i="25"/>
  <c r="O197" i="13"/>
  <c r="H314" i="12"/>
  <c r="K314" i="12"/>
  <c r="J130" i="25"/>
  <c r="O130" i="13"/>
  <c r="J309" i="25"/>
  <c r="O309" i="13"/>
  <c r="J306" i="25"/>
  <c r="O306" i="13"/>
  <c r="J277" i="25"/>
  <c r="O277" i="13"/>
  <c r="J183" i="25"/>
  <c r="O183" i="13"/>
  <c r="J62" i="25"/>
  <c r="O62" i="13"/>
  <c r="J59" i="25"/>
  <c r="O59" i="13"/>
  <c r="J281" i="25"/>
  <c r="O281" i="13"/>
  <c r="J88" i="25"/>
  <c r="O88" i="13"/>
  <c r="J142" i="25"/>
  <c r="O142" i="13"/>
  <c r="J249" i="25"/>
  <c r="O249" i="13"/>
  <c r="J301" i="25"/>
  <c r="J252" i="25"/>
  <c r="O252" i="13"/>
  <c r="J312" i="25"/>
  <c r="J260" i="25"/>
  <c r="J171" i="25"/>
  <c r="J91" i="25"/>
  <c r="J217" i="25"/>
  <c r="J295" i="25"/>
  <c r="J182" i="25"/>
  <c r="J151" i="25"/>
  <c r="J43" i="25"/>
  <c r="J47" i="25"/>
  <c r="J69" i="25"/>
  <c r="J190" i="25"/>
  <c r="J226" i="25"/>
  <c r="J241" i="25"/>
  <c r="J54" i="25"/>
  <c r="R274" i="13"/>
  <c r="S274" i="13" s="1"/>
  <c r="J154" i="25"/>
  <c r="J305" i="25"/>
  <c r="J136" i="25"/>
  <c r="J159" i="25"/>
  <c r="J81" i="25"/>
  <c r="J247" i="25"/>
  <c r="J135" i="25"/>
  <c r="J273" i="25"/>
  <c r="J188" i="25"/>
  <c r="J114" i="25"/>
  <c r="J77" i="25"/>
  <c r="J279" i="25"/>
  <c r="J180" i="25"/>
  <c r="J285" i="25"/>
  <c r="J234" i="25"/>
  <c r="J284" i="25"/>
  <c r="J198" i="25"/>
  <c r="J92" i="25"/>
  <c r="J291" i="25"/>
  <c r="J304" i="25"/>
  <c r="J166" i="25"/>
  <c r="J51" i="25"/>
  <c r="J112" i="25"/>
  <c r="J220" i="25"/>
  <c r="J276" i="25"/>
  <c r="J64" i="25"/>
  <c r="J169" i="25"/>
  <c r="O169" i="13"/>
  <c r="J205" i="25"/>
  <c r="J116" i="25"/>
  <c r="J108" i="25"/>
  <c r="O108" i="13"/>
  <c r="J232" i="25"/>
  <c r="J46" i="25"/>
  <c r="J38" i="25"/>
  <c r="J13" i="25"/>
  <c r="J41" i="25"/>
  <c r="J270" i="25"/>
  <c r="J82" i="25"/>
  <c r="J293" i="25"/>
  <c r="J103" i="25"/>
  <c r="J303" i="25"/>
  <c r="J245" i="25"/>
  <c r="J87" i="25"/>
  <c r="J221" i="25"/>
  <c r="J211" i="25"/>
  <c r="J258" i="25"/>
  <c r="J85" i="25"/>
  <c r="J35" i="25"/>
  <c r="J179" i="25"/>
  <c r="J150" i="25"/>
  <c r="J15" i="25"/>
  <c r="J120" i="25"/>
  <c r="J44" i="25"/>
  <c r="J148" i="25"/>
  <c r="J160" i="25"/>
  <c r="J52" i="25"/>
  <c r="J125" i="25"/>
  <c r="J173" i="25"/>
  <c r="J42" i="25"/>
  <c r="J191" i="25"/>
  <c r="J20" i="25"/>
  <c r="J145" i="25"/>
  <c r="J144" i="25"/>
  <c r="J208" i="25"/>
  <c r="O208" i="13"/>
  <c r="J174" i="25"/>
  <c r="O174" i="13"/>
  <c r="J266" i="25"/>
  <c r="O266" i="13"/>
  <c r="J248" i="25"/>
  <c r="O248" i="13"/>
  <c r="J255" i="25"/>
  <c r="O255" i="13"/>
  <c r="J268" i="25"/>
  <c r="O268" i="13"/>
  <c r="J239" i="25"/>
  <c r="O239" i="13"/>
  <c r="J302" i="25"/>
  <c r="O302" i="13"/>
  <c r="J67" i="25"/>
  <c r="O67" i="13"/>
  <c r="J104" i="25"/>
  <c r="O104" i="13"/>
  <c r="J218" i="25"/>
  <c r="O218" i="13"/>
  <c r="J16" i="25"/>
  <c r="O16" i="13"/>
  <c r="J238" i="25"/>
  <c r="O238" i="13"/>
  <c r="J49" i="25"/>
  <c r="O49" i="13"/>
  <c r="J280" i="25"/>
  <c r="O280" i="13"/>
  <c r="J253" i="25"/>
  <c r="O253" i="13"/>
  <c r="J58" i="25"/>
  <c r="O58" i="13"/>
  <c r="J297" i="25"/>
  <c r="O297" i="13"/>
  <c r="J229" i="25"/>
  <c r="O229" i="13"/>
  <c r="J254" i="25"/>
  <c r="O254" i="13"/>
  <c r="J122" i="25"/>
  <c r="O122" i="13"/>
  <c r="J118" i="25"/>
  <c r="O118" i="13"/>
  <c r="J289" i="25"/>
  <c r="O289" i="13"/>
  <c r="J102" i="25"/>
  <c r="O102" i="13"/>
  <c r="J267" i="25"/>
  <c r="J233" i="25"/>
  <c r="J29" i="25"/>
  <c r="J164" i="25"/>
  <c r="J105" i="25"/>
  <c r="J299" i="25"/>
  <c r="J23" i="25"/>
  <c r="J158" i="25"/>
  <c r="J236" i="25"/>
  <c r="J124" i="25"/>
  <c r="J175" i="25"/>
  <c r="J30" i="25"/>
  <c r="O30" i="13"/>
  <c r="J100" i="25"/>
  <c r="O100" i="13"/>
  <c r="J181" i="25"/>
  <c r="O181" i="13"/>
  <c r="J298" i="25"/>
  <c r="O298" i="13"/>
  <c r="J27" i="25"/>
  <c r="O27" i="13"/>
  <c r="J242" i="25"/>
  <c r="O242" i="13"/>
  <c r="J106" i="25"/>
  <c r="O106" i="13"/>
  <c r="J33" i="25"/>
  <c r="O33" i="13"/>
  <c r="J74" i="25"/>
  <c r="O74" i="13"/>
  <c r="J243" i="25"/>
  <c r="O243" i="13"/>
  <c r="J308" i="25"/>
  <c r="O308" i="13"/>
  <c r="J257" i="25"/>
  <c r="O257" i="13"/>
  <c r="J21" i="25"/>
  <c r="O21" i="13"/>
  <c r="J199" i="25"/>
  <c r="O199" i="13"/>
  <c r="J146" i="25"/>
  <c r="O146" i="13"/>
  <c r="J300" i="25"/>
  <c r="O300" i="13"/>
  <c r="J307" i="25"/>
  <c r="O307" i="13"/>
  <c r="J76" i="25"/>
  <c r="O76" i="13"/>
  <c r="J7" i="25"/>
  <c r="O7" i="13"/>
  <c r="J256" i="25"/>
  <c r="O256" i="13"/>
  <c r="J207" i="25"/>
  <c r="O207" i="13"/>
  <c r="J119" i="25"/>
  <c r="O119" i="13"/>
  <c r="J28" i="25"/>
  <c r="O28" i="13"/>
  <c r="J71" i="25"/>
  <c r="O71" i="13"/>
  <c r="J225" i="25"/>
  <c r="O225" i="13"/>
  <c r="J36" i="25"/>
  <c r="O36" i="13"/>
  <c r="J117" i="25"/>
  <c r="O117" i="13"/>
  <c r="J34" i="25"/>
  <c r="O34" i="13"/>
  <c r="J178" i="25"/>
  <c r="O178" i="13"/>
  <c r="J147" i="25"/>
  <c r="J11" i="25"/>
  <c r="J133" i="25"/>
  <c r="J314" i="25"/>
  <c r="R272" i="13"/>
  <c r="S272" i="13" s="1"/>
  <c r="J95" i="25"/>
  <c r="O95" i="13"/>
  <c r="J184" i="25"/>
  <c r="O184" i="13"/>
  <c r="J201" i="25"/>
  <c r="O201" i="13"/>
  <c r="J134" i="25"/>
  <c r="O134" i="13"/>
  <c r="J290" i="25"/>
  <c r="O290" i="13"/>
  <c r="J140" i="25"/>
  <c r="O140" i="13"/>
  <c r="J196" i="25"/>
  <c r="O196" i="13"/>
  <c r="J261" i="25"/>
  <c r="O261" i="13"/>
  <c r="J26" i="25"/>
  <c r="O26" i="13"/>
  <c r="J294" i="25"/>
  <c r="O294" i="13"/>
  <c r="J8" i="25"/>
  <c r="O8" i="13"/>
  <c r="J264" i="25"/>
  <c r="O264" i="13"/>
  <c r="J61" i="25"/>
  <c r="O61" i="13"/>
  <c r="J195" i="25"/>
  <c r="O195" i="13"/>
  <c r="J66" i="25"/>
  <c r="O66" i="13"/>
  <c r="J9" i="25"/>
  <c r="O9" i="13"/>
  <c r="J313" i="25"/>
  <c r="O313" i="13"/>
  <c r="J215" i="25"/>
  <c r="J223" i="25"/>
  <c r="J93" i="25"/>
  <c r="J45" i="25"/>
  <c r="J79" i="25"/>
  <c r="J141" i="25"/>
  <c r="J73" i="25"/>
  <c r="J18" i="25"/>
  <c r="J75" i="25"/>
  <c r="J111" i="25"/>
  <c r="J126" i="25"/>
  <c r="J86" i="25"/>
  <c r="J89" i="25"/>
  <c r="J40" i="25"/>
  <c r="J113" i="25"/>
  <c r="J288" i="25"/>
  <c r="J90" i="25"/>
  <c r="J115" i="25"/>
  <c r="J193" i="25"/>
  <c r="J162" i="25"/>
  <c r="J219" i="25"/>
  <c r="J149" i="25"/>
  <c r="J96" i="25"/>
  <c r="J227" i="25"/>
  <c r="J222" i="25"/>
  <c r="J25" i="25"/>
  <c r="J137" i="25"/>
  <c r="J246" i="25"/>
  <c r="J165" i="25"/>
  <c r="J206" i="25"/>
  <c r="J156" i="25"/>
  <c r="J244" i="25"/>
  <c r="J155" i="25"/>
  <c r="J12" i="25"/>
  <c r="J269" i="25"/>
  <c r="J251" i="25"/>
  <c r="J94" i="25"/>
  <c r="J129" i="25"/>
  <c r="J121" i="25"/>
  <c r="J172" i="25"/>
  <c r="J50" i="25"/>
  <c r="J214" i="25"/>
  <c r="J177" i="25"/>
  <c r="J263" i="25"/>
  <c r="J187" i="25"/>
  <c r="J311" i="25"/>
  <c r="J37" i="25"/>
  <c r="J22" i="25"/>
  <c r="J176" i="25"/>
  <c r="J200" i="25"/>
  <c r="J31" i="25"/>
  <c r="J48" i="25"/>
  <c r="J109" i="25"/>
  <c r="J60" i="25"/>
  <c r="J271" i="25"/>
  <c r="J57" i="25"/>
  <c r="J107" i="25"/>
  <c r="J213" i="25"/>
  <c r="J10" i="25"/>
  <c r="J101" i="25"/>
  <c r="J99" i="25"/>
  <c r="J163" i="25"/>
  <c r="J167" i="25"/>
  <c r="J14" i="25"/>
  <c r="I5" i="12"/>
  <c r="N6" i="13" s="1"/>
  <c r="J209" i="25"/>
  <c r="J296" i="25"/>
  <c r="J237" i="25"/>
  <c r="J228" i="25"/>
  <c r="J17" i="25"/>
  <c r="J123" i="25"/>
  <c r="J63" i="25"/>
  <c r="J39" i="25"/>
  <c r="J32" i="25"/>
  <c r="J72" i="25"/>
  <c r="J83" i="25"/>
  <c r="J185" i="25"/>
  <c r="J98" i="25"/>
  <c r="J24" i="25"/>
  <c r="J278" i="25"/>
  <c r="J65" i="25"/>
  <c r="J224" i="25"/>
  <c r="J153" i="25"/>
  <c r="J143" i="25"/>
  <c r="J132" i="25"/>
  <c r="J203" i="25"/>
  <c r="J128" i="25"/>
  <c r="J282" i="25"/>
  <c r="J231" i="25"/>
  <c r="J84" i="25"/>
  <c r="J78" i="25"/>
  <c r="J202" i="25"/>
  <c r="J127" i="25"/>
  <c r="J19" i="25"/>
  <c r="J216" i="25"/>
  <c r="J139" i="25"/>
  <c r="J230" i="25"/>
  <c r="J97" i="25"/>
  <c r="J194" i="25"/>
  <c r="J262" i="25"/>
  <c r="J157" i="25"/>
  <c r="J310" i="25"/>
  <c r="J161" i="25"/>
  <c r="J53" i="25"/>
  <c r="J265" i="25"/>
  <c r="J189" i="25"/>
  <c r="J212" i="25" l="1"/>
  <c r="E37" i="48"/>
  <c r="P127" i="13"/>
  <c r="Q127" i="13" s="1"/>
  <c r="K127" i="25" s="1"/>
  <c r="L127" i="25" s="1"/>
  <c r="N127" i="25" s="1"/>
  <c r="P282" i="13"/>
  <c r="Q282" i="13" s="1"/>
  <c r="K282" i="25" s="1"/>
  <c r="L282" i="25" s="1"/>
  <c r="N282" i="25" s="1"/>
  <c r="P14" i="13"/>
  <c r="Q14" i="13" s="1"/>
  <c r="K14" i="25" s="1"/>
  <c r="L14" i="25" s="1"/>
  <c r="N14" i="25" s="1"/>
  <c r="P101" i="13"/>
  <c r="Q101" i="13" s="1"/>
  <c r="K101" i="25" s="1"/>
  <c r="L101" i="25" s="1"/>
  <c r="N101" i="25" s="1"/>
  <c r="P60" i="13"/>
  <c r="Q60" i="13" s="1"/>
  <c r="K60" i="25" s="1"/>
  <c r="L60" i="25" s="1"/>
  <c r="N60" i="25" s="1"/>
  <c r="P244" i="13"/>
  <c r="Q244" i="13" s="1"/>
  <c r="K244" i="25" s="1"/>
  <c r="L244" i="25" s="1"/>
  <c r="N244" i="25" s="1"/>
  <c r="P246" i="13"/>
  <c r="Q246" i="13" s="1"/>
  <c r="K246" i="25" s="1"/>
  <c r="L246" i="25" s="1"/>
  <c r="N246" i="25" s="1"/>
  <c r="P227" i="13"/>
  <c r="Q227" i="13" s="1"/>
  <c r="K227" i="25" s="1"/>
  <c r="L227" i="25" s="1"/>
  <c r="N227" i="25" s="1"/>
  <c r="P219" i="13"/>
  <c r="Q219" i="13" s="1"/>
  <c r="K219" i="25" s="1"/>
  <c r="L219" i="25" s="1"/>
  <c r="N219" i="25" s="1"/>
  <c r="P113" i="13"/>
  <c r="Q113" i="13" s="1"/>
  <c r="K113" i="25" s="1"/>
  <c r="L113" i="25" s="1"/>
  <c r="N113" i="25" s="1"/>
  <c r="P126" i="13"/>
  <c r="Q126" i="13" s="1"/>
  <c r="K126" i="25" s="1"/>
  <c r="L126" i="25" s="1"/>
  <c r="N126" i="25" s="1"/>
  <c r="P79" i="13"/>
  <c r="Q79" i="13" s="1"/>
  <c r="K79" i="25" s="1"/>
  <c r="L79" i="25" s="1"/>
  <c r="N79" i="25" s="1"/>
  <c r="P9" i="13"/>
  <c r="Q9" i="13" s="1"/>
  <c r="K9" i="25" s="1"/>
  <c r="L9" i="25" s="1"/>
  <c r="N9" i="25" s="1"/>
  <c r="P294" i="13"/>
  <c r="Q294" i="13" s="1"/>
  <c r="K294" i="25" s="1"/>
  <c r="L294" i="25" s="1"/>
  <c r="N294" i="25" s="1"/>
  <c r="P140" i="13"/>
  <c r="Q140" i="13" s="1"/>
  <c r="K140" i="25" s="1"/>
  <c r="L140" i="25" s="1"/>
  <c r="N140" i="25" s="1"/>
  <c r="P11" i="13"/>
  <c r="Q11" i="13" s="1"/>
  <c r="K11" i="25" s="1"/>
  <c r="L11" i="25" s="1"/>
  <c r="N11" i="25" s="1"/>
  <c r="P117" i="13"/>
  <c r="Q117" i="13" s="1"/>
  <c r="K117" i="25" s="1"/>
  <c r="L117" i="25" s="1"/>
  <c r="N117" i="25" s="1"/>
  <c r="P7" i="13"/>
  <c r="Q7" i="13" s="1"/>
  <c r="K7" i="25" s="1"/>
  <c r="L7" i="25" s="1"/>
  <c r="N7" i="25" s="1"/>
  <c r="P146" i="13"/>
  <c r="Q146" i="13" s="1"/>
  <c r="K146" i="25" s="1"/>
  <c r="L146" i="25" s="1"/>
  <c r="N146" i="25" s="1"/>
  <c r="P21" i="13"/>
  <c r="Q21" i="13" s="1"/>
  <c r="K21" i="25" s="1"/>
  <c r="L21" i="25" s="1"/>
  <c r="N21" i="25" s="1"/>
  <c r="P106" i="13"/>
  <c r="Q106" i="13" s="1"/>
  <c r="K106" i="25" s="1"/>
  <c r="L106" i="25" s="1"/>
  <c r="N106" i="25" s="1"/>
  <c r="P181" i="13"/>
  <c r="Q181" i="13" s="1"/>
  <c r="K181" i="25" s="1"/>
  <c r="L181" i="25" s="1"/>
  <c r="N181" i="25" s="1"/>
  <c r="P158" i="13"/>
  <c r="Q158" i="13" s="1"/>
  <c r="K158" i="25" s="1"/>
  <c r="L158" i="25" s="1"/>
  <c r="N158" i="25" s="1"/>
  <c r="P299" i="13"/>
  <c r="Q299" i="13" s="1"/>
  <c r="K299" i="25" s="1"/>
  <c r="L299" i="25" s="1"/>
  <c r="N299" i="25" s="1"/>
  <c r="P233" i="13"/>
  <c r="Q233" i="13" s="1"/>
  <c r="K233" i="25" s="1"/>
  <c r="L233" i="25" s="1"/>
  <c r="N233" i="25" s="1"/>
  <c r="P102" i="13"/>
  <c r="Q102" i="13" s="1"/>
  <c r="K102" i="25" s="1"/>
  <c r="L102" i="25" s="1"/>
  <c r="N102" i="25" s="1"/>
  <c r="P118" i="13"/>
  <c r="Q118" i="13" s="1"/>
  <c r="K118" i="25" s="1"/>
  <c r="L118" i="25" s="1"/>
  <c r="N118" i="25" s="1"/>
  <c r="P254" i="13"/>
  <c r="Q254" i="13" s="1"/>
  <c r="K254" i="25" s="1"/>
  <c r="L254" i="25" s="1"/>
  <c r="N254" i="25" s="1"/>
  <c r="P297" i="13"/>
  <c r="Q297" i="13" s="1"/>
  <c r="K297" i="25" s="1"/>
  <c r="L297" i="25" s="1"/>
  <c r="N297" i="25" s="1"/>
  <c r="P49" i="13"/>
  <c r="Q49" i="13" s="1"/>
  <c r="K49" i="25" s="1"/>
  <c r="L49" i="25" s="1"/>
  <c r="N49" i="25" s="1"/>
  <c r="P104" i="13"/>
  <c r="Q104" i="13" s="1"/>
  <c r="K104" i="25" s="1"/>
  <c r="L104" i="25" s="1"/>
  <c r="N104" i="25" s="1"/>
  <c r="P302" i="13"/>
  <c r="Q302" i="13" s="1"/>
  <c r="K302" i="25" s="1"/>
  <c r="L302" i="25" s="1"/>
  <c r="N302" i="25" s="1"/>
  <c r="P268" i="13"/>
  <c r="Q268" i="13" s="1"/>
  <c r="K268" i="25" s="1"/>
  <c r="L268" i="25" s="1"/>
  <c r="N268" i="25" s="1"/>
  <c r="P248" i="13"/>
  <c r="Q248" i="13" s="1"/>
  <c r="K248" i="25" s="1"/>
  <c r="L248" i="25" s="1"/>
  <c r="N248" i="25" s="1"/>
  <c r="P174" i="13"/>
  <c r="Q174" i="13" s="1"/>
  <c r="K174" i="25" s="1"/>
  <c r="L174" i="25" s="1"/>
  <c r="N174" i="25" s="1"/>
  <c r="P144" i="13"/>
  <c r="Q144" i="13" s="1"/>
  <c r="K144" i="25" s="1"/>
  <c r="L144" i="25" s="1"/>
  <c r="N144" i="25" s="1"/>
  <c r="P20" i="13"/>
  <c r="Q20" i="13" s="1"/>
  <c r="K20" i="25" s="1"/>
  <c r="L20" i="25" s="1"/>
  <c r="N20" i="25" s="1"/>
  <c r="P42" i="13"/>
  <c r="Q42" i="13" s="1"/>
  <c r="K42" i="25" s="1"/>
  <c r="L42" i="25" s="1"/>
  <c r="N42" i="25" s="1"/>
  <c r="P125" i="13"/>
  <c r="Q125" i="13" s="1"/>
  <c r="K125" i="25" s="1"/>
  <c r="L125" i="25" s="1"/>
  <c r="N125" i="25" s="1"/>
  <c r="P160" i="13"/>
  <c r="Q160" i="13" s="1"/>
  <c r="K160" i="25" s="1"/>
  <c r="L160" i="25" s="1"/>
  <c r="N160" i="25" s="1"/>
  <c r="P87" i="13"/>
  <c r="Q87" i="13" s="1"/>
  <c r="K87" i="25" s="1"/>
  <c r="L87" i="25" s="1"/>
  <c r="N87" i="25" s="1"/>
  <c r="P103" i="13"/>
  <c r="Q103" i="13" s="1"/>
  <c r="K103" i="25" s="1"/>
  <c r="L103" i="25" s="1"/>
  <c r="N103" i="25" s="1"/>
  <c r="P82" i="13"/>
  <c r="Q82" i="13" s="1"/>
  <c r="K82" i="25" s="1"/>
  <c r="L82" i="25" s="1"/>
  <c r="N82" i="25" s="1"/>
  <c r="P41" i="13"/>
  <c r="Q41" i="13" s="1"/>
  <c r="K41" i="25" s="1"/>
  <c r="L41" i="25" s="1"/>
  <c r="N41" i="25" s="1"/>
  <c r="P38" i="13"/>
  <c r="Q38" i="13" s="1"/>
  <c r="K38" i="25" s="1"/>
  <c r="L38" i="25" s="1"/>
  <c r="N38" i="25" s="1"/>
  <c r="P232" i="13"/>
  <c r="Q232" i="13" s="1"/>
  <c r="K232" i="25" s="1"/>
  <c r="L232" i="25" s="1"/>
  <c r="N232" i="25" s="1"/>
  <c r="P116" i="13"/>
  <c r="Q116" i="13" s="1"/>
  <c r="K116" i="25" s="1"/>
  <c r="L116" i="25" s="1"/>
  <c r="N116" i="25" s="1"/>
  <c r="P169" i="13"/>
  <c r="Q169" i="13" s="1"/>
  <c r="K169" i="25" s="1"/>
  <c r="L169" i="25" s="1"/>
  <c r="N169" i="25" s="1"/>
  <c r="P276" i="13"/>
  <c r="Q276" i="13" s="1"/>
  <c r="K276" i="25" s="1"/>
  <c r="L276" i="25" s="1"/>
  <c r="N276" i="25" s="1"/>
  <c r="P112" i="13"/>
  <c r="Q112" i="13" s="1"/>
  <c r="K112" i="25" s="1"/>
  <c r="L112" i="25" s="1"/>
  <c r="N112" i="25" s="1"/>
  <c r="P166" i="13"/>
  <c r="Q166" i="13" s="1"/>
  <c r="K166" i="25" s="1"/>
  <c r="L166" i="25" s="1"/>
  <c r="N166" i="25" s="1"/>
  <c r="P291" i="13"/>
  <c r="Q291" i="13" s="1"/>
  <c r="K291" i="25" s="1"/>
  <c r="L291" i="25" s="1"/>
  <c r="N291" i="25" s="1"/>
  <c r="P198" i="13"/>
  <c r="Q198" i="13" s="1"/>
  <c r="K198" i="25" s="1"/>
  <c r="L198" i="25" s="1"/>
  <c r="N198" i="25" s="1"/>
  <c r="P234" i="13"/>
  <c r="Q234" i="13" s="1"/>
  <c r="K234" i="25" s="1"/>
  <c r="L234" i="25" s="1"/>
  <c r="N234" i="25" s="1"/>
  <c r="P180" i="13"/>
  <c r="Q180" i="13" s="1"/>
  <c r="K180" i="25" s="1"/>
  <c r="L180" i="25" s="1"/>
  <c r="N180" i="25" s="1"/>
  <c r="P77" i="13"/>
  <c r="Q77" i="13" s="1"/>
  <c r="K77" i="25" s="1"/>
  <c r="L77" i="25" s="1"/>
  <c r="N77" i="25" s="1"/>
  <c r="P188" i="13"/>
  <c r="Q188" i="13" s="1"/>
  <c r="K188" i="25" s="1"/>
  <c r="L188" i="25" s="1"/>
  <c r="N188" i="25" s="1"/>
  <c r="P135" i="13"/>
  <c r="Q135" i="13" s="1"/>
  <c r="K135" i="25" s="1"/>
  <c r="L135" i="25" s="1"/>
  <c r="N135" i="25" s="1"/>
  <c r="P81" i="13"/>
  <c r="Q81" i="13" s="1"/>
  <c r="K81" i="25" s="1"/>
  <c r="L81" i="25" s="1"/>
  <c r="N81" i="25" s="1"/>
  <c r="P136" i="13"/>
  <c r="Q136" i="13" s="1"/>
  <c r="K136" i="25" s="1"/>
  <c r="L136" i="25" s="1"/>
  <c r="N136" i="25" s="1"/>
  <c r="P154" i="13"/>
  <c r="Q154" i="13" s="1"/>
  <c r="K154" i="25" s="1"/>
  <c r="L154" i="25" s="1"/>
  <c r="N154" i="25" s="1"/>
  <c r="P265" i="13"/>
  <c r="Q265" i="13" s="1"/>
  <c r="K265" i="25" s="1"/>
  <c r="L265" i="25" s="1"/>
  <c r="N265" i="25" s="1"/>
  <c r="P161" i="13"/>
  <c r="Q161" i="13" s="1"/>
  <c r="K161" i="25" s="1"/>
  <c r="L161" i="25" s="1"/>
  <c r="N161" i="25" s="1"/>
  <c r="P97" i="13"/>
  <c r="Q97" i="13" s="1"/>
  <c r="K97" i="25" s="1"/>
  <c r="L97" i="25" s="1"/>
  <c r="N97" i="25" s="1"/>
  <c r="P139" i="13"/>
  <c r="Q139" i="13" s="1"/>
  <c r="K139" i="25" s="1"/>
  <c r="L139" i="25" s="1"/>
  <c r="N139" i="25" s="1"/>
  <c r="P231" i="13"/>
  <c r="Q231" i="13" s="1"/>
  <c r="K231" i="25" s="1"/>
  <c r="L231" i="25" s="1"/>
  <c r="N231" i="25" s="1"/>
  <c r="P203" i="13"/>
  <c r="Q203" i="13" s="1"/>
  <c r="K203" i="25" s="1"/>
  <c r="L203" i="25" s="1"/>
  <c r="N203" i="25" s="1"/>
  <c r="P153" i="13"/>
  <c r="Q153" i="13" s="1"/>
  <c r="K153" i="25" s="1"/>
  <c r="L153" i="25" s="1"/>
  <c r="N153" i="25" s="1"/>
  <c r="P65" i="13"/>
  <c r="Q65" i="13" s="1"/>
  <c r="K65" i="25" s="1"/>
  <c r="L65" i="25" s="1"/>
  <c r="N65" i="25" s="1"/>
  <c r="P24" i="13"/>
  <c r="Q24" i="13" s="1"/>
  <c r="K24" i="25" s="1"/>
  <c r="L24" i="25" s="1"/>
  <c r="N24" i="25" s="1"/>
  <c r="P32" i="13"/>
  <c r="Q32" i="13" s="1"/>
  <c r="K32" i="25" s="1"/>
  <c r="L32" i="25" s="1"/>
  <c r="N32" i="25" s="1"/>
  <c r="P228" i="13"/>
  <c r="Q228" i="13" s="1"/>
  <c r="K228" i="25" s="1"/>
  <c r="L228" i="25" s="1"/>
  <c r="N228" i="25" s="1"/>
  <c r="P48" i="13"/>
  <c r="Q48" i="13" s="1"/>
  <c r="K48" i="25" s="1"/>
  <c r="L48" i="25" s="1"/>
  <c r="N48" i="25" s="1"/>
  <c r="P176" i="13"/>
  <c r="Q176" i="13" s="1"/>
  <c r="K176" i="25" s="1"/>
  <c r="L176" i="25" s="1"/>
  <c r="N176" i="25" s="1"/>
  <c r="P22" i="13"/>
  <c r="Q22" i="13" s="1"/>
  <c r="K22" i="25" s="1"/>
  <c r="L22" i="25" s="1"/>
  <c r="N22" i="25" s="1"/>
  <c r="P50" i="13"/>
  <c r="Q50" i="13" s="1"/>
  <c r="K50" i="25" s="1"/>
  <c r="L50" i="25" s="1"/>
  <c r="N50" i="25" s="1"/>
  <c r="P269" i="13"/>
  <c r="Q269" i="13" s="1"/>
  <c r="K269" i="25" s="1"/>
  <c r="L269" i="25" s="1"/>
  <c r="N269" i="25" s="1"/>
  <c r="P155" i="13"/>
  <c r="Q155" i="13" s="1"/>
  <c r="K155" i="25" s="1"/>
  <c r="L155" i="25" s="1"/>
  <c r="N155" i="25" s="1"/>
  <c r="P44" i="13"/>
  <c r="Q44" i="13" s="1"/>
  <c r="K44" i="25" s="1"/>
  <c r="L44" i="25" s="1"/>
  <c r="N44" i="25" s="1"/>
  <c r="P15" i="13"/>
  <c r="Q15" i="13" s="1"/>
  <c r="K15" i="25" s="1"/>
  <c r="L15" i="25" s="1"/>
  <c r="N15" i="25" s="1"/>
  <c r="P85" i="13"/>
  <c r="Q85" i="13" s="1"/>
  <c r="K85" i="25" s="1"/>
  <c r="L85" i="25" s="1"/>
  <c r="N85" i="25" s="1"/>
  <c r="P211" i="13"/>
  <c r="Q211" i="13" s="1"/>
  <c r="K211" i="25" s="1"/>
  <c r="L211" i="25" s="1"/>
  <c r="N211" i="25" s="1"/>
  <c r="P221" i="13"/>
  <c r="Q221" i="13" s="1"/>
  <c r="K221" i="25" s="1"/>
  <c r="L221" i="25" s="1"/>
  <c r="N221" i="25" s="1"/>
  <c r="P241" i="13"/>
  <c r="Q241" i="13" s="1"/>
  <c r="K241" i="25" s="1"/>
  <c r="L241" i="25" s="1"/>
  <c r="N241" i="25" s="1"/>
  <c r="P190" i="13"/>
  <c r="Q190" i="13" s="1"/>
  <c r="K190" i="25" s="1"/>
  <c r="L190" i="25" s="1"/>
  <c r="N190" i="25" s="1"/>
  <c r="P47" i="13"/>
  <c r="Q47" i="13" s="1"/>
  <c r="K47" i="25" s="1"/>
  <c r="L47" i="25" s="1"/>
  <c r="N47" i="25" s="1"/>
  <c r="P151" i="13"/>
  <c r="Q151" i="13" s="1"/>
  <c r="K151" i="25" s="1"/>
  <c r="L151" i="25" s="1"/>
  <c r="N151" i="25" s="1"/>
  <c r="P295" i="13"/>
  <c r="Q295" i="13" s="1"/>
  <c r="K295" i="25" s="1"/>
  <c r="L295" i="25" s="1"/>
  <c r="N295" i="25" s="1"/>
  <c r="P91" i="13"/>
  <c r="Q91" i="13" s="1"/>
  <c r="K91" i="25" s="1"/>
  <c r="L91" i="25" s="1"/>
  <c r="N91" i="25" s="1"/>
  <c r="P260" i="13"/>
  <c r="Q260" i="13" s="1"/>
  <c r="K260" i="25" s="1"/>
  <c r="L260" i="25" s="1"/>
  <c r="N260" i="25" s="1"/>
  <c r="P252" i="13"/>
  <c r="Q252" i="13" s="1"/>
  <c r="K252" i="25" s="1"/>
  <c r="L252" i="25" s="1"/>
  <c r="N252" i="25" s="1"/>
  <c r="P249" i="13"/>
  <c r="Q249" i="13" s="1"/>
  <c r="K249" i="25" s="1"/>
  <c r="L249" i="25" s="1"/>
  <c r="N249" i="25" s="1"/>
  <c r="P88" i="13"/>
  <c r="Q88" i="13" s="1"/>
  <c r="K88" i="25" s="1"/>
  <c r="L88" i="25" s="1"/>
  <c r="N88" i="25" s="1"/>
  <c r="P59" i="13"/>
  <c r="Q59" i="13" s="1"/>
  <c r="K59" i="25" s="1"/>
  <c r="L59" i="25" s="1"/>
  <c r="N59" i="25" s="1"/>
  <c r="P183" i="13"/>
  <c r="Q183" i="13" s="1"/>
  <c r="K183" i="25" s="1"/>
  <c r="L183" i="25" s="1"/>
  <c r="N183" i="25" s="1"/>
  <c r="P306" i="13"/>
  <c r="Q306" i="13" s="1"/>
  <c r="K306" i="25" s="1"/>
  <c r="L306" i="25" s="1"/>
  <c r="N306" i="25" s="1"/>
  <c r="P130" i="13"/>
  <c r="Q130" i="13" s="1"/>
  <c r="K130" i="25" s="1"/>
  <c r="L130" i="25" s="1"/>
  <c r="N130" i="25" s="1"/>
  <c r="P197" i="13"/>
  <c r="Q197" i="13" s="1"/>
  <c r="K197" i="25" s="1"/>
  <c r="L197" i="25" s="1"/>
  <c r="N197" i="25" s="1"/>
  <c r="P287" i="13"/>
  <c r="Q287" i="13" s="1"/>
  <c r="K287" i="25" s="1"/>
  <c r="L287" i="25" s="1"/>
  <c r="N287" i="25" s="1"/>
  <c r="P152" i="13"/>
  <c r="Q152" i="13" s="1"/>
  <c r="K152" i="25" s="1"/>
  <c r="L152" i="25" s="1"/>
  <c r="N152" i="25" s="1"/>
  <c r="P259" i="13"/>
  <c r="Q259" i="13" s="1"/>
  <c r="K259" i="25" s="1"/>
  <c r="L259" i="25" s="1"/>
  <c r="N259" i="25" s="1"/>
  <c r="P275" i="13"/>
  <c r="Q275" i="13" s="1"/>
  <c r="K275" i="25" s="1"/>
  <c r="L275" i="25" s="1"/>
  <c r="N275" i="25" s="1"/>
  <c r="P56" i="13"/>
  <c r="Q56" i="13" s="1"/>
  <c r="K56" i="25" s="1"/>
  <c r="L56" i="25" s="1"/>
  <c r="N56" i="25" s="1"/>
  <c r="P68" i="13"/>
  <c r="Q68" i="13" s="1"/>
  <c r="K68" i="25" s="1"/>
  <c r="L68" i="25" s="1"/>
  <c r="N68" i="25" s="1"/>
  <c r="P210" i="13"/>
  <c r="Q210" i="13" s="1"/>
  <c r="K210" i="25" s="1"/>
  <c r="L210" i="25" s="1"/>
  <c r="N210" i="25" s="1"/>
  <c r="P80" i="13"/>
  <c r="Q80" i="13" s="1"/>
  <c r="K80" i="25" s="1"/>
  <c r="L80" i="25" s="1"/>
  <c r="N80" i="25" s="1"/>
  <c r="P138" i="13"/>
  <c r="Q138" i="13" s="1"/>
  <c r="K138" i="25" s="1"/>
  <c r="L138" i="25" s="1"/>
  <c r="N138" i="25" s="1"/>
  <c r="P192" i="13"/>
  <c r="Q192" i="13" s="1"/>
  <c r="K192" i="25" s="1"/>
  <c r="L192" i="25" s="1"/>
  <c r="N192" i="25" s="1"/>
  <c r="P170" i="13"/>
  <c r="Q170" i="13" s="1"/>
  <c r="K170" i="25" s="1"/>
  <c r="L170" i="25" s="1"/>
  <c r="N170" i="25" s="1"/>
  <c r="P131" i="13"/>
  <c r="Q131" i="13" s="1"/>
  <c r="K131" i="25" s="1"/>
  <c r="L131" i="25" s="1"/>
  <c r="N131" i="25" s="1"/>
  <c r="P39" i="13"/>
  <c r="Q39" i="13" s="1"/>
  <c r="K39" i="25" s="1"/>
  <c r="L39" i="25" s="1"/>
  <c r="N39" i="25" s="1"/>
  <c r="P271" i="13"/>
  <c r="Q271" i="13" s="1"/>
  <c r="K271" i="25" s="1"/>
  <c r="L271" i="25" s="1"/>
  <c r="N271" i="25" s="1"/>
  <c r="P37" i="13"/>
  <c r="Q37" i="13" s="1"/>
  <c r="K37" i="25" s="1"/>
  <c r="L37" i="25" s="1"/>
  <c r="N37" i="25" s="1"/>
  <c r="P251" i="13"/>
  <c r="Q251" i="13" s="1"/>
  <c r="K251" i="25" s="1"/>
  <c r="L251" i="25" s="1"/>
  <c r="N251" i="25" s="1"/>
  <c r="P90" i="13"/>
  <c r="Q90" i="13" s="1"/>
  <c r="K90" i="25" s="1"/>
  <c r="L90" i="25" s="1"/>
  <c r="N90" i="25" s="1"/>
  <c r="P93" i="13"/>
  <c r="Q93" i="13" s="1"/>
  <c r="K93" i="25" s="1"/>
  <c r="L93" i="25" s="1"/>
  <c r="N93" i="25" s="1"/>
  <c r="P195" i="13"/>
  <c r="Q195" i="13" s="1"/>
  <c r="K195" i="25" s="1"/>
  <c r="L195" i="25" s="1"/>
  <c r="N195" i="25" s="1"/>
  <c r="P184" i="13"/>
  <c r="Q184" i="13" s="1"/>
  <c r="K184" i="25" s="1"/>
  <c r="L184" i="25" s="1"/>
  <c r="N184" i="25" s="1"/>
  <c r="P314" i="13"/>
  <c r="Q314" i="13" s="1"/>
  <c r="K314" i="25" s="1"/>
  <c r="L314" i="25" s="1"/>
  <c r="N314" i="25" s="1"/>
  <c r="P207" i="13"/>
  <c r="Q207" i="13" s="1"/>
  <c r="K207" i="25" s="1"/>
  <c r="L207" i="25" s="1"/>
  <c r="N207" i="25" s="1"/>
  <c r="P74" i="13"/>
  <c r="Q74" i="13" s="1"/>
  <c r="K74" i="25" s="1"/>
  <c r="L74" i="25" s="1"/>
  <c r="N74" i="25" s="1"/>
  <c r="P253" i="13"/>
  <c r="Q253" i="13" s="1"/>
  <c r="K253" i="25" s="1"/>
  <c r="L253" i="25" s="1"/>
  <c r="N253" i="25" s="1"/>
  <c r="P19" i="13"/>
  <c r="Q19" i="13" s="1"/>
  <c r="K19" i="25" s="1"/>
  <c r="L19" i="25" s="1"/>
  <c r="N19" i="25" s="1"/>
  <c r="P185" i="13"/>
  <c r="Q185" i="13" s="1"/>
  <c r="K185" i="25" s="1"/>
  <c r="L185" i="25" s="1"/>
  <c r="N185" i="25" s="1"/>
  <c r="P17" i="13"/>
  <c r="Q17" i="13" s="1"/>
  <c r="K17" i="25" s="1"/>
  <c r="L17" i="25" s="1"/>
  <c r="N17" i="25" s="1"/>
  <c r="J5" i="12"/>
  <c r="P57" i="13"/>
  <c r="Q57" i="13" s="1"/>
  <c r="K57" i="25" s="1"/>
  <c r="L57" i="25" s="1"/>
  <c r="N57" i="25" s="1"/>
  <c r="P121" i="13"/>
  <c r="Q121" i="13" s="1"/>
  <c r="K121" i="25" s="1"/>
  <c r="L121" i="25" s="1"/>
  <c r="N121" i="25" s="1"/>
  <c r="P12" i="13"/>
  <c r="Q12" i="13" s="1"/>
  <c r="K12" i="25" s="1"/>
  <c r="L12" i="25" s="1"/>
  <c r="N12" i="25" s="1"/>
  <c r="P165" i="13"/>
  <c r="Q165" i="13" s="1"/>
  <c r="K165" i="25" s="1"/>
  <c r="L165" i="25" s="1"/>
  <c r="N165" i="25" s="1"/>
  <c r="P222" i="13"/>
  <c r="Q222" i="13" s="1"/>
  <c r="K222" i="25" s="1"/>
  <c r="L222" i="25" s="1"/>
  <c r="N222" i="25" s="1"/>
  <c r="P149" i="13"/>
  <c r="Q149" i="13" s="1"/>
  <c r="K149" i="25" s="1"/>
  <c r="L149" i="25" s="1"/>
  <c r="N149" i="25" s="1"/>
  <c r="P288" i="13"/>
  <c r="Q288" i="13" s="1"/>
  <c r="K288" i="25" s="1"/>
  <c r="L288" i="25" s="1"/>
  <c r="N288" i="25" s="1"/>
  <c r="P111" i="13"/>
  <c r="Q111" i="13" s="1"/>
  <c r="K111" i="25" s="1"/>
  <c r="L111" i="25" s="1"/>
  <c r="N111" i="25" s="1"/>
  <c r="P45" i="13"/>
  <c r="Q45" i="13" s="1"/>
  <c r="K45" i="25" s="1"/>
  <c r="L45" i="25" s="1"/>
  <c r="N45" i="25" s="1"/>
  <c r="P61" i="13"/>
  <c r="Q61" i="13" s="1"/>
  <c r="K61" i="25" s="1"/>
  <c r="L61" i="25" s="1"/>
  <c r="N61" i="25" s="1"/>
  <c r="P201" i="13"/>
  <c r="Q201" i="13" s="1"/>
  <c r="K201" i="25" s="1"/>
  <c r="L201" i="25" s="1"/>
  <c r="N201" i="25" s="1"/>
  <c r="P133" i="13"/>
  <c r="Q133" i="13" s="1"/>
  <c r="K133" i="25" s="1"/>
  <c r="L133" i="25" s="1"/>
  <c r="N133" i="25" s="1"/>
  <c r="P34" i="13"/>
  <c r="Q34" i="13" s="1"/>
  <c r="K34" i="25" s="1"/>
  <c r="L34" i="25" s="1"/>
  <c r="N34" i="25" s="1"/>
  <c r="P119" i="13"/>
  <c r="Q119" i="13" s="1"/>
  <c r="K119" i="25" s="1"/>
  <c r="L119" i="25" s="1"/>
  <c r="N119" i="25" s="1"/>
  <c r="P256" i="13"/>
  <c r="Q256" i="13" s="1"/>
  <c r="K256" i="25" s="1"/>
  <c r="L256" i="25" s="1"/>
  <c r="N256" i="25" s="1"/>
  <c r="P300" i="13"/>
  <c r="Q300" i="13" s="1"/>
  <c r="K300" i="25" s="1"/>
  <c r="L300" i="25" s="1"/>
  <c r="N300" i="25" s="1"/>
  <c r="P199" i="13"/>
  <c r="Q199" i="13" s="1"/>
  <c r="K199" i="25" s="1"/>
  <c r="L199" i="25" s="1"/>
  <c r="N199" i="25" s="1"/>
  <c r="P257" i="13"/>
  <c r="Q257" i="13" s="1"/>
  <c r="K257" i="25" s="1"/>
  <c r="L257" i="25" s="1"/>
  <c r="N257" i="25" s="1"/>
  <c r="P243" i="13"/>
  <c r="Q243" i="13" s="1"/>
  <c r="K243" i="25" s="1"/>
  <c r="L243" i="25" s="1"/>
  <c r="N243" i="25" s="1"/>
  <c r="P33" i="13"/>
  <c r="Q33" i="13" s="1"/>
  <c r="K33" i="25" s="1"/>
  <c r="L33" i="25" s="1"/>
  <c r="N33" i="25" s="1"/>
  <c r="P242" i="13"/>
  <c r="Q242" i="13" s="1"/>
  <c r="K242" i="25" s="1"/>
  <c r="L242" i="25" s="1"/>
  <c r="N242" i="25" s="1"/>
  <c r="P298" i="13"/>
  <c r="Q298" i="13" s="1"/>
  <c r="K298" i="25" s="1"/>
  <c r="L298" i="25" s="1"/>
  <c r="N298" i="25" s="1"/>
  <c r="P100" i="13"/>
  <c r="Q100" i="13" s="1"/>
  <c r="K100" i="25" s="1"/>
  <c r="L100" i="25" s="1"/>
  <c r="N100" i="25" s="1"/>
  <c r="P175" i="13"/>
  <c r="Q175" i="13" s="1"/>
  <c r="K175" i="25" s="1"/>
  <c r="L175" i="25" s="1"/>
  <c r="N175" i="25" s="1"/>
  <c r="P236" i="13"/>
  <c r="Q236" i="13" s="1"/>
  <c r="K236" i="25" s="1"/>
  <c r="L236" i="25" s="1"/>
  <c r="N236" i="25" s="1"/>
  <c r="P23" i="13"/>
  <c r="Q23" i="13" s="1"/>
  <c r="K23" i="25" s="1"/>
  <c r="L23" i="25" s="1"/>
  <c r="N23" i="25" s="1"/>
  <c r="P105" i="13"/>
  <c r="Q105" i="13" s="1"/>
  <c r="K105" i="25" s="1"/>
  <c r="L105" i="25" s="1"/>
  <c r="N105" i="25" s="1"/>
  <c r="P29" i="13"/>
  <c r="Q29" i="13" s="1"/>
  <c r="K29" i="25" s="1"/>
  <c r="L29" i="25" s="1"/>
  <c r="N29" i="25" s="1"/>
  <c r="P267" i="13"/>
  <c r="Q267" i="13" s="1"/>
  <c r="K267" i="25" s="1"/>
  <c r="L267" i="25" s="1"/>
  <c r="N267" i="25" s="1"/>
  <c r="P289" i="13"/>
  <c r="Q289" i="13" s="1"/>
  <c r="K289" i="25" s="1"/>
  <c r="L289" i="25" s="1"/>
  <c r="N289" i="25" s="1"/>
  <c r="P122" i="13"/>
  <c r="Q122" i="13" s="1"/>
  <c r="K122" i="25" s="1"/>
  <c r="L122" i="25" s="1"/>
  <c r="N122" i="25" s="1"/>
  <c r="P229" i="13"/>
  <c r="Q229" i="13" s="1"/>
  <c r="K229" i="25" s="1"/>
  <c r="L229" i="25" s="1"/>
  <c r="N229" i="25" s="1"/>
  <c r="P58" i="13"/>
  <c r="Q58" i="13" s="1"/>
  <c r="K58" i="25" s="1"/>
  <c r="L58" i="25" s="1"/>
  <c r="N58" i="25" s="1"/>
  <c r="P280" i="13"/>
  <c r="Q280" i="13" s="1"/>
  <c r="K280" i="25" s="1"/>
  <c r="L280" i="25" s="1"/>
  <c r="N280" i="25" s="1"/>
  <c r="P238" i="13"/>
  <c r="Q238" i="13" s="1"/>
  <c r="K238" i="25" s="1"/>
  <c r="L238" i="25" s="1"/>
  <c r="N238" i="25" s="1"/>
  <c r="P218" i="13"/>
  <c r="Q218" i="13" s="1"/>
  <c r="K218" i="25" s="1"/>
  <c r="L218" i="25" s="1"/>
  <c r="N218" i="25" s="1"/>
  <c r="P67" i="13"/>
  <c r="Q67" i="13" s="1"/>
  <c r="K67" i="25" s="1"/>
  <c r="L67" i="25" s="1"/>
  <c r="N67" i="25" s="1"/>
  <c r="P239" i="13"/>
  <c r="Q239" i="13" s="1"/>
  <c r="K239" i="25" s="1"/>
  <c r="L239" i="25" s="1"/>
  <c r="N239" i="25" s="1"/>
  <c r="P255" i="13"/>
  <c r="Q255" i="13" s="1"/>
  <c r="K255" i="25" s="1"/>
  <c r="L255" i="25" s="1"/>
  <c r="N255" i="25" s="1"/>
  <c r="P266" i="13"/>
  <c r="Q266" i="13" s="1"/>
  <c r="K266" i="25" s="1"/>
  <c r="L266" i="25" s="1"/>
  <c r="N266" i="25" s="1"/>
  <c r="P208" i="13"/>
  <c r="Q208" i="13" s="1"/>
  <c r="K208" i="25" s="1"/>
  <c r="L208" i="25" s="1"/>
  <c r="N208" i="25" s="1"/>
  <c r="P145" i="13"/>
  <c r="Q145" i="13" s="1"/>
  <c r="K145" i="25" s="1"/>
  <c r="L145" i="25" s="1"/>
  <c r="N145" i="25" s="1"/>
  <c r="P191" i="13"/>
  <c r="Q191" i="13" s="1"/>
  <c r="K191" i="25" s="1"/>
  <c r="L191" i="25" s="1"/>
  <c r="N191" i="25" s="1"/>
  <c r="P173" i="13"/>
  <c r="Q173" i="13" s="1"/>
  <c r="K173" i="25" s="1"/>
  <c r="L173" i="25" s="1"/>
  <c r="N173" i="25" s="1"/>
  <c r="P52" i="13"/>
  <c r="Q52" i="13" s="1"/>
  <c r="K52" i="25" s="1"/>
  <c r="L52" i="25" s="1"/>
  <c r="N52" i="25" s="1"/>
  <c r="P179" i="13"/>
  <c r="Q179" i="13" s="1"/>
  <c r="K179" i="25" s="1"/>
  <c r="L179" i="25" s="1"/>
  <c r="N179" i="25" s="1"/>
  <c r="P35" i="13"/>
  <c r="Q35" i="13" s="1"/>
  <c r="K35" i="25" s="1"/>
  <c r="L35" i="25" s="1"/>
  <c r="N35" i="25" s="1"/>
  <c r="P245" i="13"/>
  <c r="Q245" i="13" s="1"/>
  <c r="K245" i="25" s="1"/>
  <c r="L245" i="25" s="1"/>
  <c r="N245" i="25" s="1"/>
  <c r="P303" i="13"/>
  <c r="Q303" i="13" s="1"/>
  <c r="K303" i="25" s="1"/>
  <c r="L303" i="25" s="1"/>
  <c r="N303" i="25" s="1"/>
  <c r="P293" i="13"/>
  <c r="Q293" i="13" s="1"/>
  <c r="K293" i="25" s="1"/>
  <c r="L293" i="25" s="1"/>
  <c r="N293" i="25" s="1"/>
  <c r="P270" i="13"/>
  <c r="Q270" i="13" s="1"/>
  <c r="K270" i="25" s="1"/>
  <c r="L270" i="25" s="1"/>
  <c r="N270" i="25" s="1"/>
  <c r="P13" i="13"/>
  <c r="Q13" i="13" s="1"/>
  <c r="K13" i="25" s="1"/>
  <c r="L13" i="25" s="1"/>
  <c r="N13" i="25" s="1"/>
  <c r="P46" i="13"/>
  <c r="Q46" i="13" s="1"/>
  <c r="K46" i="25" s="1"/>
  <c r="L46" i="25" s="1"/>
  <c r="N46" i="25" s="1"/>
  <c r="P108" i="13"/>
  <c r="Q108" i="13" s="1"/>
  <c r="K108" i="25" s="1"/>
  <c r="L108" i="25" s="1"/>
  <c r="N108" i="25" s="1"/>
  <c r="P205" i="13"/>
  <c r="Q205" i="13" s="1"/>
  <c r="K205" i="25" s="1"/>
  <c r="L205" i="25" s="1"/>
  <c r="N205" i="25" s="1"/>
  <c r="P64" i="13"/>
  <c r="Q64" i="13" s="1"/>
  <c r="K64" i="25" s="1"/>
  <c r="L64" i="25" s="1"/>
  <c r="N64" i="25" s="1"/>
  <c r="P220" i="13"/>
  <c r="Q220" i="13" s="1"/>
  <c r="K220" i="25" s="1"/>
  <c r="L220" i="25" s="1"/>
  <c r="N220" i="25" s="1"/>
  <c r="P51" i="13"/>
  <c r="Q51" i="13" s="1"/>
  <c r="K51" i="25" s="1"/>
  <c r="L51" i="25" s="1"/>
  <c r="N51" i="25" s="1"/>
  <c r="P304" i="13"/>
  <c r="Q304" i="13" s="1"/>
  <c r="K304" i="25" s="1"/>
  <c r="L304" i="25" s="1"/>
  <c r="N304" i="25" s="1"/>
  <c r="P92" i="13"/>
  <c r="Q92" i="13" s="1"/>
  <c r="K92" i="25" s="1"/>
  <c r="L92" i="25" s="1"/>
  <c r="N92" i="25" s="1"/>
  <c r="P284" i="13"/>
  <c r="Q284" i="13" s="1"/>
  <c r="K284" i="25" s="1"/>
  <c r="L284" i="25" s="1"/>
  <c r="N284" i="25" s="1"/>
  <c r="P285" i="13"/>
  <c r="Q285" i="13" s="1"/>
  <c r="K285" i="25" s="1"/>
  <c r="L285" i="25" s="1"/>
  <c r="N285" i="25" s="1"/>
  <c r="P279" i="13"/>
  <c r="Q279" i="13" s="1"/>
  <c r="K279" i="25" s="1"/>
  <c r="L279" i="25" s="1"/>
  <c r="N279" i="25" s="1"/>
  <c r="P114" i="13"/>
  <c r="Q114" i="13" s="1"/>
  <c r="K114" i="25" s="1"/>
  <c r="L114" i="25" s="1"/>
  <c r="N114" i="25" s="1"/>
  <c r="P273" i="13"/>
  <c r="Q273" i="13" s="1"/>
  <c r="K273" i="25" s="1"/>
  <c r="L273" i="25" s="1"/>
  <c r="N273" i="25" s="1"/>
  <c r="P247" i="13"/>
  <c r="Q247" i="13" s="1"/>
  <c r="K247" i="25" s="1"/>
  <c r="L247" i="25" s="1"/>
  <c r="N247" i="25" s="1"/>
  <c r="P159" i="13"/>
  <c r="Q159" i="13" s="1"/>
  <c r="K159" i="25" s="1"/>
  <c r="L159" i="25" s="1"/>
  <c r="N159" i="25" s="1"/>
  <c r="P305" i="13"/>
  <c r="Q305" i="13" s="1"/>
  <c r="K305" i="25" s="1"/>
  <c r="L305" i="25" s="1"/>
  <c r="N305" i="25" s="1"/>
  <c r="P262" i="13"/>
  <c r="Q262" i="13" s="1"/>
  <c r="K262" i="25" s="1"/>
  <c r="L262" i="25" s="1"/>
  <c r="N262" i="25" s="1"/>
  <c r="P78" i="13"/>
  <c r="Q78" i="13" s="1"/>
  <c r="K78" i="25" s="1"/>
  <c r="L78" i="25" s="1"/>
  <c r="N78" i="25" s="1"/>
  <c r="P83" i="13"/>
  <c r="Q83" i="13" s="1"/>
  <c r="K83" i="25" s="1"/>
  <c r="L83" i="25" s="1"/>
  <c r="N83" i="25" s="1"/>
  <c r="P123" i="13"/>
  <c r="Q123" i="13" s="1"/>
  <c r="K123" i="25" s="1"/>
  <c r="L123" i="25" s="1"/>
  <c r="N123" i="25" s="1"/>
  <c r="P209" i="13"/>
  <c r="Q209" i="13" s="1"/>
  <c r="K209" i="25" s="1"/>
  <c r="L209" i="25" s="1"/>
  <c r="N209" i="25" s="1"/>
  <c r="P163" i="13"/>
  <c r="Q163" i="13" s="1"/>
  <c r="K163" i="25" s="1"/>
  <c r="L163" i="25" s="1"/>
  <c r="N163" i="25" s="1"/>
  <c r="P107" i="13"/>
  <c r="Q107" i="13" s="1"/>
  <c r="K107" i="25" s="1"/>
  <c r="L107" i="25" s="1"/>
  <c r="N107" i="25" s="1"/>
  <c r="P187" i="13"/>
  <c r="Q187" i="13" s="1"/>
  <c r="K187" i="25" s="1"/>
  <c r="L187" i="25" s="1"/>
  <c r="N187" i="25" s="1"/>
  <c r="P129" i="13"/>
  <c r="Q129" i="13" s="1"/>
  <c r="K129" i="25" s="1"/>
  <c r="L129" i="25" s="1"/>
  <c r="N129" i="25" s="1"/>
  <c r="P25" i="13"/>
  <c r="Q25" i="13" s="1"/>
  <c r="K25" i="25" s="1"/>
  <c r="L25" i="25" s="1"/>
  <c r="N25" i="25" s="1"/>
  <c r="P96" i="13"/>
  <c r="Q96" i="13" s="1"/>
  <c r="K96" i="25" s="1"/>
  <c r="L96" i="25" s="1"/>
  <c r="N96" i="25" s="1"/>
  <c r="P193" i="13"/>
  <c r="Q193" i="13" s="1"/>
  <c r="K193" i="25" s="1"/>
  <c r="L193" i="25" s="1"/>
  <c r="N193" i="25" s="1"/>
  <c r="P89" i="13"/>
  <c r="Q89" i="13" s="1"/>
  <c r="K89" i="25" s="1"/>
  <c r="L89" i="25" s="1"/>
  <c r="N89" i="25" s="1"/>
  <c r="P75" i="13"/>
  <c r="Q75" i="13" s="1"/>
  <c r="K75" i="25" s="1"/>
  <c r="L75" i="25" s="1"/>
  <c r="N75" i="25" s="1"/>
  <c r="P73" i="13"/>
  <c r="Q73" i="13" s="1"/>
  <c r="K73" i="25" s="1"/>
  <c r="L73" i="25" s="1"/>
  <c r="N73" i="25" s="1"/>
  <c r="P215" i="13"/>
  <c r="Q215" i="13" s="1"/>
  <c r="K215" i="25" s="1"/>
  <c r="L215" i="25" s="1"/>
  <c r="N215" i="25" s="1"/>
  <c r="P264" i="13"/>
  <c r="Q264" i="13" s="1"/>
  <c r="K264" i="25" s="1"/>
  <c r="L264" i="25" s="1"/>
  <c r="N264" i="25" s="1"/>
  <c r="P261" i="13"/>
  <c r="Q261" i="13" s="1"/>
  <c r="K261" i="25" s="1"/>
  <c r="L261" i="25" s="1"/>
  <c r="N261" i="25" s="1"/>
  <c r="P134" i="13"/>
  <c r="Q134" i="13" s="1"/>
  <c r="K134" i="25" s="1"/>
  <c r="L134" i="25" s="1"/>
  <c r="N134" i="25" s="1"/>
  <c r="P178" i="13"/>
  <c r="Q178" i="13" s="1"/>
  <c r="K178" i="25" s="1"/>
  <c r="L178" i="25" s="1"/>
  <c r="N178" i="25" s="1"/>
  <c r="P225" i="13"/>
  <c r="Q225" i="13" s="1"/>
  <c r="K225" i="25" s="1"/>
  <c r="L225" i="25" s="1"/>
  <c r="N225" i="25" s="1"/>
  <c r="P28" i="13"/>
  <c r="Q28" i="13" s="1"/>
  <c r="K28" i="25" s="1"/>
  <c r="L28" i="25" s="1"/>
  <c r="N28" i="25" s="1"/>
  <c r="P307" i="13"/>
  <c r="Q307" i="13" s="1"/>
  <c r="K307" i="25" s="1"/>
  <c r="L307" i="25" s="1"/>
  <c r="N307" i="25" s="1"/>
  <c r="P308" i="13"/>
  <c r="Q308" i="13" s="1"/>
  <c r="K308" i="25" s="1"/>
  <c r="L308" i="25" s="1"/>
  <c r="N308" i="25" s="1"/>
  <c r="P27" i="13"/>
  <c r="Q27" i="13" s="1"/>
  <c r="K27" i="25" s="1"/>
  <c r="L27" i="25" s="1"/>
  <c r="N27" i="25" s="1"/>
  <c r="P30" i="13"/>
  <c r="Q30" i="13" s="1"/>
  <c r="K30" i="25" s="1"/>
  <c r="L30" i="25" s="1"/>
  <c r="N30" i="25" s="1"/>
  <c r="P124" i="13"/>
  <c r="Q124" i="13" s="1"/>
  <c r="K124" i="25" s="1"/>
  <c r="L124" i="25" s="1"/>
  <c r="N124" i="25" s="1"/>
  <c r="P164" i="13"/>
  <c r="Q164" i="13" s="1"/>
  <c r="K164" i="25" s="1"/>
  <c r="L164" i="25" s="1"/>
  <c r="N164" i="25" s="1"/>
  <c r="P16" i="13"/>
  <c r="Q16" i="13" s="1"/>
  <c r="K16" i="25" s="1"/>
  <c r="L16" i="25" s="1"/>
  <c r="N16" i="25" s="1"/>
  <c r="P189" i="13"/>
  <c r="Q189" i="13" s="1"/>
  <c r="K189" i="25" s="1"/>
  <c r="L189" i="25" s="1"/>
  <c r="N189" i="25" s="1"/>
  <c r="P157" i="13"/>
  <c r="Q157" i="13" s="1"/>
  <c r="K157" i="25" s="1"/>
  <c r="L157" i="25" s="1"/>
  <c r="N157" i="25" s="1"/>
  <c r="P202" i="13"/>
  <c r="Q202" i="13" s="1"/>
  <c r="K202" i="25" s="1"/>
  <c r="L202" i="25" s="1"/>
  <c r="N202" i="25" s="1"/>
  <c r="P84" i="13"/>
  <c r="Q84" i="13" s="1"/>
  <c r="K84" i="25" s="1"/>
  <c r="L84" i="25" s="1"/>
  <c r="N84" i="25" s="1"/>
  <c r="P278" i="13"/>
  <c r="Q278" i="13" s="1"/>
  <c r="K278" i="25" s="1"/>
  <c r="L278" i="25" s="1"/>
  <c r="N278" i="25" s="1"/>
  <c r="P63" i="13"/>
  <c r="Q63" i="13" s="1"/>
  <c r="K63" i="25" s="1"/>
  <c r="L63" i="25" s="1"/>
  <c r="N63" i="25" s="1"/>
  <c r="P296" i="13"/>
  <c r="Q296" i="13" s="1"/>
  <c r="K296" i="25" s="1"/>
  <c r="L296" i="25" s="1"/>
  <c r="N296" i="25" s="1"/>
  <c r="P167" i="13"/>
  <c r="Q167" i="13" s="1"/>
  <c r="K167" i="25" s="1"/>
  <c r="L167" i="25" s="1"/>
  <c r="N167" i="25" s="1"/>
  <c r="P99" i="13"/>
  <c r="Q99" i="13" s="1"/>
  <c r="K99" i="25" s="1"/>
  <c r="L99" i="25" s="1"/>
  <c r="N99" i="25" s="1"/>
  <c r="P10" i="13"/>
  <c r="Q10" i="13" s="1"/>
  <c r="K10" i="25" s="1"/>
  <c r="L10" i="25" s="1"/>
  <c r="N10" i="25" s="1"/>
  <c r="P213" i="13"/>
  <c r="Q213" i="13" s="1"/>
  <c r="K213" i="25" s="1"/>
  <c r="L213" i="25" s="1"/>
  <c r="N213" i="25" s="1"/>
  <c r="P311" i="13"/>
  <c r="Q311" i="13" s="1"/>
  <c r="K311" i="25" s="1"/>
  <c r="L311" i="25" s="1"/>
  <c r="N311" i="25" s="1"/>
  <c r="P177" i="13"/>
  <c r="Q177" i="13" s="1"/>
  <c r="K177" i="25" s="1"/>
  <c r="L177" i="25" s="1"/>
  <c r="N177" i="25" s="1"/>
  <c r="P214" i="13"/>
  <c r="Q214" i="13" s="1"/>
  <c r="K214" i="25" s="1"/>
  <c r="L214" i="25" s="1"/>
  <c r="N214" i="25" s="1"/>
  <c r="P94" i="13"/>
  <c r="Q94" i="13" s="1"/>
  <c r="K94" i="25" s="1"/>
  <c r="L94" i="25" s="1"/>
  <c r="N94" i="25" s="1"/>
  <c r="P137" i="13"/>
  <c r="Q137" i="13" s="1"/>
  <c r="K137" i="25" s="1"/>
  <c r="L137" i="25" s="1"/>
  <c r="N137" i="25" s="1"/>
  <c r="P212" i="13"/>
  <c r="Q212" i="13" s="1"/>
  <c r="P162" i="13"/>
  <c r="Q162" i="13" s="1"/>
  <c r="K162" i="25" s="1"/>
  <c r="L162" i="25" s="1"/>
  <c r="N162" i="25" s="1"/>
  <c r="P115" i="13"/>
  <c r="Q115" i="13" s="1"/>
  <c r="K115" i="25" s="1"/>
  <c r="L115" i="25" s="1"/>
  <c r="N115" i="25" s="1"/>
  <c r="P40" i="13"/>
  <c r="Q40" i="13" s="1"/>
  <c r="K40" i="25" s="1"/>
  <c r="O40" i="25" s="1"/>
  <c r="G40" i="54" s="1"/>
  <c r="H40" i="54" s="1"/>
  <c r="P86" i="13"/>
  <c r="Q86" i="13" s="1"/>
  <c r="K86" i="25" s="1"/>
  <c r="L86" i="25" s="1"/>
  <c r="N86" i="25" s="1"/>
  <c r="P18" i="13"/>
  <c r="Q18" i="13" s="1"/>
  <c r="K18" i="25" s="1"/>
  <c r="L18" i="25" s="1"/>
  <c r="N18" i="25" s="1"/>
  <c r="P141" i="13"/>
  <c r="Q141" i="13" s="1"/>
  <c r="K141" i="25" s="1"/>
  <c r="L141" i="25" s="1"/>
  <c r="N141" i="25" s="1"/>
  <c r="P223" i="13"/>
  <c r="Q223" i="13" s="1"/>
  <c r="K223" i="25" s="1"/>
  <c r="L223" i="25" s="1"/>
  <c r="N223" i="25" s="1"/>
  <c r="P313" i="13"/>
  <c r="Q313" i="13" s="1"/>
  <c r="K313" i="25" s="1"/>
  <c r="L313" i="25" s="1"/>
  <c r="N313" i="25" s="1"/>
  <c r="P66" i="13"/>
  <c r="Q66" i="13" s="1"/>
  <c r="K66" i="25" s="1"/>
  <c r="L66" i="25" s="1"/>
  <c r="N66" i="25" s="1"/>
  <c r="P8" i="13"/>
  <c r="Q8" i="13" s="1"/>
  <c r="K8" i="25" s="1"/>
  <c r="L8" i="25" s="1"/>
  <c r="N8" i="25" s="1"/>
  <c r="P26" i="13"/>
  <c r="Q26" i="13" s="1"/>
  <c r="K26" i="25" s="1"/>
  <c r="L26" i="25" s="1"/>
  <c r="N26" i="25" s="1"/>
  <c r="P196" i="13"/>
  <c r="Q196" i="13" s="1"/>
  <c r="K196" i="25" s="1"/>
  <c r="L196" i="25" s="1"/>
  <c r="N196" i="25" s="1"/>
  <c r="P290" i="13"/>
  <c r="Q290" i="13" s="1"/>
  <c r="K290" i="25" s="1"/>
  <c r="L290" i="25" s="1"/>
  <c r="N290" i="25" s="1"/>
  <c r="P95" i="13"/>
  <c r="Q95" i="13" s="1"/>
  <c r="K95" i="25" s="1"/>
  <c r="L95" i="25" s="1"/>
  <c r="N95" i="25" s="1"/>
  <c r="P147" i="13"/>
  <c r="Q147" i="13" s="1"/>
  <c r="K147" i="25" s="1"/>
  <c r="L147" i="25" s="1"/>
  <c r="N147" i="25" s="1"/>
  <c r="P36" i="13"/>
  <c r="Q36" i="13" s="1"/>
  <c r="K36" i="25" s="1"/>
  <c r="L36" i="25" s="1"/>
  <c r="N36" i="25" s="1"/>
  <c r="P71" i="13"/>
  <c r="Q71" i="13" s="1"/>
  <c r="K71" i="25" s="1"/>
  <c r="L71" i="25" s="1"/>
  <c r="N71" i="25" s="1"/>
  <c r="P76" i="13"/>
  <c r="Q76" i="13" s="1"/>
  <c r="K76" i="25" s="1"/>
  <c r="L76" i="25" s="1"/>
  <c r="N76" i="25" s="1"/>
  <c r="P53" i="13"/>
  <c r="Q53" i="13" s="1"/>
  <c r="K53" i="25" s="1"/>
  <c r="L53" i="25" s="1"/>
  <c r="N53" i="25" s="1"/>
  <c r="P310" i="13"/>
  <c r="Q310" i="13" s="1"/>
  <c r="K310" i="25" s="1"/>
  <c r="L310" i="25" s="1"/>
  <c r="N310" i="25" s="1"/>
  <c r="P194" i="13"/>
  <c r="Q194" i="13" s="1"/>
  <c r="K194" i="25" s="1"/>
  <c r="L194" i="25" s="1"/>
  <c r="N194" i="25" s="1"/>
  <c r="P230" i="13"/>
  <c r="Q230" i="13" s="1"/>
  <c r="K230" i="25" s="1"/>
  <c r="L230" i="25" s="1"/>
  <c r="N230" i="25" s="1"/>
  <c r="P216" i="13"/>
  <c r="Q216" i="13" s="1"/>
  <c r="K216" i="25" s="1"/>
  <c r="L216" i="25" s="1"/>
  <c r="N216" i="25" s="1"/>
  <c r="P128" i="13"/>
  <c r="Q128" i="13" s="1"/>
  <c r="K128" i="25" s="1"/>
  <c r="L128" i="25" s="1"/>
  <c r="N128" i="25" s="1"/>
  <c r="P132" i="13"/>
  <c r="Q132" i="13" s="1"/>
  <c r="K132" i="25" s="1"/>
  <c r="L132" i="25" s="1"/>
  <c r="N132" i="25" s="1"/>
  <c r="P143" i="13"/>
  <c r="Q143" i="13" s="1"/>
  <c r="K143" i="25" s="1"/>
  <c r="L143" i="25" s="1"/>
  <c r="N143" i="25" s="1"/>
  <c r="P224" i="13"/>
  <c r="Q224" i="13" s="1"/>
  <c r="K224" i="25" s="1"/>
  <c r="L224" i="25" s="1"/>
  <c r="N224" i="25" s="1"/>
  <c r="P98" i="13"/>
  <c r="Q98" i="13" s="1"/>
  <c r="K98" i="25" s="1"/>
  <c r="L98" i="25" s="1"/>
  <c r="N98" i="25" s="1"/>
  <c r="P72" i="13"/>
  <c r="Q72" i="13" s="1"/>
  <c r="K72" i="25" s="1"/>
  <c r="L72" i="25" s="1"/>
  <c r="N72" i="25" s="1"/>
  <c r="P237" i="13"/>
  <c r="Q237" i="13" s="1"/>
  <c r="K237" i="25" s="1"/>
  <c r="L237" i="25" s="1"/>
  <c r="N237" i="25" s="1"/>
  <c r="K5" i="12"/>
  <c r="P109" i="13"/>
  <c r="Q109" i="13" s="1"/>
  <c r="K109" i="25" s="1"/>
  <c r="L109" i="25" s="1"/>
  <c r="N109" i="25" s="1"/>
  <c r="P31" i="13"/>
  <c r="Q31" i="13" s="1"/>
  <c r="K31" i="25" s="1"/>
  <c r="L31" i="25" s="1"/>
  <c r="N31" i="25" s="1"/>
  <c r="P200" i="13"/>
  <c r="Q200" i="13" s="1"/>
  <c r="K200" i="25" s="1"/>
  <c r="L200" i="25" s="1"/>
  <c r="N200" i="25" s="1"/>
  <c r="P263" i="13"/>
  <c r="Q263" i="13" s="1"/>
  <c r="K263" i="25" s="1"/>
  <c r="L263" i="25" s="1"/>
  <c r="N263" i="25" s="1"/>
  <c r="P172" i="13"/>
  <c r="Q172" i="13" s="1"/>
  <c r="K172" i="25" s="1"/>
  <c r="L172" i="25" s="1"/>
  <c r="N172" i="25" s="1"/>
  <c r="P156" i="13"/>
  <c r="Q156" i="13" s="1"/>
  <c r="K156" i="25" s="1"/>
  <c r="L156" i="25" s="1"/>
  <c r="N156" i="25" s="1"/>
  <c r="P206" i="13"/>
  <c r="Q206" i="13" s="1"/>
  <c r="K206" i="25" s="1"/>
  <c r="L206" i="25" s="1"/>
  <c r="N206" i="25" s="1"/>
  <c r="L40" i="25"/>
  <c r="N40" i="25" s="1"/>
  <c r="P148" i="13"/>
  <c r="Q148" i="13" s="1"/>
  <c r="K148" i="25" s="1"/>
  <c r="L148" i="25" s="1"/>
  <c r="N148" i="25" s="1"/>
  <c r="P120" i="13"/>
  <c r="Q120" i="13" s="1"/>
  <c r="K120" i="25" s="1"/>
  <c r="L120" i="25" s="1"/>
  <c r="N120" i="25" s="1"/>
  <c r="P150" i="13"/>
  <c r="Q150" i="13" s="1"/>
  <c r="K150" i="25" s="1"/>
  <c r="L150" i="25" s="1"/>
  <c r="N150" i="25" s="1"/>
  <c r="P258" i="13"/>
  <c r="Q258" i="13" s="1"/>
  <c r="K258" i="25" s="1"/>
  <c r="L258" i="25" s="1"/>
  <c r="N258" i="25" s="1"/>
  <c r="P54" i="13"/>
  <c r="Q54" i="13" s="1"/>
  <c r="K54" i="25" s="1"/>
  <c r="L54" i="25" s="1"/>
  <c r="N54" i="25" s="1"/>
  <c r="P226" i="13"/>
  <c r="Q226" i="13" s="1"/>
  <c r="K226" i="25" s="1"/>
  <c r="L226" i="25" s="1"/>
  <c r="N226" i="25" s="1"/>
  <c r="P69" i="13"/>
  <c r="Q69" i="13" s="1"/>
  <c r="K69" i="25" s="1"/>
  <c r="L69" i="25" s="1"/>
  <c r="N69" i="25" s="1"/>
  <c r="P43" i="13"/>
  <c r="Q43" i="13" s="1"/>
  <c r="K43" i="25" s="1"/>
  <c r="L43" i="25" s="1"/>
  <c r="N43" i="25" s="1"/>
  <c r="P182" i="13"/>
  <c r="Q182" i="13" s="1"/>
  <c r="K182" i="25" s="1"/>
  <c r="L182" i="25" s="1"/>
  <c r="N182" i="25" s="1"/>
  <c r="P217" i="13"/>
  <c r="Q217" i="13" s="1"/>
  <c r="K217" i="25" s="1"/>
  <c r="L217" i="25" s="1"/>
  <c r="N217" i="25" s="1"/>
  <c r="P171" i="13"/>
  <c r="Q171" i="13" s="1"/>
  <c r="K171" i="25" s="1"/>
  <c r="L171" i="25" s="1"/>
  <c r="N171" i="25" s="1"/>
  <c r="P312" i="13"/>
  <c r="Q312" i="13" s="1"/>
  <c r="K312" i="25" s="1"/>
  <c r="L312" i="25" s="1"/>
  <c r="N312" i="25" s="1"/>
  <c r="P301" i="13"/>
  <c r="Q301" i="13" s="1"/>
  <c r="K301" i="25" s="1"/>
  <c r="L301" i="25" s="1"/>
  <c r="N301" i="25" s="1"/>
  <c r="P142" i="13"/>
  <c r="Q142" i="13" s="1"/>
  <c r="K142" i="25" s="1"/>
  <c r="L142" i="25" s="1"/>
  <c r="N142" i="25" s="1"/>
  <c r="P281" i="13"/>
  <c r="Q281" i="13" s="1"/>
  <c r="K281" i="25" s="1"/>
  <c r="L281" i="25" s="1"/>
  <c r="N281" i="25" s="1"/>
  <c r="P62" i="13"/>
  <c r="Q62" i="13" s="1"/>
  <c r="K62" i="25" s="1"/>
  <c r="L62" i="25" s="1"/>
  <c r="N62" i="25" s="1"/>
  <c r="P277" i="13"/>
  <c r="Q277" i="13" s="1"/>
  <c r="K277" i="25" s="1"/>
  <c r="L277" i="25" s="1"/>
  <c r="N277" i="25" s="1"/>
  <c r="P309" i="13"/>
  <c r="Q309" i="13" s="1"/>
  <c r="K309" i="25" s="1"/>
  <c r="L309" i="25" s="1"/>
  <c r="N309" i="25" s="1"/>
  <c r="P240" i="13"/>
  <c r="Q240" i="13" s="1"/>
  <c r="K240" i="25" s="1"/>
  <c r="L240" i="25" s="1"/>
  <c r="N240" i="25" s="1"/>
  <c r="P168" i="13"/>
  <c r="Q168" i="13" s="1"/>
  <c r="K168" i="25" s="1"/>
  <c r="L168" i="25" s="1"/>
  <c r="N168" i="25" s="1"/>
  <c r="P110" i="13"/>
  <c r="Q110" i="13" s="1"/>
  <c r="K110" i="25" s="1"/>
  <c r="L110" i="25" s="1"/>
  <c r="N110" i="25" s="1"/>
  <c r="P283" i="13"/>
  <c r="Q283" i="13" s="1"/>
  <c r="K283" i="25" s="1"/>
  <c r="L283" i="25" s="1"/>
  <c r="N283" i="25" s="1"/>
  <c r="P204" i="13"/>
  <c r="Q204" i="13" s="1"/>
  <c r="K204" i="25" s="1"/>
  <c r="L204" i="25" s="1"/>
  <c r="N204" i="25" s="1"/>
  <c r="P250" i="13"/>
  <c r="Q250" i="13" s="1"/>
  <c r="K250" i="25" s="1"/>
  <c r="L250" i="25" s="1"/>
  <c r="N250" i="25" s="1"/>
  <c r="P235" i="13"/>
  <c r="Q235" i="13" s="1"/>
  <c r="K235" i="25" s="1"/>
  <c r="L235" i="25" s="1"/>
  <c r="N235" i="25" s="1"/>
  <c r="P186" i="13"/>
  <c r="Q186" i="13" s="1"/>
  <c r="K186" i="25" s="1"/>
  <c r="L186" i="25" s="1"/>
  <c r="N186" i="25" s="1"/>
  <c r="P292" i="13"/>
  <c r="Q292" i="13" s="1"/>
  <c r="K292" i="25" s="1"/>
  <c r="L292" i="25" s="1"/>
  <c r="N292" i="25" s="1"/>
  <c r="P55" i="13"/>
  <c r="Q55" i="13" s="1"/>
  <c r="K55" i="25" s="1"/>
  <c r="L55" i="25" s="1"/>
  <c r="N55" i="25" s="1"/>
  <c r="P286" i="13"/>
  <c r="Q286" i="13" s="1"/>
  <c r="K286" i="25" s="1"/>
  <c r="L286" i="25" s="1"/>
  <c r="N286" i="25" s="1"/>
  <c r="P70" i="13"/>
  <c r="Q70" i="13" s="1"/>
  <c r="K70" i="25" s="1"/>
  <c r="L70" i="25" s="1"/>
  <c r="N70" i="25" s="1"/>
  <c r="O286" i="25" l="1"/>
  <c r="G286" i="54" s="1"/>
  <c r="H286" i="54" s="1"/>
  <c r="O235" i="25"/>
  <c r="G235" i="54" s="1"/>
  <c r="H235" i="54" s="1"/>
  <c r="O110" i="25"/>
  <c r="G110" i="54" s="1"/>
  <c r="H110" i="54" s="1"/>
  <c r="O277" i="25"/>
  <c r="G277" i="54" s="1"/>
  <c r="H277" i="54" s="1"/>
  <c r="O301" i="25"/>
  <c r="G301" i="54" s="1"/>
  <c r="H301" i="54" s="1"/>
  <c r="O241" i="25"/>
  <c r="G241" i="54" s="1"/>
  <c r="H241" i="54" s="1"/>
  <c r="O285" i="25"/>
  <c r="G285" i="54" s="1"/>
  <c r="H285" i="54" s="1"/>
  <c r="O116" i="25"/>
  <c r="G116" i="54" s="1"/>
  <c r="H116" i="54" s="1"/>
  <c r="O211" i="25"/>
  <c r="G211" i="54" s="1"/>
  <c r="H211" i="54" s="1"/>
  <c r="O20" i="25"/>
  <c r="G20" i="54" s="1"/>
  <c r="H20" i="54" s="1"/>
  <c r="O100" i="25"/>
  <c r="G100" i="54" s="1"/>
  <c r="H100" i="54" s="1"/>
  <c r="O243" i="25"/>
  <c r="G243" i="54" s="1"/>
  <c r="H243" i="54" s="1"/>
  <c r="O76" i="25"/>
  <c r="G76" i="54" s="1"/>
  <c r="H76" i="54" s="1"/>
  <c r="O36" i="25"/>
  <c r="G36" i="54" s="1"/>
  <c r="H36" i="54" s="1"/>
  <c r="O141" i="25"/>
  <c r="G141" i="54" s="1"/>
  <c r="H141" i="54" s="1"/>
  <c r="O149" i="25"/>
  <c r="G149" i="54" s="1"/>
  <c r="H149" i="54" s="1"/>
  <c r="O129" i="25"/>
  <c r="G129" i="54" s="1"/>
  <c r="H129" i="54" s="1"/>
  <c r="O60" i="25"/>
  <c r="G60" i="54" s="1"/>
  <c r="H60" i="54" s="1"/>
  <c r="O17" i="25"/>
  <c r="G17" i="54" s="1"/>
  <c r="H17" i="54" s="1"/>
  <c r="O203" i="25"/>
  <c r="G203" i="54" s="1"/>
  <c r="H203" i="54" s="1"/>
  <c r="O310" i="25"/>
  <c r="G310" i="54" s="1"/>
  <c r="H310" i="54" s="1"/>
  <c r="O167" i="25"/>
  <c r="G167" i="54" s="1"/>
  <c r="H167" i="54" s="1"/>
  <c r="O161" i="25"/>
  <c r="G161" i="54" s="1"/>
  <c r="H161" i="54" s="1"/>
  <c r="O252" i="25"/>
  <c r="G252" i="54" s="1"/>
  <c r="H252" i="54" s="1"/>
  <c r="O54" i="25"/>
  <c r="G54" i="54" s="1"/>
  <c r="H54" i="54" s="1"/>
  <c r="O234" i="25"/>
  <c r="G234" i="54" s="1"/>
  <c r="H234" i="54" s="1"/>
  <c r="O108" i="25"/>
  <c r="G108" i="54" s="1"/>
  <c r="H108" i="54" s="1"/>
  <c r="O258" i="25"/>
  <c r="G258" i="54" s="1"/>
  <c r="H258" i="54" s="1"/>
  <c r="O145" i="25"/>
  <c r="G145" i="54" s="1"/>
  <c r="H145" i="54" s="1"/>
  <c r="O302" i="25"/>
  <c r="G302" i="54" s="1"/>
  <c r="H302" i="54" s="1"/>
  <c r="O253" i="25"/>
  <c r="G253" i="54" s="1"/>
  <c r="H253" i="54" s="1"/>
  <c r="O102" i="25"/>
  <c r="G102" i="54" s="1"/>
  <c r="H102" i="54" s="1"/>
  <c r="O11" i="25"/>
  <c r="G11" i="54" s="1"/>
  <c r="H11" i="54" s="1"/>
  <c r="O196" i="25"/>
  <c r="G196" i="54" s="1"/>
  <c r="H196" i="54" s="1"/>
  <c r="O66" i="25"/>
  <c r="G66" i="54" s="1"/>
  <c r="H66" i="54" s="1"/>
  <c r="O126" i="25"/>
  <c r="G126" i="54" s="1"/>
  <c r="H126" i="54" s="1"/>
  <c r="O137" i="25"/>
  <c r="G137" i="54" s="1"/>
  <c r="H137" i="54" s="1"/>
  <c r="O271" i="25"/>
  <c r="G271" i="54" s="1"/>
  <c r="H271" i="54" s="1"/>
  <c r="O139" i="25"/>
  <c r="G139" i="54" s="1"/>
  <c r="H139" i="54" s="1"/>
  <c r="O138" i="25"/>
  <c r="G138" i="54" s="1"/>
  <c r="H138" i="54" s="1"/>
  <c r="O56" i="25"/>
  <c r="G56" i="54" s="1"/>
  <c r="H56" i="54" s="1"/>
  <c r="O287" i="25"/>
  <c r="G287" i="54" s="1"/>
  <c r="H287" i="54" s="1"/>
  <c r="O183" i="25"/>
  <c r="G183" i="54" s="1"/>
  <c r="H183" i="54" s="1"/>
  <c r="O91" i="25"/>
  <c r="G91" i="54" s="1"/>
  <c r="H91" i="54" s="1"/>
  <c r="O273" i="25"/>
  <c r="G273" i="54" s="1"/>
  <c r="H273" i="54" s="1"/>
  <c r="O220" i="25"/>
  <c r="G220" i="54" s="1"/>
  <c r="H220" i="54" s="1"/>
  <c r="O85" i="25"/>
  <c r="G85" i="54" s="1"/>
  <c r="H85" i="54" s="1"/>
  <c r="O144" i="25"/>
  <c r="G144" i="54" s="1"/>
  <c r="H144" i="54" s="1"/>
  <c r="O181" i="25"/>
  <c r="G181" i="54" s="1"/>
  <c r="H181" i="54" s="1"/>
  <c r="O308" i="25"/>
  <c r="G308" i="54" s="1"/>
  <c r="H308" i="54" s="1"/>
  <c r="O7" i="25"/>
  <c r="G7" i="54" s="1"/>
  <c r="H7" i="54" s="1"/>
  <c r="O117" i="25"/>
  <c r="G117" i="54" s="1"/>
  <c r="H117" i="54" s="1"/>
  <c r="O18" i="25"/>
  <c r="G18" i="54" s="1"/>
  <c r="H18" i="54" s="1"/>
  <c r="O227" i="25"/>
  <c r="G227" i="54" s="1"/>
  <c r="H227" i="54" s="1"/>
  <c r="O172" i="25"/>
  <c r="G172" i="54" s="1"/>
  <c r="H172" i="54" s="1"/>
  <c r="O57" i="25"/>
  <c r="G57" i="54" s="1"/>
  <c r="H57" i="54" s="1"/>
  <c r="O282" i="25"/>
  <c r="G282" i="54" s="1"/>
  <c r="H282" i="54" s="1"/>
  <c r="O226" i="25"/>
  <c r="G226" i="54" s="1"/>
  <c r="H226" i="54" s="1"/>
  <c r="O180" i="25"/>
  <c r="G180" i="54" s="1"/>
  <c r="H180" i="54" s="1"/>
  <c r="O205" i="25"/>
  <c r="G205" i="54" s="1"/>
  <c r="H205" i="54" s="1"/>
  <c r="O221" i="25"/>
  <c r="G221" i="54" s="1"/>
  <c r="H221" i="54" s="1"/>
  <c r="O191" i="25"/>
  <c r="G191" i="54" s="1"/>
  <c r="H191" i="54" s="1"/>
  <c r="O239" i="25"/>
  <c r="G239" i="54" s="1"/>
  <c r="H239" i="54" s="1"/>
  <c r="O280" i="25"/>
  <c r="G280" i="54" s="1"/>
  <c r="H280" i="54" s="1"/>
  <c r="O289" i="25"/>
  <c r="G289" i="54" s="1"/>
  <c r="H289" i="54" s="1"/>
  <c r="O314" i="25"/>
  <c r="G314" i="54" s="1"/>
  <c r="H314" i="54" s="1"/>
  <c r="O261" i="25"/>
  <c r="G261" i="54" s="1"/>
  <c r="H261" i="54" s="1"/>
  <c r="O9" i="25"/>
  <c r="G9" i="54" s="1"/>
  <c r="H9" i="54" s="1"/>
  <c r="O89" i="25"/>
  <c r="G89" i="54" s="1"/>
  <c r="H89" i="54" s="1"/>
  <c r="O165" i="25"/>
  <c r="G165" i="54" s="1"/>
  <c r="H165" i="54" s="1"/>
  <c r="O187" i="25"/>
  <c r="G187" i="54" s="1"/>
  <c r="H187" i="54" s="1"/>
  <c r="O99" i="25"/>
  <c r="G99" i="54" s="1"/>
  <c r="H99" i="54" s="1"/>
  <c r="O65" i="25"/>
  <c r="G65" i="54" s="1"/>
  <c r="H65" i="54" s="1"/>
  <c r="O230" i="25"/>
  <c r="G230" i="54" s="1"/>
  <c r="H230" i="54" s="1"/>
  <c r="O10" i="25"/>
  <c r="G10" i="54" s="1"/>
  <c r="H10" i="54" s="1"/>
  <c r="O194" i="25"/>
  <c r="G194" i="54" s="1"/>
  <c r="H194" i="54" s="1"/>
  <c r="O55" i="25"/>
  <c r="G55" i="54" s="1"/>
  <c r="H55" i="54" s="1"/>
  <c r="O250" i="25"/>
  <c r="G250" i="54" s="1"/>
  <c r="H250" i="54" s="1"/>
  <c r="O168" i="25"/>
  <c r="G168" i="54" s="1"/>
  <c r="H168" i="54" s="1"/>
  <c r="O62" i="25"/>
  <c r="G62" i="54" s="1"/>
  <c r="H62" i="54" s="1"/>
  <c r="O260" i="25"/>
  <c r="G260" i="54" s="1"/>
  <c r="H260" i="54" s="1"/>
  <c r="O305" i="25"/>
  <c r="G305" i="54" s="1"/>
  <c r="H305" i="54" s="1"/>
  <c r="O92" i="25"/>
  <c r="G92" i="54" s="1"/>
  <c r="H92" i="54" s="1"/>
  <c r="O46" i="25"/>
  <c r="G46" i="54" s="1"/>
  <c r="H46" i="54" s="1"/>
  <c r="O179" i="25"/>
  <c r="G179" i="54" s="1"/>
  <c r="H179" i="54" s="1"/>
  <c r="O233" i="25"/>
  <c r="G233" i="54" s="1"/>
  <c r="H233" i="54" s="1"/>
  <c r="O298" i="25"/>
  <c r="G298" i="54" s="1"/>
  <c r="O257" i="25"/>
  <c r="G257" i="54" s="1"/>
  <c r="H257" i="54" s="1"/>
  <c r="O256" i="25"/>
  <c r="G256" i="54" s="1"/>
  <c r="H256" i="54" s="1"/>
  <c r="O34" i="25"/>
  <c r="G34" i="54" s="1"/>
  <c r="H34" i="54" s="1"/>
  <c r="O111" i="25"/>
  <c r="G111" i="54" s="1"/>
  <c r="H111" i="54" s="1"/>
  <c r="O25" i="25"/>
  <c r="G25" i="54" s="1"/>
  <c r="H25" i="54" s="1"/>
  <c r="O214" i="25"/>
  <c r="G214" i="54" s="1"/>
  <c r="H214" i="54" s="1"/>
  <c r="O213" i="25"/>
  <c r="G213" i="54" s="1"/>
  <c r="H213" i="54" s="1"/>
  <c r="O32" i="25"/>
  <c r="G32" i="54" s="1"/>
  <c r="H32" i="54" s="1"/>
  <c r="O84" i="25"/>
  <c r="G84" i="54" s="1"/>
  <c r="H84" i="54" s="1"/>
  <c r="O189" i="25"/>
  <c r="G189" i="54" s="1"/>
  <c r="H189" i="54" s="1"/>
  <c r="O72" i="25"/>
  <c r="G72" i="54" s="1"/>
  <c r="H72" i="54" s="1"/>
  <c r="O83" i="25"/>
  <c r="G83" i="54" s="1"/>
  <c r="H83" i="54" s="1"/>
  <c r="O171" i="25"/>
  <c r="G171" i="54" s="1"/>
  <c r="H171" i="54" s="1"/>
  <c r="O136" i="25"/>
  <c r="G136" i="54" s="1"/>
  <c r="H136" i="54" s="1"/>
  <c r="O291" i="25"/>
  <c r="G291" i="54" s="1"/>
  <c r="H291" i="54" s="1"/>
  <c r="O38" i="25"/>
  <c r="G38" i="54" s="1"/>
  <c r="H38" i="54" s="1"/>
  <c r="O150" i="25"/>
  <c r="G150" i="54" s="1"/>
  <c r="H150" i="54" s="1"/>
  <c r="O174" i="25"/>
  <c r="G174" i="54" s="1"/>
  <c r="H174" i="54" s="1"/>
  <c r="O104" i="25"/>
  <c r="G104" i="54" s="1"/>
  <c r="H104" i="54" s="1"/>
  <c r="O297" i="25"/>
  <c r="G297" i="54" s="1"/>
  <c r="H297" i="54" s="1"/>
  <c r="O29" i="25"/>
  <c r="G29" i="54" s="1"/>
  <c r="H29" i="54" s="1"/>
  <c r="O95" i="25"/>
  <c r="G95" i="54" s="1"/>
  <c r="H95" i="54" s="1"/>
  <c r="O26" i="25"/>
  <c r="G26" i="54" s="1"/>
  <c r="H26" i="54" s="1"/>
  <c r="O313" i="25"/>
  <c r="G313" i="54" s="1"/>
  <c r="H313" i="54" s="1"/>
  <c r="O113" i="25"/>
  <c r="G113" i="54" s="1"/>
  <c r="H113" i="54" s="1"/>
  <c r="O156" i="25"/>
  <c r="G156" i="54" s="1"/>
  <c r="H156" i="54" s="1"/>
  <c r="O123" i="25"/>
  <c r="G123" i="54" s="1"/>
  <c r="H123" i="54" s="1"/>
  <c r="O131" i="25"/>
  <c r="G131" i="54" s="1"/>
  <c r="H131" i="54" s="1"/>
  <c r="O80" i="25"/>
  <c r="G80" i="54" s="1"/>
  <c r="H80" i="54" s="1"/>
  <c r="O275" i="25"/>
  <c r="G275" i="54" s="1"/>
  <c r="H275" i="54" s="1"/>
  <c r="O197" i="25"/>
  <c r="G197" i="54" s="1"/>
  <c r="H197" i="54" s="1"/>
  <c r="O59" i="25"/>
  <c r="G59" i="54" s="1"/>
  <c r="H59" i="54" s="1"/>
  <c r="O151" i="25"/>
  <c r="G151" i="54" s="1"/>
  <c r="H151" i="54" s="1"/>
  <c r="O279" i="25"/>
  <c r="G279" i="54" s="1"/>
  <c r="H279" i="54" s="1"/>
  <c r="O13" i="25"/>
  <c r="G13" i="54" s="1"/>
  <c r="H13" i="54" s="1"/>
  <c r="O15" i="25"/>
  <c r="G15" i="54" s="1"/>
  <c r="H15" i="54" s="1"/>
  <c r="O164" i="25"/>
  <c r="G164" i="54" s="1"/>
  <c r="H164" i="54" s="1"/>
  <c r="O27" i="25"/>
  <c r="G27" i="54" s="1"/>
  <c r="H27" i="54" s="1"/>
  <c r="O21" i="25"/>
  <c r="G21" i="54" s="1"/>
  <c r="H21" i="54" s="1"/>
  <c r="O207" i="25"/>
  <c r="G207" i="54" s="1"/>
  <c r="H207" i="54" s="1"/>
  <c r="O178" i="25"/>
  <c r="G178" i="54" s="1"/>
  <c r="H178" i="54" s="1"/>
  <c r="O86" i="25"/>
  <c r="G86" i="54" s="1"/>
  <c r="H86" i="54" s="1"/>
  <c r="O246" i="25"/>
  <c r="G246" i="54" s="1"/>
  <c r="H246" i="54" s="1"/>
  <c r="O263" i="25"/>
  <c r="G263" i="54" s="1"/>
  <c r="H263" i="54" s="1"/>
  <c r="O101" i="25"/>
  <c r="G101" i="54" s="1"/>
  <c r="H101" i="54" s="1"/>
  <c r="O312" i="25"/>
  <c r="G312" i="54" s="1"/>
  <c r="H312" i="54" s="1"/>
  <c r="O154" i="25"/>
  <c r="G154" i="54" s="1"/>
  <c r="H154" i="54" s="1"/>
  <c r="O198" i="25"/>
  <c r="G198" i="54" s="1"/>
  <c r="H198" i="54" s="1"/>
  <c r="O232" i="25"/>
  <c r="G232" i="54" s="1"/>
  <c r="H232" i="54" s="1"/>
  <c r="O35" i="25"/>
  <c r="G35" i="54" s="1"/>
  <c r="H35" i="54" s="1"/>
  <c r="O208" i="25"/>
  <c r="G208" i="54" s="1"/>
  <c r="H208" i="54" s="1"/>
  <c r="O67" i="25"/>
  <c r="G67" i="54" s="1"/>
  <c r="H67" i="54" s="1"/>
  <c r="O58" i="25"/>
  <c r="G58" i="54" s="1"/>
  <c r="H58" i="54" s="1"/>
  <c r="O267" i="25"/>
  <c r="G267" i="54" s="1"/>
  <c r="H267" i="54" s="1"/>
  <c r="O184" i="25"/>
  <c r="G184" i="54" s="1"/>
  <c r="H184" i="54" s="1"/>
  <c r="O294" i="25"/>
  <c r="G294" i="54" s="1"/>
  <c r="H294" i="54" s="1"/>
  <c r="O215" i="25"/>
  <c r="G215" i="54" s="1"/>
  <c r="H215" i="54" s="1"/>
  <c r="O90" i="25"/>
  <c r="G90" i="54" s="1"/>
  <c r="H90" i="54" s="1"/>
  <c r="O155" i="25"/>
  <c r="G155" i="54" s="1"/>
  <c r="H155" i="54" s="1"/>
  <c r="O176" i="25"/>
  <c r="G176" i="54" s="1"/>
  <c r="H176" i="54" s="1"/>
  <c r="O228" i="25"/>
  <c r="G228" i="54" s="1"/>
  <c r="H228" i="54" s="1"/>
  <c r="O132" i="25"/>
  <c r="G132" i="54" s="1"/>
  <c r="H132" i="54" s="1"/>
  <c r="O157" i="25"/>
  <c r="G157" i="54" s="1"/>
  <c r="H157" i="54" s="1"/>
  <c r="O296" i="25"/>
  <c r="G296" i="54" s="1"/>
  <c r="H296" i="54" s="1"/>
  <c r="O237" i="25"/>
  <c r="G237" i="54" s="1"/>
  <c r="H237" i="54" s="1"/>
  <c r="O292" i="25"/>
  <c r="G292" i="54" s="1"/>
  <c r="H292" i="54" s="1"/>
  <c r="O204" i="25"/>
  <c r="G204" i="54" s="1"/>
  <c r="H204" i="54" s="1"/>
  <c r="O240" i="25"/>
  <c r="G240" i="54" s="1"/>
  <c r="H240" i="54" s="1"/>
  <c r="O281" i="25"/>
  <c r="G281" i="54" s="1"/>
  <c r="H281" i="54" s="1"/>
  <c r="O295" i="25"/>
  <c r="G295" i="54" s="1"/>
  <c r="H295" i="54" s="1"/>
  <c r="O247" i="25"/>
  <c r="G247" i="54" s="1"/>
  <c r="H247" i="54" s="1"/>
  <c r="O51" i="25"/>
  <c r="G51" i="54" s="1"/>
  <c r="H51" i="54" s="1"/>
  <c r="O270" i="25"/>
  <c r="G270" i="54" s="1"/>
  <c r="H270" i="54" s="1"/>
  <c r="O44" i="25"/>
  <c r="G44" i="54" s="1"/>
  <c r="H44" i="54" s="1"/>
  <c r="O299" i="25"/>
  <c r="G299" i="54" s="1"/>
  <c r="H299" i="54" s="1"/>
  <c r="O242" i="25"/>
  <c r="G242" i="54" s="1"/>
  <c r="H242" i="54" s="1"/>
  <c r="O199" i="25"/>
  <c r="G199" i="54" s="1"/>
  <c r="H199" i="54" s="1"/>
  <c r="O119" i="25"/>
  <c r="G119" i="54" s="1"/>
  <c r="H119" i="54" s="1"/>
  <c r="O147" i="25"/>
  <c r="G147" i="54" s="1"/>
  <c r="H147" i="54" s="1"/>
  <c r="O206" i="25"/>
  <c r="G206" i="54" s="1"/>
  <c r="H206" i="54" s="1"/>
  <c r="O311" i="25"/>
  <c r="G311" i="54" s="1"/>
  <c r="H311" i="54" s="1"/>
  <c r="O163" i="25"/>
  <c r="G163" i="54" s="1"/>
  <c r="H163" i="54" s="1"/>
  <c r="O98" i="25"/>
  <c r="G98" i="54" s="1"/>
  <c r="H98" i="54" s="1"/>
  <c r="O19" i="25"/>
  <c r="G19" i="54" s="1"/>
  <c r="H19" i="54" s="1"/>
  <c r="O121" i="25"/>
  <c r="G121" i="54" s="1"/>
  <c r="H121" i="54" s="1"/>
  <c r="O153" i="25"/>
  <c r="G153" i="54" s="1"/>
  <c r="H153" i="54" s="1"/>
  <c r="O202" i="25"/>
  <c r="G202" i="54" s="1"/>
  <c r="H202" i="54" s="1"/>
  <c r="O182" i="25"/>
  <c r="G182" i="54" s="1"/>
  <c r="H182" i="54" s="1"/>
  <c r="O135" i="25"/>
  <c r="G135" i="54" s="1"/>
  <c r="H135" i="54" s="1"/>
  <c r="O112" i="25"/>
  <c r="G112" i="54" s="1"/>
  <c r="H112" i="54" s="1"/>
  <c r="O82" i="25"/>
  <c r="G82" i="54" s="1"/>
  <c r="H82" i="54" s="1"/>
  <c r="O148" i="25"/>
  <c r="G148" i="54" s="1"/>
  <c r="H148" i="54" s="1"/>
  <c r="O248" i="25"/>
  <c r="G248" i="54" s="1"/>
  <c r="H248" i="54" s="1"/>
  <c r="O16" i="25"/>
  <c r="G16" i="54" s="1"/>
  <c r="H16" i="54" s="1"/>
  <c r="O254" i="25"/>
  <c r="G254" i="54" s="1"/>
  <c r="H254" i="54" s="1"/>
  <c r="O23" i="25"/>
  <c r="G23" i="54" s="1"/>
  <c r="H23" i="54" s="1"/>
  <c r="O201" i="25"/>
  <c r="G201" i="54" s="1"/>
  <c r="H201" i="54" s="1"/>
  <c r="O8" i="25"/>
  <c r="G8" i="54" s="1"/>
  <c r="H8" i="54" s="1"/>
  <c r="O93" i="25"/>
  <c r="G93" i="54" s="1"/>
  <c r="H93" i="54" s="1"/>
  <c r="O193" i="25"/>
  <c r="G193" i="54" s="1"/>
  <c r="H193" i="54" s="1"/>
  <c r="O269" i="25"/>
  <c r="G269" i="54" s="1"/>
  <c r="H269" i="54" s="1"/>
  <c r="O78" i="25"/>
  <c r="G78" i="54" s="1"/>
  <c r="H78" i="54" s="1"/>
  <c r="O170" i="25"/>
  <c r="G170" i="54" s="1"/>
  <c r="H170" i="54" s="1"/>
  <c r="O210" i="25"/>
  <c r="G210" i="54" s="1"/>
  <c r="H210" i="54" s="1"/>
  <c r="O259" i="25"/>
  <c r="G259" i="54" s="1"/>
  <c r="H259" i="54" s="1"/>
  <c r="O130" i="25"/>
  <c r="G130" i="54" s="1"/>
  <c r="H130" i="54" s="1"/>
  <c r="O88" i="25"/>
  <c r="G88" i="54" s="1"/>
  <c r="H88" i="54" s="1"/>
  <c r="O190" i="25"/>
  <c r="G190" i="54" s="1"/>
  <c r="H190" i="54" s="1"/>
  <c r="O284" i="25"/>
  <c r="G284" i="54" s="1"/>
  <c r="H284" i="54" s="1"/>
  <c r="O293" i="25"/>
  <c r="G293" i="54" s="1"/>
  <c r="H293" i="54" s="1"/>
  <c r="O160" i="25"/>
  <c r="G160" i="54" s="1"/>
  <c r="H160" i="54" s="1"/>
  <c r="O158" i="25"/>
  <c r="G158" i="54" s="1"/>
  <c r="H158" i="54" s="1"/>
  <c r="O106" i="25"/>
  <c r="G106" i="54" s="1"/>
  <c r="H106" i="54" s="1"/>
  <c r="O146" i="25"/>
  <c r="G146" i="54" s="1"/>
  <c r="H146" i="54" s="1"/>
  <c r="O28" i="25"/>
  <c r="G28" i="54" s="1"/>
  <c r="H28" i="54" s="1"/>
  <c r="O133" i="25"/>
  <c r="G133" i="54" s="1"/>
  <c r="H133" i="54" s="1"/>
  <c r="O288" i="25"/>
  <c r="G288" i="54" s="1"/>
  <c r="H288" i="54" s="1"/>
  <c r="O244" i="25"/>
  <c r="G244" i="54" s="1"/>
  <c r="H244" i="54" s="1"/>
  <c r="O22" i="25"/>
  <c r="G22" i="54" s="1"/>
  <c r="H22" i="54" s="1"/>
  <c r="O14" i="25"/>
  <c r="G14" i="54" s="1"/>
  <c r="H14" i="54" s="1"/>
  <c r="O217" i="25"/>
  <c r="G217" i="54" s="1"/>
  <c r="H217" i="54" s="1"/>
  <c r="O81" i="25"/>
  <c r="G81" i="54" s="1"/>
  <c r="H81" i="54" s="1"/>
  <c r="O166" i="25"/>
  <c r="G166" i="54" s="1"/>
  <c r="H166" i="54" s="1"/>
  <c r="O41" i="25"/>
  <c r="G41" i="54" s="1"/>
  <c r="H41" i="54" s="1"/>
  <c r="O120" i="25"/>
  <c r="G120" i="54" s="1"/>
  <c r="H120" i="54" s="1"/>
  <c r="O266" i="25"/>
  <c r="G266" i="54" s="1"/>
  <c r="H266" i="54" s="1"/>
  <c r="O218" i="25"/>
  <c r="G218" i="54" s="1"/>
  <c r="H218" i="54" s="1"/>
  <c r="O229" i="25"/>
  <c r="G229" i="54" s="1"/>
  <c r="H229" i="54" s="1"/>
  <c r="O105" i="25"/>
  <c r="G105" i="54" s="1"/>
  <c r="H105" i="54" s="1"/>
  <c r="O134" i="25"/>
  <c r="G134" i="54" s="1"/>
  <c r="H134" i="54" s="1"/>
  <c r="O264" i="25"/>
  <c r="G264" i="54" s="1"/>
  <c r="H264" i="54" s="1"/>
  <c r="O79" i="25"/>
  <c r="G79" i="54" s="1"/>
  <c r="H79" i="54" s="1"/>
  <c r="O219" i="25"/>
  <c r="G219" i="54" s="1"/>
  <c r="H219" i="54" s="1"/>
  <c r="O94" i="25"/>
  <c r="G94" i="54" s="1"/>
  <c r="H94" i="54" s="1"/>
  <c r="O109" i="25"/>
  <c r="G109" i="54" s="1"/>
  <c r="H109" i="54" s="1"/>
  <c r="O39" i="25"/>
  <c r="G39" i="54" s="1"/>
  <c r="H39" i="54" s="1"/>
  <c r="O231" i="25"/>
  <c r="G231" i="54" s="1"/>
  <c r="H231" i="54" s="1"/>
  <c r="O265" i="25"/>
  <c r="G265" i="54" s="1"/>
  <c r="H265" i="54" s="1"/>
  <c r="O24" i="25"/>
  <c r="G24" i="54" s="1"/>
  <c r="H24" i="54" s="1"/>
  <c r="O143" i="25"/>
  <c r="G143" i="54" s="1"/>
  <c r="H143" i="54" s="1"/>
  <c r="O70" i="25"/>
  <c r="G70" i="54" s="1"/>
  <c r="H70" i="54" s="1"/>
  <c r="O186" i="25"/>
  <c r="G186" i="54" s="1"/>
  <c r="H186" i="54" s="1"/>
  <c r="O283" i="25"/>
  <c r="G283" i="54" s="1"/>
  <c r="H283" i="54" s="1"/>
  <c r="O309" i="25"/>
  <c r="G309" i="54" s="1"/>
  <c r="H309" i="54" s="1"/>
  <c r="O142" i="25"/>
  <c r="G142" i="54" s="1"/>
  <c r="H142" i="54" s="1"/>
  <c r="O47" i="25"/>
  <c r="G47" i="54" s="1"/>
  <c r="H47" i="54" s="1"/>
  <c r="O114" i="25"/>
  <c r="G114" i="54" s="1"/>
  <c r="H114" i="54" s="1"/>
  <c r="O64" i="25"/>
  <c r="G64" i="54" s="1"/>
  <c r="H64" i="54" s="1"/>
  <c r="O303" i="25"/>
  <c r="G303" i="54" s="1"/>
  <c r="H303" i="54" s="1"/>
  <c r="O125" i="25"/>
  <c r="G125" i="54" s="1"/>
  <c r="H125" i="54" s="1"/>
  <c r="O124" i="25"/>
  <c r="G124" i="54" s="1"/>
  <c r="H124" i="54" s="1"/>
  <c r="O33" i="25"/>
  <c r="G33" i="54" s="1"/>
  <c r="H33" i="54" s="1"/>
  <c r="O300" i="25"/>
  <c r="G300" i="54" s="1"/>
  <c r="H300" i="54" s="1"/>
  <c r="O71" i="25"/>
  <c r="G71" i="54" s="1"/>
  <c r="H71" i="54" s="1"/>
  <c r="O223" i="25"/>
  <c r="G223" i="54" s="1"/>
  <c r="H223" i="54" s="1"/>
  <c r="O115" i="25"/>
  <c r="G115" i="54" s="1"/>
  <c r="H115" i="54" s="1"/>
  <c r="O12" i="25"/>
  <c r="G12" i="54" s="1"/>
  <c r="H12" i="54" s="1"/>
  <c r="O200" i="25"/>
  <c r="G200" i="54" s="1"/>
  <c r="H200" i="54" s="1"/>
  <c r="O209" i="25"/>
  <c r="G209" i="54" s="1"/>
  <c r="H209" i="54" s="1"/>
  <c r="O224" i="25"/>
  <c r="G224" i="54" s="1"/>
  <c r="H224" i="54" s="1"/>
  <c r="O97" i="25"/>
  <c r="G97" i="54" s="1"/>
  <c r="H97" i="54" s="1"/>
  <c r="O31" i="25"/>
  <c r="G31" i="54" s="1"/>
  <c r="H31" i="54" s="1"/>
  <c r="O216" i="25"/>
  <c r="G216" i="54" s="1"/>
  <c r="H216" i="54" s="1"/>
  <c r="O53" i="25"/>
  <c r="G53" i="54" s="1"/>
  <c r="H53" i="54" s="1"/>
  <c r="O69" i="25"/>
  <c r="G69" i="54" s="1"/>
  <c r="H69" i="54" s="1"/>
  <c r="O77" i="25"/>
  <c r="G77" i="54" s="1"/>
  <c r="H77" i="54" s="1"/>
  <c r="O169" i="25"/>
  <c r="G169" i="54" s="1"/>
  <c r="H169" i="54" s="1"/>
  <c r="O245" i="25"/>
  <c r="G245" i="54" s="1"/>
  <c r="H245" i="54" s="1"/>
  <c r="O173" i="25"/>
  <c r="G173" i="54" s="1"/>
  <c r="H173" i="54" s="1"/>
  <c r="O268" i="25"/>
  <c r="G268" i="54" s="1"/>
  <c r="H268" i="54" s="1"/>
  <c r="O49" i="25"/>
  <c r="G49" i="54" s="1"/>
  <c r="H49" i="54" s="1"/>
  <c r="O118" i="25"/>
  <c r="G118" i="54" s="1"/>
  <c r="H118" i="54" s="1"/>
  <c r="O175" i="25"/>
  <c r="G175" i="54" s="1"/>
  <c r="H175" i="54" s="1"/>
  <c r="O290" i="25"/>
  <c r="G290" i="54" s="1"/>
  <c r="H290" i="54" s="1"/>
  <c r="O61" i="25"/>
  <c r="G61" i="54" s="1"/>
  <c r="H61" i="54" s="1"/>
  <c r="O73" i="25"/>
  <c r="G73" i="54" s="1"/>
  <c r="H73" i="54" s="1"/>
  <c r="O96" i="25"/>
  <c r="G96" i="54" s="1"/>
  <c r="H96" i="54" s="1"/>
  <c r="O177" i="25"/>
  <c r="G177" i="54" s="1"/>
  <c r="H177" i="54" s="1"/>
  <c r="O278" i="25"/>
  <c r="G278" i="54" s="1"/>
  <c r="H278" i="54" s="1"/>
  <c r="O192" i="25"/>
  <c r="G192" i="54" s="1"/>
  <c r="H192" i="54" s="1"/>
  <c r="O68" i="25"/>
  <c r="G68" i="54" s="1"/>
  <c r="H68" i="54" s="1"/>
  <c r="O152" i="25"/>
  <c r="G152" i="54" s="1"/>
  <c r="H152" i="54" s="1"/>
  <c r="O306" i="25"/>
  <c r="G306" i="54" s="1"/>
  <c r="H306" i="54" s="1"/>
  <c r="O249" i="25"/>
  <c r="G249" i="54" s="1"/>
  <c r="H249" i="54" s="1"/>
  <c r="O159" i="25"/>
  <c r="G159" i="54" s="1"/>
  <c r="H159" i="54" s="1"/>
  <c r="O304" i="25"/>
  <c r="G304" i="54" s="1"/>
  <c r="H304" i="54" s="1"/>
  <c r="O87" i="25"/>
  <c r="G87" i="54" s="1"/>
  <c r="H87" i="54" s="1"/>
  <c r="O42" i="25"/>
  <c r="G42" i="54" s="1"/>
  <c r="H42" i="54" s="1"/>
  <c r="O30" i="25"/>
  <c r="G30" i="54" s="1"/>
  <c r="H30" i="54" s="1"/>
  <c r="O74" i="25"/>
  <c r="G74" i="54" s="1"/>
  <c r="H74" i="54" s="1"/>
  <c r="O307" i="25"/>
  <c r="G307" i="54" s="1"/>
  <c r="H307" i="54" s="1"/>
  <c r="O225" i="25"/>
  <c r="G225" i="54" s="1"/>
  <c r="H225" i="54" s="1"/>
  <c r="O45" i="25"/>
  <c r="G45" i="54" s="1"/>
  <c r="H45" i="54" s="1"/>
  <c r="O162" i="25"/>
  <c r="G162" i="54" s="1"/>
  <c r="H162" i="54" s="1"/>
  <c r="O251" i="25"/>
  <c r="G251" i="54" s="1"/>
  <c r="H251" i="54" s="1"/>
  <c r="O48" i="25"/>
  <c r="G48" i="54" s="1"/>
  <c r="H48" i="54" s="1"/>
  <c r="O63" i="25"/>
  <c r="G63" i="54" s="1"/>
  <c r="H63" i="54" s="1"/>
  <c r="O43" i="25"/>
  <c r="G43" i="54" s="1"/>
  <c r="H43" i="54" s="1"/>
  <c r="O188" i="25"/>
  <c r="G188" i="54" s="1"/>
  <c r="H188" i="54" s="1"/>
  <c r="O276" i="25"/>
  <c r="G276" i="54" s="1"/>
  <c r="H276" i="54" s="1"/>
  <c r="O103" i="25"/>
  <c r="G103" i="54" s="1"/>
  <c r="H103" i="54" s="1"/>
  <c r="O52" i="25"/>
  <c r="G52" i="54" s="1"/>
  <c r="H52" i="54" s="1"/>
  <c r="O255" i="25"/>
  <c r="G255" i="54" s="1"/>
  <c r="H255" i="54" s="1"/>
  <c r="O238" i="25"/>
  <c r="G238" i="54" s="1"/>
  <c r="H238" i="54" s="1"/>
  <c r="O122" i="25"/>
  <c r="G122" i="54" s="1"/>
  <c r="H122" i="54" s="1"/>
  <c r="O236" i="25"/>
  <c r="G236" i="54" s="1"/>
  <c r="H236" i="54" s="1"/>
  <c r="O140" i="25"/>
  <c r="G140" i="54" s="1"/>
  <c r="H140" i="54" s="1"/>
  <c r="O195" i="25"/>
  <c r="G195" i="54" s="1"/>
  <c r="H195" i="54" s="1"/>
  <c r="O75" i="25"/>
  <c r="G75" i="54" s="1"/>
  <c r="H75" i="54" s="1"/>
  <c r="O222" i="25"/>
  <c r="G222" i="54" s="1"/>
  <c r="H222" i="54" s="1"/>
  <c r="O50" i="25"/>
  <c r="G50" i="54" s="1"/>
  <c r="H50" i="54" s="1"/>
  <c r="O107" i="25"/>
  <c r="G107" i="54" s="1"/>
  <c r="H107" i="54" s="1"/>
  <c r="O185" i="25"/>
  <c r="G185" i="54" s="1"/>
  <c r="H185" i="54" s="1"/>
  <c r="O127" i="25"/>
  <c r="G127" i="54" s="1"/>
  <c r="H127" i="54" s="1"/>
  <c r="O37" i="25"/>
  <c r="G37" i="54" s="1"/>
  <c r="H37" i="54" s="1"/>
  <c r="O128" i="25"/>
  <c r="G128" i="54" s="1"/>
  <c r="H128" i="54" s="1"/>
  <c r="O262" i="25"/>
  <c r="G262" i="54" s="1"/>
  <c r="H262" i="54" s="1"/>
  <c r="K212" i="25"/>
  <c r="L212" i="25" s="1"/>
  <c r="N212" i="25" s="1"/>
  <c r="E39" i="48"/>
  <c r="F39" i="48" s="1"/>
  <c r="F43" i="48" s="1"/>
  <c r="F54" i="48" s="1"/>
  <c r="R232" i="13"/>
  <c r="S232" i="13" s="1"/>
  <c r="R133" i="13"/>
  <c r="S133" i="13" s="1"/>
  <c r="R45" i="13"/>
  <c r="S45" i="13" s="1"/>
  <c r="R176" i="13"/>
  <c r="S176" i="13" s="1"/>
  <c r="R145" i="13"/>
  <c r="S145" i="13" s="1"/>
  <c r="R241" i="13"/>
  <c r="S241" i="13" s="1"/>
  <c r="R97" i="13"/>
  <c r="S97" i="13" s="1"/>
  <c r="R42" i="13"/>
  <c r="S42" i="13" s="1"/>
  <c r="R174" i="13"/>
  <c r="S174" i="13" s="1"/>
  <c r="R302" i="13"/>
  <c r="S302" i="13" s="1"/>
  <c r="R233" i="13"/>
  <c r="S233" i="13" s="1"/>
  <c r="R294" i="13"/>
  <c r="S294" i="13" s="1"/>
  <c r="R194" i="13"/>
  <c r="S194" i="13" s="1"/>
  <c r="R141" i="13"/>
  <c r="S141" i="13" s="1"/>
  <c r="R40" i="13"/>
  <c r="S40" i="13" s="1"/>
  <c r="R308" i="13"/>
  <c r="S308" i="13" s="1"/>
  <c r="R265" i="13"/>
  <c r="S265" i="13" s="1"/>
  <c r="R237" i="13"/>
  <c r="S237" i="13" s="1"/>
  <c r="R32" i="13"/>
  <c r="S32" i="13" s="1"/>
  <c r="R207" i="13"/>
  <c r="S207" i="13" s="1"/>
  <c r="R101" i="13"/>
  <c r="S101" i="13" s="1"/>
  <c r="R312" i="13"/>
  <c r="S312" i="13" s="1"/>
  <c r="R196" i="13"/>
  <c r="S196" i="13" s="1"/>
  <c r="R167" i="13"/>
  <c r="S167" i="13" s="1"/>
  <c r="R74" i="13"/>
  <c r="S74" i="13" s="1"/>
  <c r="R234" i="13"/>
  <c r="S234" i="13" s="1"/>
  <c r="R206" i="13"/>
  <c r="S206" i="13" s="1"/>
  <c r="R177" i="13"/>
  <c r="S177" i="13" s="1"/>
  <c r="R84" i="13"/>
  <c r="S84" i="13" s="1"/>
  <c r="R129" i="13"/>
  <c r="S129" i="13" s="1"/>
  <c r="R83" i="13"/>
  <c r="S83" i="13" s="1"/>
  <c r="R136" i="13"/>
  <c r="S136" i="13" s="1"/>
  <c r="R41" i="13"/>
  <c r="S41" i="13" s="1"/>
  <c r="R186" i="13"/>
  <c r="S186" i="13" s="1"/>
  <c r="R313" i="13"/>
  <c r="S313" i="13" s="1"/>
  <c r="R123" i="13"/>
  <c r="S123" i="13" s="1"/>
  <c r="R298" i="13"/>
  <c r="S298" i="13" s="1"/>
  <c r="R291" i="13"/>
  <c r="S291" i="13" s="1"/>
  <c r="R171" i="13"/>
  <c r="S171" i="13" s="1"/>
  <c r="R235" i="13"/>
  <c r="S235" i="13" s="1"/>
  <c r="R283" i="13"/>
  <c r="S283" i="13" s="1"/>
  <c r="R240" i="13"/>
  <c r="S240" i="13" s="1"/>
  <c r="R62" i="13"/>
  <c r="S62" i="13" s="1"/>
  <c r="R69" i="13"/>
  <c r="S69" i="13" s="1"/>
  <c r="R94" i="13"/>
  <c r="S94" i="13" s="1"/>
  <c r="R214" i="13"/>
  <c r="S214" i="13" s="1"/>
  <c r="R311" i="13"/>
  <c r="S311" i="13" s="1"/>
  <c r="R296" i="13"/>
  <c r="S296" i="13" s="1"/>
  <c r="R187" i="13"/>
  <c r="S187" i="13" s="1"/>
  <c r="R105" i="13"/>
  <c r="S105" i="13" s="1"/>
  <c r="R222" i="13"/>
  <c r="S222" i="13" s="1"/>
  <c r="R12" i="13"/>
  <c r="S12" i="13" s="1"/>
  <c r="R139" i="13"/>
  <c r="S139" i="13" s="1"/>
  <c r="R60" i="13"/>
  <c r="S60" i="13" s="1"/>
  <c r="R14" i="13"/>
  <c r="S14" i="13" s="1"/>
  <c r="R156" i="13"/>
  <c r="S156" i="13" s="1"/>
  <c r="R230" i="13"/>
  <c r="S230" i="13" s="1"/>
  <c r="R223" i="13"/>
  <c r="S223" i="13" s="1"/>
  <c r="R115" i="13"/>
  <c r="S115" i="13" s="1"/>
  <c r="R137" i="13"/>
  <c r="S137" i="13" s="1"/>
  <c r="R27" i="13"/>
  <c r="S27" i="13" s="1"/>
  <c r="R100" i="13"/>
  <c r="S100" i="13" s="1"/>
  <c r="R34" i="13"/>
  <c r="S34" i="13" s="1"/>
  <c r="R104" i="13"/>
  <c r="S104" i="13" s="1"/>
  <c r="R63" i="13"/>
  <c r="S63" i="13" s="1"/>
  <c r="R75" i="13"/>
  <c r="S75" i="13" s="1"/>
  <c r="R165" i="13"/>
  <c r="S165" i="13" s="1"/>
  <c r="R180" i="13"/>
  <c r="S180" i="13" s="1"/>
  <c r="R198" i="13"/>
  <c r="S198" i="13" s="1"/>
  <c r="R166" i="13"/>
  <c r="S166" i="13" s="1"/>
  <c r="R38" i="13"/>
  <c r="S38" i="13" s="1"/>
  <c r="R219" i="13"/>
  <c r="S219" i="13" s="1"/>
  <c r="R55" i="13"/>
  <c r="S55" i="13" s="1"/>
  <c r="R142" i="13"/>
  <c r="S142" i="13" s="1"/>
  <c r="R182" i="13"/>
  <c r="S182" i="13" s="1"/>
  <c r="R72" i="13"/>
  <c r="S72" i="13" s="1"/>
  <c r="R224" i="13"/>
  <c r="S224" i="13" s="1"/>
  <c r="R36" i="13"/>
  <c r="S36" i="13" s="1"/>
  <c r="R8" i="13"/>
  <c r="S8" i="13" s="1"/>
  <c r="R213" i="13"/>
  <c r="S213" i="13" s="1"/>
  <c r="R124" i="13"/>
  <c r="S124" i="13" s="1"/>
  <c r="R193" i="13"/>
  <c r="S193" i="13" s="1"/>
  <c r="R163" i="13"/>
  <c r="S163" i="13" s="1"/>
  <c r="R304" i="13"/>
  <c r="S304" i="13" s="1"/>
  <c r="R220" i="13"/>
  <c r="S220" i="13" s="1"/>
  <c r="R108" i="13"/>
  <c r="S108" i="13" s="1"/>
  <c r="R13" i="13"/>
  <c r="S13" i="13" s="1"/>
  <c r="R173" i="13"/>
  <c r="S173" i="13" s="1"/>
  <c r="R239" i="13"/>
  <c r="S239" i="13" s="1"/>
  <c r="R218" i="13"/>
  <c r="S218" i="13" s="1"/>
  <c r="R289" i="13"/>
  <c r="S289" i="13" s="1"/>
  <c r="R236" i="13"/>
  <c r="S236" i="13" s="1"/>
  <c r="R33" i="13"/>
  <c r="S33" i="13" s="1"/>
  <c r="R257" i="13"/>
  <c r="S257" i="13" s="1"/>
  <c r="R288" i="13"/>
  <c r="S288" i="13" s="1"/>
  <c r="R57" i="13"/>
  <c r="S57" i="13" s="1"/>
  <c r="R195" i="13"/>
  <c r="S195" i="13" s="1"/>
  <c r="R90" i="13"/>
  <c r="S90" i="13" s="1"/>
  <c r="R271" i="13"/>
  <c r="S271" i="13" s="1"/>
  <c r="R138" i="13"/>
  <c r="S138" i="13" s="1"/>
  <c r="R259" i="13"/>
  <c r="S259" i="13" s="1"/>
  <c r="R287" i="13"/>
  <c r="S287" i="13" s="1"/>
  <c r="R306" i="13"/>
  <c r="S306" i="13" s="1"/>
  <c r="R59" i="13"/>
  <c r="S59" i="13" s="1"/>
  <c r="R85" i="13"/>
  <c r="S85" i="13" s="1"/>
  <c r="R50" i="13"/>
  <c r="S50" i="13" s="1"/>
  <c r="R153" i="13"/>
  <c r="S153" i="13" s="1"/>
  <c r="R135" i="13"/>
  <c r="S135" i="13" s="1"/>
  <c r="R21" i="13"/>
  <c r="S21" i="13" s="1"/>
  <c r="R117" i="13"/>
  <c r="S117" i="13" s="1"/>
  <c r="R79" i="13"/>
  <c r="S79" i="13" s="1"/>
  <c r="R120" i="13"/>
  <c r="S120" i="13" s="1"/>
  <c r="R200" i="13"/>
  <c r="S200" i="13" s="1"/>
  <c r="R143" i="13"/>
  <c r="S143" i="13" s="1"/>
  <c r="R10" i="13"/>
  <c r="S10" i="13" s="1"/>
  <c r="R157" i="13"/>
  <c r="S157" i="13" s="1"/>
  <c r="R164" i="13"/>
  <c r="S164" i="13" s="1"/>
  <c r="R178" i="13"/>
  <c r="S178" i="13" s="1"/>
  <c r="R96" i="13"/>
  <c r="S96" i="13" s="1"/>
  <c r="R78" i="13"/>
  <c r="S78" i="13" s="1"/>
  <c r="R279" i="13"/>
  <c r="S279" i="13" s="1"/>
  <c r="R92" i="13"/>
  <c r="S92" i="13" s="1"/>
  <c r="R51" i="13"/>
  <c r="S51" i="13" s="1"/>
  <c r="R46" i="13"/>
  <c r="S46" i="13" s="1"/>
  <c r="R270" i="13"/>
  <c r="S270" i="13" s="1"/>
  <c r="R52" i="13"/>
  <c r="S52" i="13" s="1"/>
  <c r="R67" i="13"/>
  <c r="S67" i="13" s="1"/>
  <c r="R238" i="13"/>
  <c r="S238" i="13" s="1"/>
  <c r="R267" i="13"/>
  <c r="S267" i="13" s="1"/>
  <c r="R243" i="13"/>
  <c r="S243" i="13" s="1"/>
  <c r="R199" i="13"/>
  <c r="S199" i="13" s="1"/>
  <c r="R184" i="13"/>
  <c r="S184" i="13" s="1"/>
  <c r="R93" i="13"/>
  <c r="S93" i="13" s="1"/>
  <c r="R37" i="13"/>
  <c r="S37" i="13" s="1"/>
  <c r="R39" i="13"/>
  <c r="S39" i="13" s="1"/>
  <c r="R192" i="13"/>
  <c r="S192" i="13" s="1"/>
  <c r="R80" i="13"/>
  <c r="S80" i="13" s="1"/>
  <c r="R152" i="13"/>
  <c r="S152" i="13" s="1"/>
  <c r="R183" i="13"/>
  <c r="S183" i="13" s="1"/>
  <c r="R88" i="13"/>
  <c r="S88" i="13" s="1"/>
  <c r="R260" i="13"/>
  <c r="S260" i="13" s="1"/>
  <c r="R15" i="13"/>
  <c r="S15" i="13" s="1"/>
  <c r="R269" i="13"/>
  <c r="S269" i="13" s="1"/>
  <c r="R228" i="13"/>
  <c r="S228" i="13" s="1"/>
  <c r="R188" i="13"/>
  <c r="S188" i="13" s="1"/>
  <c r="R118" i="13"/>
  <c r="S118" i="13" s="1"/>
  <c r="R106" i="13"/>
  <c r="S106" i="13" s="1"/>
  <c r="R11" i="13"/>
  <c r="S11" i="13" s="1"/>
  <c r="R126" i="13"/>
  <c r="S126" i="13" s="1"/>
  <c r="R286" i="13"/>
  <c r="S286" i="13" s="1"/>
  <c r="R292" i="13"/>
  <c r="S292" i="13" s="1"/>
  <c r="R204" i="13"/>
  <c r="S204" i="13" s="1"/>
  <c r="R110" i="13"/>
  <c r="S110" i="13" s="1"/>
  <c r="R277" i="13"/>
  <c r="S277" i="13" s="1"/>
  <c r="R281" i="13"/>
  <c r="S281" i="13" s="1"/>
  <c r="R301" i="13"/>
  <c r="S301" i="13" s="1"/>
  <c r="R54" i="13"/>
  <c r="S54" i="13" s="1"/>
  <c r="R258" i="13"/>
  <c r="S258" i="13" s="1"/>
  <c r="R150" i="13"/>
  <c r="S150" i="13" s="1"/>
  <c r="R148" i="13"/>
  <c r="S148" i="13" s="1"/>
  <c r="R31" i="13"/>
  <c r="S31" i="13" s="1"/>
  <c r="R132" i="13"/>
  <c r="S132" i="13" s="1"/>
  <c r="R216" i="13"/>
  <c r="S216" i="13" s="1"/>
  <c r="R53" i="13"/>
  <c r="S53" i="13" s="1"/>
  <c r="R76" i="13"/>
  <c r="S76" i="13" s="1"/>
  <c r="R95" i="13"/>
  <c r="S95" i="13" s="1"/>
  <c r="R86" i="13"/>
  <c r="S86" i="13" s="1"/>
  <c r="R212" i="13"/>
  <c r="S212" i="13" s="1"/>
  <c r="R99" i="13"/>
  <c r="S99" i="13" s="1"/>
  <c r="R278" i="13"/>
  <c r="S278" i="13" s="1"/>
  <c r="R16" i="13"/>
  <c r="S16" i="13" s="1"/>
  <c r="R307" i="13"/>
  <c r="S307" i="13" s="1"/>
  <c r="R225" i="13"/>
  <c r="S225" i="13" s="1"/>
  <c r="R134" i="13"/>
  <c r="S134" i="13" s="1"/>
  <c r="R264" i="13"/>
  <c r="S264" i="13" s="1"/>
  <c r="R73" i="13"/>
  <c r="S73" i="13" s="1"/>
  <c r="R89" i="13"/>
  <c r="S89" i="13" s="1"/>
  <c r="R262" i="13"/>
  <c r="S262" i="13" s="1"/>
  <c r="R159" i="13"/>
  <c r="S159" i="13" s="1"/>
  <c r="R273" i="13"/>
  <c r="S273" i="13" s="1"/>
  <c r="R284" i="13"/>
  <c r="S284" i="13" s="1"/>
  <c r="R205" i="13"/>
  <c r="S205" i="13" s="1"/>
  <c r="R303" i="13"/>
  <c r="S303" i="13" s="1"/>
  <c r="R35" i="13"/>
  <c r="S35" i="13" s="1"/>
  <c r="R266" i="13"/>
  <c r="S266" i="13" s="1"/>
  <c r="R280" i="13"/>
  <c r="S280" i="13" s="1"/>
  <c r="R229" i="13"/>
  <c r="S229" i="13" s="1"/>
  <c r="R29" i="13"/>
  <c r="S29" i="13" s="1"/>
  <c r="R23" i="13"/>
  <c r="S23" i="13" s="1"/>
  <c r="R175" i="13"/>
  <c r="S175" i="13" s="1"/>
  <c r="R300" i="13"/>
  <c r="S300" i="13" s="1"/>
  <c r="R119" i="13"/>
  <c r="S119" i="13" s="1"/>
  <c r="R61" i="13"/>
  <c r="S61" i="13" s="1"/>
  <c r="R111" i="13"/>
  <c r="S111" i="13" s="1"/>
  <c r="R149" i="13"/>
  <c r="S149" i="13" s="1"/>
  <c r="R121" i="13"/>
  <c r="S121" i="13" s="1"/>
  <c r="O6" i="13"/>
  <c r="N315" i="13"/>
  <c r="R185" i="13"/>
  <c r="S185" i="13" s="1"/>
  <c r="R19" i="13"/>
  <c r="S19" i="13" s="1"/>
  <c r="R314" i="13"/>
  <c r="S314" i="13" s="1"/>
  <c r="R251" i="13"/>
  <c r="S251" i="13" s="1"/>
  <c r="R170" i="13"/>
  <c r="S170" i="13" s="1"/>
  <c r="R210" i="13"/>
  <c r="S210" i="13" s="1"/>
  <c r="R56" i="13"/>
  <c r="S56" i="13" s="1"/>
  <c r="R130" i="13"/>
  <c r="S130" i="13" s="1"/>
  <c r="R252" i="13"/>
  <c r="S252" i="13" s="1"/>
  <c r="R91" i="13"/>
  <c r="S91" i="13" s="1"/>
  <c r="R151" i="13"/>
  <c r="S151" i="13" s="1"/>
  <c r="R190" i="13"/>
  <c r="S190" i="13" s="1"/>
  <c r="R221" i="13"/>
  <c r="S221" i="13" s="1"/>
  <c r="R44" i="13"/>
  <c r="S44" i="13" s="1"/>
  <c r="R22" i="13"/>
  <c r="S22" i="13" s="1"/>
  <c r="R48" i="13"/>
  <c r="S48" i="13" s="1"/>
  <c r="R24" i="13"/>
  <c r="S24" i="13" s="1"/>
  <c r="R231" i="13"/>
  <c r="S231" i="13" s="1"/>
  <c r="R154" i="13"/>
  <c r="S154" i="13" s="1"/>
  <c r="R81" i="13"/>
  <c r="S81" i="13" s="1"/>
  <c r="R276" i="13"/>
  <c r="S276" i="13" s="1"/>
  <c r="R116" i="13"/>
  <c r="S116" i="13" s="1"/>
  <c r="R82" i="13"/>
  <c r="S82" i="13" s="1"/>
  <c r="R87" i="13"/>
  <c r="S87" i="13" s="1"/>
  <c r="R125" i="13"/>
  <c r="S125" i="13" s="1"/>
  <c r="R20" i="13"/>
  <c r="S20" i="13" s="1"/>
  <c r="R268" i="13"/>
  <c r="S268" i="13" s="1"/>
  <c r="R297" i="13"/>
  <c r="S297" i="13" s="1"/>
  <c r="R158" i="13"/>
  <c r="S158" i="13" s="1"/>
  <c r="R146" i="13"/>
  <c r="S146" i="13" s="1"/>
  <c r="R140" i="13"/>
  <c r="S140" i="13" s="1"/>
  <c r="R9" i="13"/>
  <c r="S9" i="13" s="1"/>
  <c r="R246" i="13"/>
  <c r="S246" i="13" s="1"/>
  <c r="R127" i="13"/>
  <c r="S127" i="13" s="1"/>
  <c r="J6" i="25"/>
  <c r="J314" i="12"/>
  <c r="R70" i="13"/>
  <c r="S70" i="13" s="1"/>
  <c r="R250" i="13"/>
  <c r="S250" i="13" s="1"/>
  <c r="R168" i="13"/>
  <c r="S168" i="13" s="1"/>
  <c r="R309" i="13"/>
  <c r="S309" i="13" s="1"/>
  <c r="R217" i="13"/>
  <c r="S217" i="13" s="1"/>
  <c r="R43" i="13"/>
  <c r="S43" i="13" s="1"/>
  <c r="R226" i="13"/>
  <c r="S226" i="13" s="1"/>
  <c r="R172" i="13"/>
  <c r="S172" i="13" s="1"/>
  <c r="R263" i="13"/>
  <c r="S263" i="13" s="1"/>
  <c r="R109" i="13"/>
  <c r="S109" i="13" s="1"/>
  <c r="R98" i="13"/>
  <c r="S98" i="13" s="1"/>
  <c r="R128" i="13"/>
  <c r="S128" i="13" s="1"/>
  <c r="R310" i="13"/>
  <c r="S310" i="13" s="1"/>
  <c r="R71" i="13"/>
  <c r="S71" i="13" s="1"/>
  <c r="R147" i="13"/>
  <c r="S147" i="13" s="1"/>
  <c r="R290" i="13"/>
  <c r="S290" i="13" s="1"/>
  <c r="R26" i="13"/>
  <c r="S26" i="13" s="1"/>
  <c r="R66" i="13"/>
  <c r="S66" i="13" s="1"/>
  <c r="R18" i="13"/>
  <c r="S18" i="13" s="1"/>
  <c r="R162" i="13"/>
  <c r="S162" i="13" s="1"/>
  <c r="R202" i="13"/>
  <c r="S202" i="13" s="1"/>
  <c r="R189" i="13"/>
  <c r="S189" i="13" s="1"/>
  <c r="R30" i="13"/>
  <c r="S30" i="13" s="1"/>
  <c r="R28" i="13"/>
  <c r="S28" i="13" s="1"/>
  <c r="R261" i="13"/>
  <c r="S261" i="13" s="1"/>
  <c r="R215" i="13"/>
  <c r="S215" i="13" s="1"/>
  <c r="R25" i="13"/>
  <c r="S25" i="13" s="1"/>
  <c r="R107" i="13"/>
  <c r="S107" i="13" s="1"/>
  <c r="R209" i="13"/>
  <c r="S209" i="13" s="1"/>
  <c r="R305" i="13"/>
  <c r="S305" i="13" s="1"/>
  <c r="R247" i="13"/>
  <c r="S247" i="13" s="1"/>
  <c r="R114" i="13"/>
  <c r="S114" i="13" s="1"/>
  <c r="R285" i="13"/>
  <c r="S285" i="13" s="1"/>
  <c r="R64" i="13"/>
  <c r="S64" i="13" s="1"/>
  <c r="R293" i="13"/>
  <c r="S293" i="13" s="1"/>
  <c r="R245" i="13"/>
  <c r="S245" i="13" s="1"/>
  <c r="R179" i="13"/>
  <c r="S179" i="13" s="1"/>
  <c r="R191" i="13"/>
  <c r="S191" i="13" s="1"/>
  <c r="R208" i="13"/>
  <c r="S208" i="13" s="1"/>
  <c r="R255" i="13"/>
  <c r="S255" i="13" s="1"/>
  <c r="R58" i="13"/>
  <c r="S58" i="13" s="1"/>
  <c r="R122" i="13"/>
  <c r="S122" i="13" s="1"/>
  <c r="R242" i="13"/>
  <c r="S242" i="13" s="1"/>
  <c r="R256" i="13"/>
  <c r="S256" i="13" s="1"/>
  <c r="R201" i="13"/>
  <c r="S201" i="13" s="1"/>
  <c r="R17" i="13"/>
  <c r="S17" i="13" s="1"/>
  <c r="R253" i="13"/>
  <c r="S253" i="13" s="1"/>
  <c r="R131" i="13"/>
  <c r="S131" i="13" s="1"/>
  <c r="R68" i="13"/>
  <c r="S68" i="13" s="1"/>
  <c r="R275" i="13"/>
  <c r="S275" i="13" s="1"/>
  <c r="R197" i="13"/>
  <c r="S197" i="13" s="1"/>
  <c r="R249" i="13"/>
  <c r="S249" i="13" s="1"/>
  <c r="R295" i="13"/>
  <c r="S295" i="13" s="1"/>
  <c r="R47" i="13"/>
  <c r="S47" i="13" s="1"/>
  <c r="R211" i="13"/>
  <c r="S211" i="13" s="1"/>
  <c r="R155" i="13"/>
  <c r="S155" i="13" s="1"/>
  <c r="R65" i="13"/>
  <c r="S65" i="13" s="1"/>
  <c r="R203" i="13"/>
  <c r="S203" i="13" s="1"/>
  <c r="R161" i="13"/>
  <c r="S161" i="13" s="1"/>
  <c r="R77" i="13"/>
  <c r="S77" i="13" s="1"/>
  <c r="R112" i="13"/>
  <c r="S112" i="13" s="1"/>
  <c r="R169" i="13"/>
  <c r="S169" i="13" s="1"/>
  <c r="R103" i="13"/>
  <c r="S103" i="13" s="1"/>
  <c r="R160" i="13"/>
  <c r="S160" i="13" s="1"/>
  <c r="R144" i="13"/>
  <c r="S144" i="13" s="1"/>
  <c r="R248" i="13"/>
  <c r="S248" i="13" s="1"/>
  <c r="R49" i="13"/>
  <c r="S49" i="13" s="1"/>
  <c r="R254" i="13"/>
  <c r="S254" i="13" s="1"/>
  <c r="R102" i="13"/>
  <c r="S102" i="13" s="1"/>
  <c r="R299" i="13"/>
  <c r="S299" i="13" s="1"/>
  <c r="R181" i="13"/>
  <c r="S181" i="13" s="1"/>
  <c r="R7" i="13"/>
  <c r="S7" i="13" s="1"/>
  <c r="R113" i="13"/>
  <c r="S113" i="13" s="1"/>
  <c r="R227" i="13"/>
  <c r="S227" i="13" s="1"/>
  <c r="R244" i="13"/>
  <c r="S244" i="13" s="1"/>
  <c r="R282" i="13"/>
  <c r="S282" i="13" s="1"/>
  <c r="E60" i="48" l="1"/>
  <c r="H298" i="54"/>
  <c r="O212" i="25"/>
  <c r="G212" i="54" s="1"/>
  <c r="H212" i="54" s="1"/>
  <c r="P6" i="13"/>
  <c r="Q6" i="13" s="1"/>
  <c r="J315" i="25"/>
  <c r="C60" i="48" l="1"/>
  <c r="E61" i="48"/>
  <c r="C61" i="48" s="1"/>
  <c r="K6" i="25"/>
  <c r="Q315" i="13"/>
  <c r="R6" i="13"/>
  <c r="S6" i="13" s="1"/>
  <c r="L6" i="25" l="1"/>
  <c r="N6" i="25" s="1"/>
  <c r="N315" i="25" s="1"/>
  <c r="O6" i="25"/>
  <c r="K315" i="25"/>
  <c r="L315" i="25" s="1"/>
  <c r="C36" i="40" s="1"/>
  <c r="D36" i="40"/>
  <c r="O315" i="25" l="1"/>
  <c r="G6" i="54"/>
  <c r="G315" i="54" l="1"/>
  <c r="H6" i="54"/>
  <c r="H315" i="5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Brochet Antoine</author>
  </authors>
  <commentList>
    <comment ref="C3" authorId="0" shapeId="0" xr:uid="{55CDA886-B582-406A-8FE9-6E2C56110B9C}">
      <text>
        <r>
          <rPr>
            <b/>
            <sz val="9"/>
            <color indexed="81"/>
            <rFont val="Tahoma"/>
            <family val="2"/>
          </rPr>
          <t>Veuillez indiquer le nom de votre commune</t>
        </r>
      </text>
    </comment>
  </commentList>
</comments>
</file>

<file path=xl/sharedStrings.xml><?xml version="1.0" encoding="utf-8"?>
<sst xmlns="http://schemas.openxmlformats.org/spreadsheetml/2006/main" count="1352" uniqueCount="618">
  <si>
    <t>Plafonnement de l'aide</t>
  </si>
  <si>
    <t>L'Isle</t>
  </si>
  <si>
    <t>Lussery-Villars</t>
  </si>
  <si>
    <t>Mauraz</t>
  </si>
  <si>
    <t>Mex</t>
  </si>
  <si>
    <t>Moiry</t>
  </si>
  <si>
    <t>Corcelles-près-Payerne</t>
  </si>
  <si>
    <t>Grandcour</t>
  </si>
  <si>
    <t>Henniez</t>
  </si>
  <si>
    <t>Missy</t>
  </si>
  <si>
    <t>Payerne</t>
  </si>
  <si>
    <t>Trey</t>
  </si>
  <si>
    <t>Villarzel</t>
  </si>
  <si>
    <t>Château-d'Oex</t>
  </si>
  <si>
    <t>Rossinière</t>
  </si>
  <si>
    <t>Rougemont</t>
  </si>
  <si>
    <t>Allaman</t>
  </si>
  <si>
    <t>Bursinel</t>
  </si>
  <si>
    <t>Bursins</t>
  </si>
  <si>
    <t>Burtigny</t>
  </si>
  <si>
    <t>Dully</t>
  </si>
  <si>
    <t>Essertines-sur-Rolle</t>
  </si>
  <si>
    <t>Gilly</t>
  </si>
  <si>
    <t>Luins</t>
  </si>
  <si>
    <t>Mont-sur-Rolle</t>
  </si>
  <si>
    <t>Perroy</t>
  </si>
  <si>
    <t>Rolle</t>
  </si>
  <si>
    <t>Tartegnin</t>
  </si>
  <si>
    <t>Vinzel</t>
  </si>
  <si>
    <t>L'Abbaye</t>
  </si>
  <si>
    <t>Saint-Barthélemy</t>
  </si>
  <si>
    <t>Villars-le-Terroir</t>
  </si>
  <si>
    <t>Vuarrens</t>
  </si>
  <si>
    <t>Bonvillars</t>
  </si>
  <si>
    <t>Bullet</t>
  </si>
  <si>
    <t>Champagne</t>
  </si>
  <si>
    <t>Concise</t>
  </si>
  <si>
    <t>Corcelles-près-Concise</t>
  </si>
  <si>
    <t>Fiez</t>
  </si>
  <si>
    <t>Fontaines-sur-Grandson</t>
  </si>
  <si>
    <t>Giez</t>
  </si>
  <si>
    <t>Grandevent</t>
  </si>
  <si>
    <t>Grandson</t>
  </si>
  <si>
    <t>Mauborget</t>
  </si>
  <si>
    <t>Plafond transports</t>
  </si>
  <si>
    <t>Plafond forêts</t>
  </si>
  <si>
    <t>No OFS</t>
  </si>
  <si>
    <t>Fonds de péréquation</t>
  </si>
  <si>
    <t>IFO normalisé à 100</t>
  </si>
  <si>
    <t>Corsier-sur-Vevey</t>
  </si>
  <si>
    <t>Jongny</t>
  </si>
  <si>
    <t>Montreux</t>
  </si>
  <si>
    <t>La Tour-de-Peilz</t>
  </si>
  <si>
    <t>Vevey</t>
  </si>
  <si>
    <t>Veytaux</t>
  </si>
  <si>
    <t>Belmont-sur-Yverdon</t>
  </si>
  <si>
    <t>Bioley-Magnoux</t>
  </si>
  <si>
    <t>Chamblon</t>
  </si>
  <si>
    <t>Champvent</t>
  </si>
  <si>
    <t>Chavannes-le-Chêne</t>
  </si>
  <si>
    <t>Chêne-Pâquier</t>
  </si>
  <si>
    <t>Cheseaux-Noréaz</t>
  </si>
  <si>
    <t>Cronay</t>
  </si>
  <si>
    <t>Cuarny</t>
  </si>
  <si>
    <t>Démoret</t>
  </si>
  <si>
    <t>Donneloye</t>
  </si>
  <si>
    <t>Ependes</t>
  </si>
  <si>
    <t>Habitants</t>
  </si>
  <si>
    <t>Valeur par habitant</t>
  </si>
  <si>
    <t>Nyon</t>
  </si>
  <si>
    <t>Prangins</t>
  </si>
  <si>
    <t>Bougy-Villars</t>
  </si>
  <si>
    <t>Yvorne</t>
  </si>
  <si>
    <t>Apples</t>
  </si>
  <si>
    <t>Aubonne</t>
  </si>
  <si>
    <t>Ballens</t>
  </si>
  <si>
    <t>Berolle</t>
  </si>
  <si>
    <t>Bière</t>
  </si>
  <si>
    <t>Taux communal</t>
  </si>
  <si>
    <t>ISP</t>
  </si>
  <si>
    <t>IPE</t>
  </si>
  <si>
    <t>IBC</t>
  </si>
  <si>
    <t>IET</t>
  </si>
  <si>
    <t>ISO</t>
  </si>
  <si>
    <t>IMM</t>
  </si>
  <si>
    <t>IFO</t>
  </si>
  <si>
    <t>STO</t>
  </si>
  <si>
    <t>IFR</t>
  </si>
  <si>
    <t>ISD</t>
  </si>
  <si>
    <t>DMU</t>
  </si>
  <si>
    <t>IGI</t>
  </si>
  <si>
    <t>TOT</t>
  </si>
  <si>
    <t>Facture sociale à charge des communes</t>
  </si>
  <si>
    <t>Facture sociale</t>
  </si>
  <si>
    <t>Alimentation</t>
  </si>
  <si>
    <t>./. Dép. thématiques</t>
  </si>
  <si>
    <t>Commune</t>
  </si>
  <si>
    <t>Chavannes-sur-Moudon</t>
  </si>
  <si>
    <t>Curtilles</t>
  </si>
  <si>
    <t>Dompierre</t>
  </si>
  <si>
    <t>Hermenches</t>
  </si>
  <si>
    <t>Lovatens</t>
  </si>
  <si>
    <t>Lucens</t>
  </si>
  <si>
    <t>Moudon</t>
  </si>
  <si>
    <t>Ogens</t>
  </si>
  <si>
    <t>Prévonloup</t>
  </si>
  <si>
    <t>Rossenges</t>
  </si>
  <si>
    <t>Syens</t>
  </si>
  <si>
    <t>Villars-le-Comte</t>
  </si>
  <si>
    <t>Vucherens</t>
  </si>
  <si>
    <t>Arnex-sur-Nyon</t>
  </si>
  <si>
    <t>Bassins</t>
  </si>
  <si>
    <t>Chessel</t>
  </si>
  <si>
    <t>Corbeyrier</t>
  </si>
  <si>
    <t>Gryon</t>
  </si>
  <si>
    <t>Lavey-Morcles</t>
  </si>
  <si>
    <t>Leysin</t>
  </si>
  <si>
    <t>Noville</t>
  </si>
  <si>
    <t>Ollon</t>
  </si>
  <si>
    <t>Sainte-Croix</t>
  </si>
  <si>
    <t>Lausanne</t>
  </si>
  <si>
    <t>Le Mont-sur-Lausanne</t>
  </si>
  <si>
    <t>Paudex</t>
  </si>
  <si>
    <t>Prilly</t>
  </si>
  <si>
    <t>Pully</t>
  </si>
  <si>
    <t>Taux projeté</t>
  </si>
  <si>
    <t>Plafonnement du taux</t>
  </si>
  <si>
    <t>Contrôle du taux projeté</t>
  </si>
  <si>
    <t>Rivaz</t>
  </si>
  <si>
    <t>St-Saphorin (Lavaux)</t>
  </si>
  <si>
    <t>Ormont-Dessous</t>
  </si>
  <si>
    <t>Ormont-Dessus</t>
  </si>
  <si>
    <t>Rennaz</t>
  </si>
  <si>
    <t>Roche</t>
  </si>
  <si>
    <t>Villeneuve</t>
  </si>
  <si>
    <t>Romainmôtier-Envy</t>
  </si>
  <si>
    <t>Sergey</t>
  </si>
  <si>
    <t>Valeyres-sous-Rances</t>
  </si>
  <si>
    <t>Total</t>
  </si>
  <si>
    <t>Dépenses thématiques</t>
  </si>
  <si>
    <t>Ferreyres</t>
  </si>
  <si>
    <t>Gollion</t>
  </si>
  <si>
    <t>Grancy</t>
  </si>
  <si>
    <t>Forel (Lavaux)</t>
  </si>
  <si>
    <t>Lutry</t>
  </si>
  <si>
    <t>Péréquation directe nette</t>
  </si>
  <si>
    <t>Plafond en pts</t>
  </si>
  <si>
    <t>Bremblens</t>
  </si>
  <si>
    <t>Buchillon</t>
  </si>
  <si>
    <t>Yvonand</t>
  </si>
  <si>
    <t>Yverdon-les-Bains</t>
  </si>
  <si>
    <t>Clarmont</t>
  </si>
  <si>
    <t>Denens</t>
  </si>
  <si>
    <t>Denges</t>
  </si>
  <si>
    <t>Echandens</t>
  </si>
  <si>
    <t>Echichens</t>
  </si>
  <si>
    <t>Ecublens</t>
  </si>
  <si>
    <t>Etoy</t>
  </si>
  <si>
    <t>Lavigny</t>
  </si>
  <si>
    <t>Lonay</t>
  </si>
  <si>
    <t>Lully</t>
  </si>
  <si>
    <t>Lussy-sur-Morges</t>
  </si>
  <si>
    <t>Morges</t>
  </si>
  <si>
    <t>Préverenges</t>
  </si>
  <si>
    <t>Mont-la-Ville</t>
  </si>
  <si>
    <t>Montricher</t>
  </si>
  <si>
    <t>Orny</t>
  </si>
  <si>
    <t>Pampigny</t>
  </si>
  <si>
    <t>Penthalaz</t>
  </si>
  <si>
    <t>Penthaz</t>
  </si>
  <si>
    <t>Pompaples</t>
  </si>
  <si>
    <t>La Sarraz</t>
  </si>
  <si>
    <t>Senarclens</t>
  </si>
  <si>
    <t>Sévery</t>
  </si>
  <si>
    <t>Sullens</t>
  </si>
  <si>
    <t>Vufflens-la-Ville</t>
  </si>
  <si>
    <t>Assens</t>
  </si>
  <si>
    <t>Bercher</t>
  </si>
  <si>
    <t>Bioley-Orjulaz</t>
  </si>
  <si>
    <t>Bottens</t>
  </si>
  <si>
    <t>Bretigny-sur-Morrens</t>
  </si>
  <si>
    <t>Cugy</t>
  </si>
  <si>
    <t>Echallens</t>
  </si>
  <si>
    <t>Essertines-sur-Yverdon</t>
  </si>
  <si>
    <t>Etagnières</t>
  </si>
  <si>
    <t>Fey</t>
  </si>
  <si>
    <t>Froideville</t>
  </si>
  <si>
    <t>Morrens</t>
  </si>
  <si>
    <t>Oulens-sous-Echallens</t>
  </si>
  <si>
    <t>Pailly</t>
  </si>
  <si>
    <t>Penthéréaz</t>
  </si>
  <si>
    <t>Poliez-Pittet</t>
  </si>
  <si>
    <t>Rueyres</t>
  </si>
  <si>
    <t>Sous-total</t>
  </si>
  <si>
    <t>Frontaliers</t>
  </si>
  <si>
    <t>Successions et donations</t>
  </si>
  <si>
    <t>Droits de mutation</t>
  </si>
  <si>
    <t>Gains immobiliers</t>
  </si>
  <si>
    <t>Villars-sous-Yens</t>
  </si>
  <si>
    <t>Vufflens-le-Château</t>
  </si>
  <si>
    <t>Vullierens</t>
  </si>
  <si>
    <t>Yens</t>
  </si>
  <si>
    <t>Boulens</t>
  </si>
  <si>
    <t>Bussy-sur-Moudon</t>
  </si>
  <si>
    <t>Le Chenit</t>
  </si>
  <si>
    <t>Le Lieu</t>
  </si>
  <si>
    <t>Blonay</t>
  </si>
  <si>
    <t>Chardonne</t>
  </si>
  <si>
    <t>Corseaux</t>
  </si>
  <si>
    <t>Boussens</t>
  </si>
  <si>
    <t>La Chaux (Cossonay)</t>
  </si>
  <si>
    <t>Plafonnement de l'effort</t>
  </si>
  <si>
    <t>Solde net des péréquations</t>
  </si>
  <si>
    <t>Prise en charge dépassement</t>
  </si>
  <si>
    <t>Dépassement forêts</t>
  </si>
  <si>
    <t>Romanel-sur-Lausanne</t>
  </si>
  <si>
    <t>La Praz</t>
  </si>
  <si>
    <t>Premier</t>
  </si>
  <si>
    <t>Rances</t>
  </si>
  <si>
    <t>Indicateurs financiers</t>
  </si>
  <si>
    <t>Begnins</t>
  </si>
  <si>
    <t>Bogis-Bossey</t>
  </si>
  <si>
    <t>Borex</t>
  </si>
  <si>
    <t>Chavannes-de-Bogis</t>
  </si>
  <si>
    <t>Chavannes-des-Bois</t>
  </si>
  <si>
    <t>Chéserex</t>
  </si>
  <si>
    <t>Coinsins</t>
  </si>
  <si>
    <t>Commugny</t>
  </si>
  <si>
    <t>Coppet</t>
  </si>
  <si>
    <t>Crans-près-Céligny</t>
  </si>
  <si>
    <t>Crassier</t>
  </si>
  <si>
    <t>Duillier</t>
  </si>
  <si>
    <t>Eysins</t>
  </si>
  <si>
    <t>Founex</t>
  </si>
  <si>
    <t>Genolier</t>
  </si>
  <si>
    <t>Gingins</t>
  </si>
  <si>
    <t>Givrins</t>
  </si>
  <si>
    <t>Gland</t>
  </si>
  <si>
    <t>Grens</t>
  </si>
  <si>
    <t>Mies</t>
  </si>
  <si>
    <t>Cottens</t>
  </si>
  <si>
    <t>Cuarnens</t>
  </si>
  <si>
    <t>Daillens</t>
  </si>
  <si>
    <t>Dizy</t>
  </si>
  <si>
    <t>Eclépens</t>
  </si>
  <si>
    <t>Pertes débiteurs</t>
  </si>
  <si>
    <t>Modif. Ant.</t>
  </si>
  <si>
    <t>Imputation forfaitaire</t>
  </si>
  <si>
    <t>Pers. physiques - revenu/fortune corrigé</t>
  </si>
  <si>
    <t>IRF corrrigé</t>
  </si>
  <si>
    <t xml:space="preserve">Pers. physiques - revenu/fortune </t>
  </si>
  <si>
    <t xml:space="preserve">IRF </t>
  </si>
  <si>
    <t>Plafond effort</t>
  </si>
  <si>
    <t>Plafond taux</t>
  </si>
  <si>
    <t>Chavannes-près-Renens</t>
  </si>
  <si>
    <t>Chigny</t>
  </si>
  <si>
    <t>Diff. De taux</t>
  </si>
  <si>
    <t>Impôt spécial affecté</t>
  </si>
  <si>
    <t>Impôt personnel</t>
  </si>
  <si>
    <t>Pers. morales bénéfice / capital</t>
  </si>
  <si>
    <t>Aigle</t>
  </si>
  <si>
    <t>Bex</t>
  </si>
  <si>
    <t>Taux après déduction de l'effort péréquatif</t>
  </si>
  <si>
    <t>Somme des efforts péréquatifs prévus</t>
  </si>
  <si>
    <t>Arnex-sur-Orbe</t>
  </si>
  <si>
    <t>Ballaigues</t>
  </si>
  <si>
    <t>Baulmes</t>
  </si>
  <si>
    <t>Bavois</t>
  </si>
  <si>
    <t>Bofflens</t>
  </si>
  <si>
    <t>Bretonnières</t>
  </si>
  <si>
    <t>Chavornay</t>
  </si>
  <si>
    <t>Les Clées</t>
  </si>
  <si>
    <t>Montagny-près-Yverdon</t>
  </si>
  <si>
    <t>Oppens</t>
  </si>
  <si>
    <t>Orges</t>
  </si>
  <si>
    <t>Ursins</t>
  </si>
  <si>
    <t>Vugelles-La Mothe</t>
  </si>
  <si>
    <t>./. Gestion du fonds</t>
  </si>
  <si>
    <t>Corcelles-le-Jorat</t>
  </si>
  <si>
    <t>Essertes</t>
  </si>
  <si>
    <t>Maracon</t>
  </si>
  <si>
    <t>Montpreveyres</t>
  </si>
  <si>
    <t>Ropraz</t>
  </si>
  <si>
    <t>Servion</t>
  </si>
  <si>
    <t>Mutrux</t>
  </si>
  <si>
    <t>Novalles</t>
  </si>
  <si>
    <t>Onnens</t>
  </si>
  <si>
    <t>Provence</t>
  </si>
  <si>
    <t>Recettes conjoncturelles en pts</t>
  </si>
  <si>
    <t>A répartir selon clé</t>
  </si>
  <si>
    <t>en % de la moyenne</t>
  </si>
  <si>
    <t>Seuil 1</t>
  </si>
  <si>
    <t>Seuil 2</t>
  </si>
  <si>
    <t>Total écrêtage</t>
  </si>
  <si>
    <t>Montant à recevoir</t>
  </si>
  <si>
    <t>Total à recevoir</t>
  </si>
  <si>
    <t>Savigny</t>
  </si>
  <si>
    <t>Chexbres</t>
  </si>
  <si>
    <t>Villars-Epeney</t>
  </si>
  <si>
    <t>Puidoux</t>
  </si>
  <si>
    <t>Bussy-Chardonney</t>
  </si>
  <si>
    <t>Total transports</t>
  </si>
  <si>
    <t>Dépassement transports</t>
  </si>
  <si>
    <t>Population</t>
  </si>
  <si>
    <t>Capacité fiscale totale</t>
  </si>
  <si>
    <t>Montant perçu</t>
  </si>
  <si>
    <t>Bas</t>
  </si>
  <si>
    <t>Seuils de population</t>
  </si>
  <si>
    <t>Haut</t>
  </si>
  <si>
    <t>Montants</t>
  </si>
  <si>
    <t>Compensation brute</t>
  </si>
  <si>
    <t>Reverolle</t>
  </si>
  <si>
    <t>Romanel-sur-Morges</t>
  </si>
  <si>
    <t>Saint-Prex</t>
  </si>
  <si>
    <t>Saint-Sulpice</t>
  </si>
  <si>
    <t>Tolochenaz</t>
  </si>
  <si>
    <t>Vaux-sur-Morges</t>
  </si>
  <si>
    <t>Villars-Sainte-Croix</t>
  </si>
  <si>
    <t>La Rippe</t>
  </si>
  <si>
    <t>Saint-Cergue</t>
  </si>
  <si>
    <t>Signy-Avenex</t>
  </si>
  <si>
    <t>Tannay</t>
  </si>
  <si>
    <t>Trélex</t>
  </si>
  <si>
    <t>Le Vaud</t>
  </si>
  <si>
    <t>Vich</t>
  </si>
  <si>
    <t>L'Abergement</t>
  </si>
  <si>
    <t>Agiez</t>
  </si>
  <si>
    <t>Péréquation directe</t>
  </si>
  <si>
    <t>Transports publics</t>
  </si>
  <si>
    <t>Transports scolaires</t>
  </si>
  <si>
    <t>Croy</t>
  </si>
  <si>
    <t>Juriens</t>
  </si>
  <si>
    <t>Lignerolle</t>
  </si>
  <si>
    <t>Montcherand</t>
  </si>
  <si>
    <t>Orbe</t>
  </si>
  <si>
    <t>Vallorbe</t>
  </si>
  <si>
    <t>Vaulion</t>
  </si>
  <si>
    <t>Vuiteboeuf</t>
  </si>
  <si>
    <t>Effort plafonné</t>
  </si>
  <si>
    <t>Impôts suivant le taux</t>
  </si>
  <si>
    <t>Féchy</t>
  </si>
  <si>
    <t>Gimel</t>
  </si>
  <si>
    <t>Saint-Livres</t>
  </si>
  <si>
    <t>Saint-Oyens</t>
  </si>
  <si>
    <t>Saubraz</t>
  </si>
  <si>
    <t>Avenches</t>
  </si>
  <si>
    <t>Cudrefin</t>
  </si>
  <si>
    <t>Faoug</t>
  </si>
  <si>
    <t>Bettens</t>
  </si>
  <si>
    <t>Bournens</t>
  </si>
  <si>
    <t>% taux communal moyen</t>
  </si>
  <si>
    <t>Compensation nette</t>
  </si>
  <si>
    <t>Différence à compenser</t>
  </si>
  <si>
    <t>A recevoir population</t>
  </si>
  <si>
    <t>Total péréquation directe</t>
  </si>
  <si>
    <t>Total éléments divers</t>
  </si>
  <si>
    <t>Effort total net</t>
  </si>
  <si>
    <t xml:space="preserve">Taux actuel </t>
  </si>
  <si>
    <t xml:space="preserve">Solde net actuel
</t>
  </si>
  <si>
    <t xml:space="preserve">Taux </t>
  </si>
  <si>
    <t>Pop.</t>
  </si>
  <si>
    <t>Longirod</t>
  </si>
  <si>
    <t>Marchissy</t>
  </si>
  <si>
    <t>Mollens</t>
  </si>
  <si>
    <t>Montherod</t>
  </si>
  <si>
    <t>Saint-George</t>
  </si>
  <si>
    <t>Total des prises en charges</t>
  </si>
  <si>
    <t>Thématique</t>
  </si>
  <si>
    <t>Effort total</t>
  </si>
  <si>
    <t>Valeur du point</t>
  </si>
  <si>
    <t>Plafonnement en francs</t>
  </si>
  <si>
    <t>Chavannes-le-Veyron</t>
  </si>
  <si>
    <t>Chevilly</t>
  </si>
  <si>
    <t>Cossonay</t>
  </si>
  <si>
    <t>./. Conjoncturelles</t>
  </si>
  <si>
    <t>./. Ecrêtage</t>
  </si>
  <si>
    <t>Paramétrage des critères de péréquation</t>
  </si>
  <si>
    <t>Prise en charge (%)</t>
  </si>
  <si>
    <t>Montants affectés aux plafonnements</t>
  </si>
  <si>
    <t>Seuil max (pts)</t>
  </si>
  <si>
    <t>Impôt sur les étrangers</t>
  </si>
  <si>
    <t>Impôt à la source</t>
  </si>
  <si>
    <t>Pers. morales immeubles</t>
  </si>
  <si>
    <t>Impôt foncier</t>
  </si>
  <si>
    <t>Vulliens</t>
  </si>
  <si>
    <t>Champtauroz</t>
  </si>
  <si>
    <t>Chevroux</t>
  </si>
  <si>
    <t>Belmont-sur-Lausanne</t>
  </si>
  <si>
    <t>Cheseaux-sur-Lausanne</t>
  </si>
  <si>
    <t>Crissier</t>
  </si>
  <si>
    <t>Epalinges</t>
  </si>
  <si>
    <t>Jouxtens-Mézery</t>
  </si>
  <si>
    <t>Mathod</t>
  </si>
  <si>
    <t>Molondin</t>
  </si>
  <si>
    <t>Renens</t>
  </si>
  <si>
    <t>Valeyres-sous-Montagny</t>
  </si>
  <si>
    <t>Valeyres-sous-Ursins</t>
  </si>
  <si>
    <t>Orzens</t>
  </si>
  <si>
    <t>Pomy</t>
  </si>
  <si>
    <t>Rovray</t>
  </si>
  <si>
    <t>Suchy</t>
  </si>
  <si>
    <t>Suscévaz</t>
  </si>
  <si>
    <t>Treycovagnes</t>
  </si>
  <si>
    <t>Aclens</t>
  </si>
  <si>
    <t>Total part communale</t>
  </si>
  <si>
    <t>Répartition selon péréquation</t>
  </si>
  <si>
    <t>Solde péréquation directe</t>
  </si>
  <si>
    <t>Points</t>
  </si>
  <si>
    <t>Seuil 3</t>
  </si>
  <si>
    <t>Effort total sans thématiques</t>
  </si>
  <si>
    <t>Plafonnement aide</t>
  </si>
  <si>
    <t>Pers. physiques - revenu</t>
  </si>
  <si>
    <t xml:space="preserve">Pers. physiques - fortune </t>
  </si>
  <si>
    <t>Impôt sur la dépense (étrangers)</t>
  </si>
  <si>
    <t>Impôt récupéré après défalcation</t>
  </si>
  <si>
    <t>PPR</t>
  </si>
  <si>
    <t>PPF</t>
  </si>
  <si>
    <t>PMB</t>
  </si>
  <si>
    <t>PMC</t>
  </si>
  <si>
    <t>Montant plafonnement totaux</t>
  </si>
  <si>
    <t xml:space="preserve">Montant prélevé </t>
  </si>
  <si>
    <t xml:space="preserve">./. Plafonnements totaux </t>
  </si>
  <si>
    <t xml:space="preserve">./. Réserve </t>
  </si>
  <si>
    <t>Recettes conjoncturelles (mutations + gains immob + successions)</t>
  </si>
  <si>
    <t>A recevoir solidarité</t>
  </si>
  <si>
    <t>Solde solidarité et population</t>
  </si>
  <si>
    <t>Bourg-en-Lavaux</t>
  </si>
  <si>
    <t>Tévenon</t>
  </si>
  <si>
    <t>Vully-les-Lacs</t>
  </si>
  <si>
    <t>Goumoëns</t>
  </si>
  <si>
    <t>Montilliez</t>
  </si>
  <si>
    <t>Jorat-Menthue</t>
  </si>
  <si>
    <t>Valbroye</t>
  </si>
  <si>
    <t>Oron</t>
  </si>
  <si>
    <t>Prélèvements conjoncturels</t>
  </si>
  <si>
    <t>Variation facture sociale</t>
  </si>
  <si>
    <t>Variation point d'impôt</t>
  </si>
  <si>
    <t>Indexation</t>
  </si>
  <si>
    <t>Plafond aide</t>
  </si>
  <si>
    <t>Bussigny</t>
  </si>
  <si>
    <t>Arzier-Le Muids</t>
  </si>
  <si>
    <t>Montanaire</t>
  </si>
  <si>
    <t>Dépassement routes</t>
  </si>
  <si>
    <t>Droits mutations, GI, successions et donations</t>
  </si>
  <si>
    <t>Indice IPC au 1er janvier 2010</t>
  </si>
  <si>
    <t>Indice IPC au 30 juin de l'année du décompte</t>
  </si>
  <si>
    <t>Montant à affecter ajusté à l'IPC</t>
  </si>
  <si>
    <t>Population selon FAO</t>
  </si>
  <si>
    <t xml:space="preserve">Rendement des impôts et taxes communaux  (en CHF)   </t>
  </si>
  <si>
    <t>Année de référence</t>
  </si>
  <si>
    <t>Valeur du point communal</t>
  </si>
  <si>
    <t>Péréquation directe - Couche Population</t>
  </si>
  <si>
    <t>Péréquation directe - Couche Solidarité</t>
  </si>
  <si>
    <t>CHF</t>
  </si>
  <si>
    <t>Pts</t>
  </si>
  <si>
    <t>A rendre en CHF</t>
  </si>
  <si>
    <t>Effort péréquatif en points</t>
  </si>
  <si>
    <t>A) Période de calcul</t>
  </si>
  <si>
    <t>B) Prélèvement sur recettes conjoncturelles</t>
  </si>
  <si>
    <t>C) Ecrêtage</t>
  </si>
  <si>
    <t>pour une capacité dépassant</t>
  </si>
  <si>
    <t>D) Couche population</t>
  </si>
  <si>
    <t>Montant à affecter par habitant</t>
  </si>
  <si>
    <t>E) Couche solidarité</t>
  </si>
  <si>
    <t>F) Ecart péréquation horizontale</t>
  </si>
  <si>
    <t>G) Dépenses thématiques</t>
  </si>
  <si>
    <t>Transports, nombre de points</t>
  </si>
  <si>
    <t>Prise en charge maximale</t>
  </si>
  <si>
    <t>H) Paramètres de plafonnement en points</t>
  </si>
  <si>
    <t>Impôts théoriques</t>
  </si>
  <si>
    <t>Synthèse en CHF</t>
  </si>
  <si>
    <t>Ecrêtage</t>
  </si>
  <si>
    <t xml:space="preserve">J) Liste des communes A--&gt;Z </t>
  </si>
  <si>
    <t>Recettes conjoncturelles (DM + GI + Succ.)</t>
  </si>
  <si>
    <t>Répartition solde après prélèvements</t>
  </si>
  <si>
    <t>Solidarité</t>
  </si>
  <si>
    <t>Plafonnements</t>
  </si>
  <si>
    <t>Aide</t>
  </si>
  <si>
    <t>Taux</t>
  </si>
  <si>
    <t>Total de la péréquation directe</t>
  </si>
  <si>
    <t>Montant à charge de la commune</t>
  </si>
  <si>
    <t>Résumé par commune</t>
  </si>
  <si>
    <t>Communes sans police communale/intercommunale = 0</t>
  </si>
  <si>
    <t>Imp théoriques</t>
  </si>
  <si>
    <t>Facturation de l'Etat au coût réel (Fr/hab) aux communes délégatrices, mais max 2 pts</t>
  </si>
  <si>
    <t>Total à charge des communes</t>
  </si>
  <si>
    <t>Réforme policière</t>
  </si>
  <si>
    <t>Financement reçu pour les nouvelles tâches</t>
  </si>
  <si>
    <t>J) Réforme policière</t>
  </si>
  <si>
    <t>Nombre de point</t>
  </si>
  <si>
    <t>Charges pour commune sans police</t>
  </si>
  <si>
    <t>Répartition du solde</t>
  </si>
  <si>
    <t>Facture</t>
  </si>
  <si>
    <t>Date population</t>
  </si>
  <si>
    <t>Date taux d'impôt</t>
  </si>
  <si>
    <t>Taux IFO</t>
  </si>
  <si>
    <t>Total de la réforme policière</t>
  </si>
  <si>
    <t>Date plafonnement du taux (N-1)</t>
  </si>
  <si>
    <t>Seuil de population (habitants). Art. 2 DLPIC</t>
  </si>
  <si>
    <t>Selon Art. 3 DLPIC</t>
  </si>
  <si>
    <t>Gestion du fond (montant négatif). Art. 8 DLPIC</t>
  </si>
  <si>
    <t>% prélevé. Art. 4 LPIC</t>
  </si>
  <si>
    <t>Frontaliers. Art. 3 LPIC</t>
  </si>
  <si>
    <t>Forêts, nombre de points. Art. 4 DLPIC</t>
  </si>
  <si>
    <t>Effort maximum plafonné. Art. 5 DLPIC</t>
  </si>
  <si>
    <t>Aide maximale plafonnée. Art. 7 DLPIC</t>
  </si>
  <si>
    <t>P é r é q u a t i o n   d i r e c t e</t>
  </si>
  <si>
    <t>R é f o r m e   p o l i c i è r e</t>
  </si>
  <si>
    <t>T o t a l   p é r é q u a t i o n   d i r e c t e,   i n d i r e c t e   e t   p o l i c e</t>
  </si>
  <si>
    <t>Treytorrens (Payerne)</t>
  </si>
  <si>
    <t>Saint-Légier-La Chiésaz</t>
  </si>
  <si>
    <t>Effort péréquatif. Art. 5 DLPIC</t>
  </si>
  <si>
    <t>Dépassement du taux. Art. 6 DLPIC</t>
  </si>
  <si>
    <t>Montant écrêtage pour calculer le point impôt écrêté</t>
  </si>
  <si>
    <t>*Max. selon art. 4 DLPIC</t>
  </si>
  <si>
    <t>Jorat-Mézières</t>
  </si>
  <si>
    <t xml:space="preserve">Année 2018 : </t>
  </si>
  <si>
    <t>Dès 2019 :</t>
  </si>
  <si>
    <t>Total des prises en charges pour plfd aide</t>
  </si>
  <si>
    <t>Année 2019</t>
  </si>
  <si>
    <t>Situation N-1 (plafond de l'effort)</t>
  </si>
  <si>
    <t>Situation N-1 (plafond du taux)</t>
  </si>
  <si>
    <t>Effort</t>
  </si>
  <si>
    <t>Total net</t>
  </si>
  <si>
    <t>S y n t h è s e   e n   C H F</t>
  </si>
  <si>
    <t>Coût réel en CHF</t>
  </si>
  <si>
    <t>Taux maximum plafonné. Art. 6 DLPIC</t>
  </si>
  <si>
    <t>Seuil 4</t>
  </si>
  <si>
    <t>Seuil 5</t>
  </si>
  <si>
    <t>2019</t>
  </si>
  <si>
    <t>Valeur point impôt</t>
  </si>
  <si>
    <t>Nombre de points</t>
  </si>
  <si>
    <t>Valeur du point d'impôt</t>
  </si>
  <si>
    <t>Facture en points d'impôts</t>
  </si>
  <si>
    <t>Point impôt</t>
  </si>
  <si>
    <t>Montant total avec le renchérissement à payer par les communes en pts d'impôts</t>
  </si>
  <si>
    <t>Point d'impôt</t>
  </si>
  <si>
    <t>Point d'impôts</t>
  </si>
  <si>
    <t>* Dès 2019, le plafond a passé de 4 à 4.5</t>
  </si>
  <si>
    <t>Année 2020</t>
  </si>
  <si>
    <t>Dès 2020 :</t>
  </si>
  <si>
    <t>Effort total sans les recettes conjoncturelles</t>
  </si>
  <si>
    <t>Montant prélevé en pts d'impôt</t>
  </si>
  <si>
    <t>2020</t>
  </si>
  <si>
    <t>Décompte 2019</t>
  </si>
  <si>
    <t>Part. à la coh. soc. selon les comptes 2019</t>
  </si>
  <si>
    <t>Part. à la coh. soc. selon les comptes 2020</t>
  </si>
  <si>
    <t>Valeur du point d'impôt communal selon comptes 2019</t>
  </si>
  <si>
    <t>Valeur du point d'impôt communal selon comptes 2020</t>
  </si>
  <si>
    <t xml:space="preserve">Répartition CHF </t>
  </si>
  <si>
    <t xml:space="preserve">Pers. morales bénéfice </t>
  </si>
  <si>
    <t>Patentes tabacs</t>
  </si>
  <si>
    <t>Patentes diverses</t>
  </si>
  <si>
    <t>Chiens</t>
  </si>
  <si>
    <t>Divertissements</t>
  </si>
  <si>
    <t>Divers</t>
  </si>
  <si>
    <t>IPA</t>
  </si>
  <si>
    <t>ICH</t>
  </si>
  <si>
    <t>IDI</t>
  </si>
  <si>
    <t>IDV</t>
  </si>
  <si>
    <t>Taxe épuration</t>
  </si>
  <si>
    <t>Taxe compl. Epuration</t>
  </si>
  <si>
    <t>Taxe annuelle Epuration</t>
  </si>
  <si>
    <t>Taxe annuelle encaissée par une association</t>
  </si>
  <si>
    <t>Ordures</t>
  </si>
  <si>
    <t>Taxe eau</t>
  </si>
  <si>
    <t>Taxe compl. Eau</t>
  </si>
  <si>
    <t>Pompiers</t>
  </si>
  <si>
    <t>Taxe communale de séjour</t>
  </si>
  <si>
    <t>Taxe pour l'usage du sol</t>
  </si>
  <si>
    <t>taxe pour l'éclairage public</t>
  </si>
  <si>
    <t>Taxe pour l'amélioration énergétique</t>
  </si>
  <si>
    <t>Taxe pour le développement durable</t>
  </si>
  <si>
    <t>Total taxes</t>
  </si>
  <si>
    <t>Taxegout</t>
  </si>
  <si>
    <t>Taxcegou</t>
  </si>
  <si>
    <t>Taxaneg</t>
  </si>
  <si>
    <t>Taxenc</t>
  </si>
  <si>
    <t>Ordure</t>
  </si>
  <si>
    <t>Taxeau</t>
  </si>
  <si>
    <t>Taxceau</t>
  </si>
  <si>
    <t>Pompier</t>
  </si>
  <si>
    <t>Taxcomse</t>
  </si>
  <si>
    <t>Tot. taxes</t>
  </si>
  <si>
    <t/>
  </si>
  <si>
    <t>Pers. morales  capital</t>
  </si>
  <si>
    <t>Péréquation horizontal</t>
  </si>
  <si>
    <t>Participation à la coh. Sociale</t>
  </si>
  <si>
    <t xml:space="preserve"> </t>
  </si>
  <si>
    <t>P é r é q u a t i o n   i n d i r e c t e   (participation à la cohésion sociale)</t>
  </si>
  <si>
    <t>Total de la participation à la cohésion sociale</t>
  </si>
  <si>
    <t xml:space="preserve">Charges de fonctionnement </t>
  </si>
  <si>
    <t xml:space="preserve">Investissements </t>
  </si>
  <si>
    <t>Total Routes et infrastructures</t>
  </si>
  <si>
    <t>Investissements</t>
  </si>
  <si>
    <t>Total Forêts</t>
  </si>
  <si>
    <t>Transports</t>
  </si>
  <si>
    <t>Forêts</t>
  </si>
  <si>
    <t>Manco pour l'Etat - à couvrir par la péréquation</t>
  </si>
  <si>
    <t>Totaux</t>
  </si>
  <si>
    <t>Acomptes*</t>
  </si>
  <si>
    <t>Décomptes</t>
  </si>
  <si>
    <t>Soldes</t>
  </si>
  <si>
    <t>(+ à payer / - à recevoir)</t>
  </si>
  <si>
    <t>Communes</t>
  </si>
  <si>
    <t>Péréquation horizontale</t>
  </si>
  <si>
    <t>Acomptes</t>
  </si>
  <si>
    <t>Décompte</t>
  </si>
  <si>
    <t>Différences</t>
  </si>
  <si>
    <t>Différence</t>
  </si>
  <si>
    <t>Décompte 2020 vs. Acomptes 2020</t>
  </si>
  <si>
    <t>Participation à la cohésion sociale</t>
  </si>
  <si>
    <t>* Cela équivaut à la suppression totale du point d'impôt écrêté</t>
  </si>
  <si>
    <t xml:space="preserve">I) Indexation plafond du taux </t>
  </si>
  <si>
    <t>Communes 
LDecTer</t>
  </si>
  <si>
    <t>point impôt</t>
  </si>
  <si>
    <t>Péréquation indirecte</t>
  </si>
  <si>
    <t>*montants selon le fichier des acomptes initiaux adoptés par la COPAR. Ne tient pas compte des arrangements survenus en cours d'année. Les factures, respectivement les remboursements, seront gérés par les services directement concernés à savoir :
- pour la péréquation indirecte, par le département de la santé et de l'action sociale ;
- pour la péréquation directe, par la Direction générale des affaires institutionnelles et des communes (DGAIC);
- pour la réforme policière, par la police cantonale.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</si>
</sst>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 #,##0.00_-;_-* &quot;-&quot;??_-;_-@_-"/>
    <numFmt numFmtId="164" formatCode="_-* #,##0.00\ _C_H_F_-;\-* #,##0.00\ _C_H_F_-;_-* &quot;-&quot;??\ _C_H_F_-;_-@_-"/>
    <numFmt numFmtId="165" formatCode="_ * #,##0.00_ ;_ * \-#,##0.00_ ;_ * &quot;-&quot;??_ ;_ @_ "/>
    <numFmt numFmtId="166" formatCode="#\ ###\ ###\ ##0"/>
    <numFmt numFmtId="167" formatCode="#,##0.0"/>
    <numFmt numFmtId="168" formatCode="0.0%"/>
    <numFmt numFmtId="169" formatCode="#\ ###\ ##0"/>
    <numFmt numFmtId="170" formatCode="0.000"/>
    <numFmt numFmtId="171" formatCode="#,##0.000"/>
    <numFmt numFmtId="172" formatCode="#,##0;\-#,##0;"/>
    <numFmt numFmtId="173" formatCode="#,##0.000000"/>
    <numFmt numFmtId="174" formatCode="0.0000"/>
    <numFmt numFmtId="175" formatCode="_-* #,##0_-;\-* #,##0_-;_-* &quot;-&quot;??_-;_-@_-"/>
    <numFmt numFmtId="176" formatCode="_ * #,##0_ ;_ * \-#,##0_ ;_ * &quot;-&quot;??_ ;_ @_ "/>
    <numFmt numFmtId="177" formatCode="_-* #,##0.0_-;\-* #,##0.0_-;_-* &quot;-&quot;??_-;_-@_-"/>
    <numFmt numFmtId="178" formatCode="_ * #,##0.000_ ;_ * \-#,##0.000_ ;_ * &quot;-&quot;??_ ;_ @_ "/>
    <numFmt numFmtId="179" formatCode="0_ ;\-0\ "/>
    <numFmt numFmtId="180" formatCode="#,##0.00000"/>
    <numFmt numFmtId="181" formatCode="#,##0.00000000"/>
  </numFmts>
  <fonts count="70" x14ac:knownFonts="1">
    <font>
      <sz val="10"/>
      <name val="Verdana"/>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Verdana"/>
      <family val="2"/>
    </font>
    <font>
      <sz val="10"/>
      <name val="Arial Narrow"/>
      <family val="2"/>
    </font>
    <font>
      <sz val="10"/>
      <name val="Arial"/>
      <family val="2"/>
    </font>
    <font>
      <sz val="8"/>
      <name val="Verdana"/>
      <family val="2"/>
    </font>
    <font>
      <sz val="10"/>
      <color indexed="8"/>
      <name val="Arial"/>
      <family val="2"/>
    </font>
    <font>
      <sz val="10"/>
      <name val="Times New Roman"/>
      <family val="1"/>
    </font>
    <font>
      <sz val="14"/>
      <name val="Times New Roman"/>
      <family val="1"/>
    </font>
    <font>
      <sz val="10"/>
      <name val="MS Sans Serif"/>
      <family val="2"/>
    </font>
    <font>
      <sz val="11"/>
      <color theme="1"/>
      <name val="Calibri"/>
      <family val="2"/>
      <scheme val="minor"/>
    </font>
    <font>
      <sz val="11"/>
      <color theme="0"/>
      <name val="Calibri"/>
      <family val="2"/>
      <scheme val="minor"/>
    </font>
    <font>
      <sz val="11"/>
      <name val="Calibri"/>
      <family val="2"/>
      <scheme val="minor"/>
    </font>
    <font>
      <i/>
      <sz val="11"/>
      <name val="Calibri"/>
      <family val="2"/>
      <scheme val="minor"/>
    </font>
    <font>
      <sz val="16"/>
      <name val="Calibri"/>
      <family val="2"/>
      <scheme val="minor"/>
    </font>
    <font>
      <b/>
      <sz val="11"/>
      <name val="Calibri"/>
      <family val="2"/>
      <scheme val="minor"/>
    </font>
    <font>
      <sz val="11"/>
      <color indexed="10"/>
      <name val="Calibri"/>
      <family val="2"/>
      <scheme val="minor"/>
    </font>
    <font>
      <sz val="11"/>
      <color indexed="8"/>
      <name val="Calibri"/>
      <family val="2"/>
      <scheme val="minor"/>
    </font>
    <font>
      <sz val="24"/>
      <name val="Calibri"/>
      <family val="2"/>
      <scheme val="minor"/>
    </font>
    <font>
      <sz val="20"/>
      <name val="Calibri"/>
      <family val="2"/>
      <scheme val="minor"/>
    </font>
    <font>
      <sz val="20"/>
      <color theme="0"/>
      <name val="Calibri"/>
      <family val="2"/>
      <scheme val="minor"/>
    </font>
    <font>
      <sz val="10"/>
      <name val="Arial"/>
      <family val="2"/>
    </font>
    <font>
      <sz val="10"/>
      <name val="Calibri"/>
      <family val="2"/>
      <scheme val="minor"/>
    </font>
    <font>
      <sz val="12"/>
      <color theme="0"/>
      <name val="Trebuchet MS"/>
      <family val="2"/>
    </font>
    <font>
      <b/>
      <sz val="10"/>
      <name val="Calibri"/>
      <family val="2"/>
      <scheme val="minor"/>
    </font>
    <font>
      <sz val="14"/>
      <name val="Trebuchet MS"/>
      <family val="2"/>
    </font>
    <font>
      <sz val="11"/>
      <color theme="0"/>
      <name val="Calibri"/>
      <family val="2"/>
    </font>
    <font>
      <sz val="11"/>
      <name val="Calibri"/>
      <family val="2"/>
    </font>
    <font>
      <sz val="8"/>
      <name val="Helvetica"/>
    </font>
    <font>
      <sz val="10"/>
      <name val="Arial"/>
      <family val="2"/>
    </font>
    <font>
      <sz val="10"/>
      <color indexed="8"/>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b/>
      <sz val="9"/>
      <name val="Calibri"/>
      <family val="2"/>
      <scheme val="minor"/>
    </font>
    <font>
      <b/>
      <sz val="9"/>
      <color theme="1"/>
      <name val="Calibri"/>
      <family val="2"/>
      <scheme val="minor"/>
    </font>
    <font>
      <b/>
      <sz val="9"/>
      <color indexed="81"/>
      <name val="Tahoma"/>
      <family val="2"/>
    </font>
    <font>
      <sz val="8"/>
      <name val="Calibri"/>
      <family val="2"/>
      <scheme val="minor"/>
    </font>
    <font>
      <sz val="9"/>
      <name val="Calibri"/>
      <family val="2"/>
      <scheme val="minor"/>
    </font>
    <font>
      <b/>
      <sz val="16"/>
      <name val="Calibri"/>
      <family val="2"/>
      <scheme val="minor"/>
    </font>
  </fonts>
  <fills count="36">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bgColor indexed="64"/>
      </patternFill>
    </fill>
    <fill>
      <patternFill patternType="solid">
        <fgColor rgb="FF92D050"/>
        <bgColor indexed="64"/>
      </patternFill>
    </fill>
    <fill>
      <patternFill patternType="solid">
        <fgColor rgb="FF00B050"/>
        <bgColor indexed="64"/>
      </patternFill>
    </fill>
    <fill>
      <patternFill patternType="solid">
        <fgColor rgb="FFFFC000"/>
        <bgColor indexed="64"/>
      </patternFill>
    </fill>
    <fill>
      <patternFill patternType="solid">
        <fgColor theme="3" tint="0.59999389629810485"/>
        <bgColor indexed="64"/>
      </patternFill>
    </fill>
    <fill>
      <patternFill patternType="solid">
        <fgColor rgb="FF002060"/>
        <bgColor indexed="64"/>
      </patternFill>
    </fill>
    <fill>
      <patternFill patternType="solid">
        <fgColor theme="5" tint="0.5999938962981048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55"/>
      </patternFill>
    </fill>
    <fill>
      <patternFill patternType="solid">
        <fgColor theme="6" tint="0.59999389629810485"/>
        <bgColor indexed="64"/>
      </patternFill>
    </fill>
    <fill>
      <patternFill patternType="solid">
        <fgColor theme="2" tint="-0.249977111117893"/>
        <bgColor indexed="64"/>
      </patternFill>
    </fill>
    <fill>
      <patternFill patternType="solid">
        <fgColor theme="0" tint="-0.14999847407452621"/>
        <bgColor indexed="64"/>
      </patternFill>
    </fill>
    <fill>
      <patternFill patternType="solid">
        <fgColor theme="4" tint="0.39997558519241921"/>
        <bgColor indexed="64"/>
      </patternFill>
    </fill>
  </fills>
  <borders count="33">
    <border>
      <left/>
      <right/>
      <top/>
      <bottom/>
      <diagonal/>
    </border>
    <border>
      <left/>
      <right/>
      <top style="medium">
        <color indexed="64"/>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medium">
        <color indexed="8"/>
      </top>
      <bottom/>
      <diagonal/>
    </border>
    <border>
      <left style="hair">
        <color indexed="8"/>
      </left>
      <right style="hair">
        <color indexed="8"/>
      </right>
      <top style="hair">
        <color indexed="8"/>
      </top>
      <bottom style="hair">
        <color indexed="8"/>
      </bottom>
      <diagonal/>
    </border>
    <border>
      <left/>
      <right style="thin">
        <color theme="0"/>
      </right>
      <top/>
      <bottom style="thin">
        <color theme="0"/>
      </bottom>
      <diagonal/>
    </border>
    <border>
      <left/>
      <right/>
      <top/>
      <bottom style="thin">
        <color theme="0"/>
      </bottom>
      <diagonal/>
    </border>
    <border>
      <left/>
      <right style="thin">
        <color theme="0"/>
      </right>
      <top/>
      <bottom/>
      <diagonal/>
    </border>
    <border>
      <left style="thin">
        <color theme="0"/>
      </left>
      <right style="thin">
        <color theme="0"/>
      </right>
      <top/>
      <bottom style="thin">
        <color indexed="64"/>
      </bottom>
      <diagonal/>
    </border>
    <border>
      <left/>
      <right style="thin">
        <color theme="0"/>
      </right>
      <top/>
      <bottom style="thin">
        <color indexed="64"/>
      </bottom>
      <diagonal/>
    </border>
  </borders>
  <cellStyleXfs count="668">
    <xf numFmtId="0" fontId="0" fillId="0" borderId="0"/>
    <xf numFmtId="0" fontId="23" fillId="0" borderId="1"/>
    <xf numFmtId="0" fontId="24" fillId="0" borderId="0"/>
    <xf numFmtId="0" fontId="23" fillId="0" borderId="2">
      <alignment vertical="top"/>
    </xf>
    <xf numFmtId="43" fontId="18" fillId="0" borderId="0" applyFont="0" applyFill="0" applyBorder="0" applyAlignment="0" applyProtection="0"/>
    <xf numFmtId="165" fontId="20" fillId="0" borderId="0" applyFont="0" applyFill="0" applyBorder="0" applyAlignment="0" applyProtection="0"/>
    <xf numFmtId="165" fontId="26" fillId="0" borderId="0" applyFont="0" applyFill="0" applyBorder="0" applyAlignment="0" applyProtection="0"/>
    <xf numFmtId="0" fontId="25" fillId="0" borderId="0"/>
    <xf numFmtId="0" fontId="22" fillId="0" borderId="0"/>
    <xf numFmtId="0" fontId="20" fillId="0" borderId="0"/>
    <xf numFmtId="0" fontId="26" fillId="0" borderId="0"/>
    <xf numFmtId="0" fontId="19" fillId="0" borderId="0"/>
    <xf numFmtId="9" fontId="18" fillId="0" borderId="0" applyFont="0" applyFill="0" applyBorder="0" applyAlignment="0" applyProtection="0"/>
    <xf numFmtId="9" fontId="20" fillId="0" borderId="0" applyFont="0" applyFill="0" applyBorder="0" applyAlignment="0" applyProtection="0"/>
    <xf numFmtId="165" fontId="37" fillId="0" borderId="0" applyFont="0" applyFill="0" applyBorder="0" applyAlignment="0" applyProtection="0"/>
    <xf numFmtId="0" fontId="37" fillId="0" borderId="0"/>
    <xf numFmtId="165" fontId="15" fillId="0" borderId="0" applyFont="0" applyFill="0" applyBorder="0" applyAlignment="0" applyProtection="0"/>
    <xf numFmtId="0" fontId="15" fillId="0" borderId="0"/>
    <xf numFmtId="0" fontId="18"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0" fontId="14" fillId="0" borderId="0"/>
    <xf numFmtId="0" fontId="14" fillId="0" borderId="0"/>
    <xf numFmtId="0" fontId="20" fillId="0" borderId="0"/>
    <xf numFmtId="165" fontId="13" fillId="0" borderId="0" applyFont="0" applyFill="0" applyBorder="0" applyAlignment="0" applyProtection="0"/>
    <xf numFmtId="0" fontId="13" fillId="0" borderId="0"/>
    <xf numFmtId="165" fontId="13" fillId="0" borderId="0" applyFont="0" applyFill="0" applyBorder="0" applyAlignment="0" applyProtection="0"/>
    <xf numFmtId="0" fontId="13" fillId="0" borderId="0"/>
    <xf numFmtId="165" fontId="13" fillId="0" borderId="0" applyFont="0" applyFill="0" applyBorder="0" applyAlignment="0" applyProtection="0"/>
    <xf numFmtId="0" fontId="13" fillId="0" borderId="0"/>
    <xf numFmtId="165" fontId="13" fillId="0" borderId="0" applyFont="0" applyFill="0" applyBorder="0" applyAlignment="0" applyProtection="0"/>
    <xf numFmtId="0" fontId="13" fillId="0" borderId="0"/>
    <xf numFmtId="165" fontId="13" fillId="0" borderId="0" applyFont="0" applyFill="0" applyBorder="0" applyAlignment="0" applyProtection="0"/>
    <xf numFmtId="0" fontId="13" fillId="0" borderId="0"/>
    <xf numFmtId="165" fontId="13" fillId="0" borderId="0" applyFont="0" applyFill="0" applyBorder="0" applyAlignment="0" applyProtection="0"/>
    <xf numFmtId="0" fontId="13"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0" fontId="11" fillId="0" borderId="0"/>
    <xf numFmtId="165" fontId="11" fillId="0" borderId="0" applyFont="0" applyFill="0" applyBorder="0" applyAlignment="0" applyProtection="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20" fillId="0" borderId="0"/>
    <xf numFmtId="0" fontId="20"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0" fontId="8" fillId="0" borderId="0"/>
    <xf numFmtId="165" fontId="8"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0" fontId="6" fillId="0" borderId="0"/>
    <xf numFmtId="9" fontId="6"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0"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44" fillId="0" borderId="5" applyBorder="0">
      <alignment horizontal="center" textRotation="90"/>
    </xf>
    <xf numFmtId="0" fontId="45" fillId="0" borderId="0"/>
    <xf numFmtId="0" fontId="2" fillId="0" borderId="0"/>
    <xf numFmtId="9"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165" fontId="2" fillId="0" borderId="0" applyFont="0" applyFill="0" applyBorder="0" applyAlignment="0" applyProtection="0"/>
    <xf numFmtId="0" fontId="2" fillId="0" borderId="0"/>
    <xf numFmtId="9" fontId="18"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3" fontId="18"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0" fillId="0" borderId="0"/>
    <xf numFmtId="0" fontId="46" fillId="0" borderId="0">
      <alignment vertical="top"/>
    </xf>
    <xf numFmtId="0" fontId="47" fillId="11" borderId="0" applyNumberFormat="0" applyBorder="0" applyAlignment="0" applyProtection="0"/>
    <xf numFmtId="0" fontId="47" fillId="12"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47"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47" fillId="19" borderId="0" applyNumberFormat="0" applyBorder="0" applyAlignment="0" applyProtection="0"/>
    <xf numFmtId="0" fontId="47" fillId="14" borderId="0" applyNumberFormat="0" applyBorder="0" applyAlignment="0" applyProtection="0"/>
    <xf numFmtId="0" fontId="47" fillId="17" borderId="0" applyNumberFormat="0" applyBorder="0" applyAlignment="0" applyProtection="0"/>
    <xf numFmtId="0" fontId="47" fillId="20" borderId="0" applyNumberFormat="0" applyBorder="0" applyAlignment="0" applyProtection="0"/>
    <xf numFmtId="0" fontId="48" fillId="21" borderId="0" applyNumberFormat="0" applyBorder="0" applyAlignment="0" applyProtection="0"/>
    <xf numFmtId="0" fontId="48" fillId="18" borderId="0" applyNumberFormat="0" applyBorder="0" applyAlignment="0" applyProtection="0"/>
    <xf numFmtId="0" fontId="48" fillId="19" borderId="0" applyNumberFormat="0" applyBorder="0" applyAlignment="0" applyProtection="0"/>
    <xf numFmtId="0" fontId="48" fillId="22" borderId="0" applyNumberFormat="0" applyBorder="0" applyAlignment="0" applyProtection="0"/>
    <xf numFmtId="0" fontId="48" fillId="23" borderId="0" applyNumberFormat="0" applyBorder="0" applyAlignment="0" applyProtection="0"/>
    <xf numFmtId="0" fontId="48" fillId="24" borderId="0" applyNumberFormat="0" applyBorder="0" applyAlignment="0" applyProtection="0"/>
    <xf numFmtId="0" fontId="48" fillId="25" borderId="0" applyNumberFormat="0" applyBorder="0" applyAlignment="0" applyProtection="0"/>
    <xf numFmtId="0" fontId="48" fillId="26" borderId="0" applyNumberFormat="0" applyBorder="0" applyAlignment="0" applyProtection="0"/>
    <xf numFmtId="0" fontId="48" fillId="27" borderId="0" applyNumberFormat="0" applyBorder="0" applyAlignment="0" applyProtection="0"/>
    <xf numFmtId="0" fontId="48" fillId="22" borderId="0" applyNumberFormat="0" applyBorder="0" applyAlignment="0" applyProtection="0"/>
    <xf numFmtId="0" fontId="48" fillId="23" borderId="0" applyNumberFormat="0" applyBorder="0" applyAlignment="0" applyProtection="0"/>
    <xf numFmtId="0" fontId="48" fillId="28" borderId="0" applyNumberFormat="0" applyBorder="0" applyAlignment="0" applyProtection="0"/>
    <xf numFmtId="0" fontId="49" fillId="0" borderId="0" applyNumberFormat="0" applyFill="0" applyBorder="0" applyAlignment="0" applyProtection="0"/>
    <xf numFmtId="0" fontId="50" fillId="29" borderId="18" applyNumberFormat="0" applyAlignment="0" applyProtection="0"/>
    <xf numFmtId="0" fontId="51" fillId="0" borderId="19" applyNumberFormat="0" applyFill="0" applyAlignment="0" applyProtection="0"/>
    <xf numFmtId="0" fontId="52" fillId="16" borderId="18" applyNumberFormat="0" applyAlignment="0" applyProtection="0"/>
    <xf numFmtId="0" fontId="53" fillId="12" borderId="0" applyNumberFormat="0" applyBorder="0" applyAlignment="0" applyProtection="0"/>
    <xf numFmtId="165" fontId="22" fillId="0" borderId="0" applyFont="0" applyFill="0" applyBorder="0" applyAlignment="0" applyProtection="0">
      <alignment vertical="top"/>
    </xf>
    <xf numFmtId="0" fontId="54" fillId="30" borderId="0" applyNumberFormat="0" applyBorder="0" applyAlignment="0" applyProtection="0"/>
    <xf numFmtId="0" fontId="25" fillId="0" borderId="0"/>
    <xf numFmtId="0" fontId="55" fillId="13" borderId="0" applyNumberFormat="0" applyBorder="0" applyAlignment="0" applyProtection="0"/>
    <xf numFmtId="0" fontId="56" fillId="29" borderId="20" applyNumberFormat="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9" fillId="0" borderId="21" applyNumberFormat="0" applyFill="0" applyAlignment="0" applyProtection="0"/>
    <xf numFmtId="0" fontId="60" fillId="0" borderId="22" applyNumberFormat="0" applyFill="0" applyAlignment="0" applyProtection="0"/>
    <xf numFmtId="0" fontId="61" fillId="0" borderId="23" applyNumberFormat="0" applyFill="0" applyAlignment="0" applyProtection="0"/>
    <xf numFmtId="0" fontId="61" fillId="0" borderId="0" applyNumberFormat="0" applyFill="0" applyBorder="0" applyAlignment="0" applyProtection="0"/>
    <xf numFmtId="0" fontId="62" fillId="0" borderId="24" applyNumberFormat="0" applyFill="0" applyAlignment="0" applyProtection="0"/>
    <xf numFmtId="0" fontId="63" fillId="31" borderId="25" applyNumberFormat="0" applyAlignment="0" applyProtection="0"/>
    <xf numFmtId="0" fontId="2" fillId="0" borderId="0"/>
    <xf numFmtId="165" fontId="2" fillId="0" borderId="0" applyFont="0" applyFill="0" applyBorder="0" applyAlignment="0" applyProtection="0"/>
    <xf numFmtId="0" fontId="23" fillId="0" borderId="26"/>
    <xf numFmtId="0" fontId="23" fillId="0" borderId="27">
      <alignment vertical="top"/>
    </xf>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4"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4"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4"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4"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4"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cellStyleXfs>
  <cellXfs count="621">
    <xf numFmtId="0" fontId="0" fillId="0" borderId="0" xfId="0"/>
    <xf numFmtId="175" fontId="28" fillId="0" borderId="0" xfId="4" applyNumberFormat="1" applyFont="1" applyFill="1" applyBorder="1"/>
    <xf numFmtId="175" fontId="28" fillId="3" borderId="5" xfId="4" applyNumberFormat="1" applyFont="1" applyFill="1" applyBorder="1"/>
    <xf numFmtId="0" fontId="28" fillId="4" borderId="0" xfId="0" applyNumberFormat="1" applyFont="1" applyFill="1" applyAlignment="1">
      <alignment horizontal="left"/>
    </xf>
    <xf numFmtId="0" fontId="28" fillId="4" borderId="0" xfId="0" applyNumberFormat="1" applyFont="1" applyFill="1" applyAlignment="1">
      <alignment horizontal="center"/>
    </xf>
    <xf numFmtId="175" fontId="28" fillId="4" borderId="0" xfId="4" applyNumberFormat="1" applyFont="1" applyFill="1" applyAlignment="1">
      <alignment horizontal="center"/>
    </xf>
    <xf numFmtId="175" fontId="28" fillId="4" borderId="0" xfId="4" applyNumberFormat="1" applyFont="1" applyFill="1"/>
    <xf numFmtId="0" fontId="28" fillId="4" borderId="14" xfId="0" applyNumberFormat="1" applyFont="1" applyFill="1" applyBorder="1" applyAlignment="1">
      <alignment horizontal="center"/>
    </xf>
    <xf numFmtId="0" fontId="28" fillId="4" borderId="5" xfId="0" applyNumberFormat="1" applyFont="1" applyFill="1" applyBorder="1" applyAlignment="1">
      <alignment horizontal="center"/>
    </xf>
    <xf numFmtId="3" fontId="28" fillId="4" borderId="9" xfId="0" applyNumberFormat="1" applyFont="1" applyFill="1" applyBorder="1"/>
    <xf numFmtId="175" fontId="28" fillId="4" borderId="5" xfId="4" applyNumberFormat="1" applyFont="1" applyFill="1" applyBorder="1"/>
    <xf numFmtId="175" fontId="28" fillId="4" borderId="14" xfId="4" applyNumberFormat="1" applyFont="1" applyFill="1" applyBorder="1"/>
    <xf numFmtId="3" fontId="28" fillId="4" borderId="0" xfId="0" applyNumberFormat="1" applyFont="1" applyFill="1"/>
    <xf numFmtId="0" fontId="28" fillId="4" borderId="0" xfId="0" applyFont="1" applyFill="1"/>
    <xf numFmtId="175" fontId="28" fillId="4" borderId="0" xfId="4" applyNumberFormat="1" applyFont="1" applyFill="1" applyBorder="1"/>
    <xf numFmtId="43" fontId="28" fillId="4" borderId="0" xfId="4" applyFont="1" applyFill="1"/>
    <xf numFmtId="0" fontId="28" fillId="4" borderId="0" xfId="0" applyFont="1" applyFill="1" applyAlignment="1">
      <alignment vertical="top" wrapText="1"/>
    </xf>
    <xf numFmtId="43" fontId="28" fillId="4" borderId="0" xfId="0" applyNumberFormat="1" applyFont="1" applyFill="1"/>
    <xf numFmtId="175" fontId="28" fillId="4" borderId="3" xfId="4" applyNumberFormat="1" applyFont="1" applyFill="1" applyBorder="1"/>
    <xf numFmtId="43" fontId="28" fillId="4" borderId="14" xfId="4" applyFont="1" applyFill="1" applyBorder="1"/>
    <xf numFmtId="175" fontId="27" fillId="6" borderId="14" xfId="4" applyNumberFormat="1" applyFont="1" applyFill="1" applyBorder="1" applyAlignment="1">
      <alignment horizontal="center"/>
    </xf>
    <xf numFmtId="166" fontId="27" fillId="6" borderId="14" xfId="0" applyNumberFormat="1" applyFont="1" applyFill="1" applyBorder="1" applyAlignment="1">
      <alignment horizontal="center"/>
    </xf>
    <xf numFmtId="0" fontId="28" fillId="4" borderId="0" xfId="0" applyFont="1" applyFill="1" applyAlignment="1">
      <alignment horizontal="center"/>
    </xf>
    <xf numFmtId="14" fontId="27" fillId="6" borderId="14" xfId="0" applyNumberFormat="1" applyFont="1" applyFill="1" applyBorder="1" applyAlignment="1">
      <alignment horizontal="center"/>
    </xf>
    <xf numFmtId="166" fontId="28" fillId="4" borderId="17" xfId="0" applyNumberFormat="1" applyFont="1" applyFill="1" applyBorder="1" applyAlignment="1">
      <alignment horizontal="center"/>
    </xf>
    <xf numFmtId="0" fontId="30" fillId="4" borderId="0" xfId="0" applyNumberFormat="1" applyFont="1" applyFill="1" applyAlignment="1">
      <alignment horizontal="left"/>
    </xf>
    <xf numFmtId="0" fontId="30" fillId="4" borderId="0" xfId="0" applyNumberFormat="1" applyFont="1" applyFill="1" applyAlignment="1">
      <alignment horizontal="center"/>
    </xf>
    <xf numFmtId="0" fontId="29" fillId="4" borderId="0" xfId="0" applyFont="1" applyFill="1"/>
    <xf numFmtId="4" fontId="28" fillId="4" borderId="0" xfId="0" applyNumberFormat="1" applyFont="1" applyFill="1"/>
    <xf numFmtId="166" fontId="28" fillId="4" borderId="0" xfId="0" applyNumberFormat="1" applyFont="1" applyFill="1" applyAlignment="1">
      <alignment horizontal="left"/>
    </xf>
    <xf numFmtId="0" fontId="28" fillId="4" borderId="14" xfId="0" applyFont="1" applyFill="1" applyBorder="1"/>
    <xf numFmtId="175" fontId="28" fillId="4" borderId="11" xfId="4" applyNumberFormat="1" applyFont="1" applyFill="1" applyBorder="1"/>
    <xf numFmtId="3" fontId="28" fillId="4" borderId="5" xfId="0" applyNumberFormat="1" applyFont="1" applyFill="1" applyBorder="1"/>
    <xf numFmtId="43" fontId="28" fillId="4" borderId="5" xfId="4" applyFont="1" applyFill="1" applyBorder="1"/>
    <xf numFmtId="2" fontId="28" fillId="4" borderId="5" xfId="0" applyNumberFormat="1" applyFont="1" applyFill="1" applyBorder="1"/>
    <xf numFmtId="2" fontId="28" fillId="4" borderId="14" xfId="0" applyNumberFormat="1" applyFont="1" applyFill="1" applyBorder="1"/>
    <xf numFmtId="175" fontId="28" fillId="4" borderId="0" xfId="0" applyNumberFormat="1" applyFont="1" applyFill="1"/>
    <xf numFmtId="175" fontId="28" fillId="5" borderId="14" xfId="4" applyNumberFormat="1" applyFont="1" applyFill="1" applyBorder="1"/>
    <xf numFmtId="175" fontId="28" fillId="3" borderId="14" xfId="4" applyNumberFormat="1" applyFont="1" applyFill="1" applyBorder="1"/>
    <xf numFmtId="3" fontId="27" fillId="6" borderId="14" xfId="0" applyNumberFormat="1" applyFont="1" applyFill="1" applyBorder="1" applyAlignment="1">
      <alignment horizontal="center"/>
    </xf>
    <xf numFmtId="0" fontId="27" fillId="6" borderId="14" xfId="0" applyNumberFormat="1" applyFont="1" applyFill="1" applyBorder="1" applyAlignment="1">
      <alignment horizontal="center"/>
    </xf>
    <xf numFmtId="175" fontId="28" fillId="4" borderId="9" xfId="4" applyNumberFormat="1" applyFont="1" applyFill="1" applyBorder="1"/>
    <xf numFmtId="3" fontId="28" fillId="4" borderId="0" xfId="11" applyNumberFormat="1" applyFont="1" applyFill="1" applyAlignment="1">
      <alignment vertical="center"/>
    </xf>
    <xf numFmtId="0" fontId="28" fillId="4" borderId="0" xfId="11" applyFont="1" applyFill="1" applyAlignment="1">
      <alignment vertical="center"/>
    </xf>
    <xf numFmtId="175" fontId="28" fillId="4" borderId="0" xfId="4" applyNumberFormat="1" applyFont="1" applyFill="1" applyAlignment="1">
      <alignment vertical="center"/>
    </xf>
    <xf numFmtId="0" fontId="28" fillId="4" borderId="0" xfId="0" applyFont="1" applyFill="1" applyBorder="1"/>
    <xf numFmtId="0" fontId="28" fillId="4" borderId="4" xfId="0" applyFont="1" applyFill="1" applyBorder="1" applyAlignment="1">
      <alignment horizontal="center"/>
    </xf>
    <xf numFmtId="167" fontId="28" fillId="4" borderId="0" xfId="0" applyNumberFormat="1" applyFont="1" applyFill="1"/>
    <xf numFmtId="0" fontId="28" fillId="4" borderId="0" xfId="0" quotePrefix="1" applyFont="1" applyFill="1"/>
    <xf numFmtId="0" fontId="28" fillId="4" borderId="5" xfId="0" applyFont="1" applyFill="1" applyBorder="1" applyAlignment="1">
      <alignment horizontal="center"/>
    </xf>
    <xf numFmtId="0" fontId="28" fillId="4" borderId="3" xfId="0" applyFont="1" applyFill="1" applyBorder="1" applyAlignment="1">
      <alignment horizontal="center"/>
    </xf>
    <xf numFmtId="1" fontId="30" fillId="4" borderId="0" xfId="11" applyNumberFormat="1" applyFont="1" applyFill="1" applyAlignment="1">
      <alignment horizontal="left" vertical="center"/>
    </xf>
    <xf numFmtId="4" fontId="28" fillId="4" borderId="0" xfId="11" applyNumberFormat="1" applyFont="1" applyFill="1" applyAlignment="1">
      <alignment vertical="center"/>
    </xf>
    <xf numFmtId="0" fontId="29" fillId="4" borderId="0" xfId="11" applyFont="1" applyFill="1"/>
    <xf numFmtId="175" fontId="28" fillId="4" borderId="4" xfId="4" applyNumberFormat="1" applyFont="1" applyFill="1" applyBorder="1"/>
    <xf numFmtId="175" fontId="28" fillId="5" borderId="5" xfId="4" applyNumberFormat="1" applyFont="1" applyFill="1" applyBorder="1"/>
    <xf numFmtId="0" fontId="28" fillId="4" borderId="0" xfId="11" applyFont="1" applyFill="1" applyBorder="1" applyAlignment="1">
      <alignment vertical="center"/>
    </xf>
    <xf numFmtId="10" fontId="28" fillId="4" borderId="0" xfId="12" applyNumberFormat="1" applyFont="1" applyFill="1" applyAlignment="1">
      <alignment vertical="center"/>
    </xf>
    <xf numFmtId="10" fontId="28" fillId="4" borderId="0" xfId="12" applyNumberFormat="1" applyFont="1" applyFill="1"/>
    <xf numFmtId="4" fontId="28" fillId="4" borderId="14" xfId="0" applyNumberFormat="1" applyFont="1" applyFill="1" applyBorder="1"/>
    <xf numFmtId="10" fontId="28" fillId="4" borderId="14" xfId="12" applyNumberFormat="1" applyFont="1" applyFill="1" applyBorder="1"/>
    <xf numFmtId="0" fontId="27" fillId="6" borderId="4" xfId="0" applyFont="1" applyFill="1" applyBorder="1" applyAlignment="1">
      <alignment horizontal="center" vertical="center" wrapText="1"/>
    </xf>
    <xf numFmtId="4" fontId="28" fillId="4" borderId="11" xfId="0" applyNumberFormat="1" applyFont="1" applyFill="1" applyBorder="1"/>
    <xf numFmtId="9" fontId="27" fillId="6" borderId="14" xfId="12" applyNumberFormat="1" applyFont="1" applyFill="1" applyBorder="1" applyAlignment="1">
      <alignment horizontal="center" vertical="center" wrapText="1"/>
    </xf>
    <xf numFmtId="0" fontId="27" fillId="6" borderId="14" xfId="0" applyFont="1" applyFill="1" applyBorder="1" applyAlignment="1">
      <alignment horizontal="center" vertical="center" wrapText="1"/>
    </xf>
    <xf numFmtId="9" fontId="27" fillId="6" borderId="14" xfId="12" applyNumberFormat="1" applyFont="1" applyFill="1" applyBorder="1" applyAlignment="1">
      <alignment horizontal="center" vertical="center"/>
    </xf>
    <xf numFmtId="43" fontId="27" fillId="6" borderId="14" xfId="4" applyFont="1" applyFill="1" applyBorder="1" applyAlignment="1">
      <alignment vertical="center" wrapText="1"/>
    </xf>
    <xf numFmtId="4" fontId="28" fillId="4" borderId="12" xfId="0" applyNumberFormat="1" applyFont="1" applyFill="1" applyBorder="1"/>
    <xf numFmtId="169" fontId="28" fillId="4" borderId="0" xfId="11" applyNumberFormat="1" applyFont="1" applyFill="1" applyAlignment="1">
      <alignment vertical="center"/>
    </xf>
    <xf numFmtId="175" fontId="28" fillId="4" borderId="15" xfId="4" applyNumberFormat="1" applyFont="1" applyFill="1" applyBorder="1"/>
    <xf numFmtId="175" fontId="28" fillId="4" borderId="16" xfId="4" applyNumberFormat="1" applyFont="1" applyFill="1" applyBorder="1"/>
    <xf numFmtId="170" fontId="28" fillId="4" borderId="0" xfId="0" applyNumberFormat="1" applyFont="1" applyFill="1"/>
    <xf numFmtId="0" fontId="28" fillId="4" borderId="0" xfId="0" applyFont="1" applyFill="1" applyAlignment="1">
      <alignment vertical="top"/>
    </xf>
    <xf numFmtId="3" fontId="28" fillId="4" borderId="0" xfId="0" applyNumberFormat="1" applyFont="1" applyFill="1" applyAlignment="1">
      <alignment vertical="top"/>
    </xf>
    <xf numFmtId="3" fontId="28" fillId="4" borderId="0" xfId="0" applyNumberFormat="1" applyFont="1" applyFill="1" applyBorder="1" applyAlignment="1">
      <alignment vertical="top" wrapText="1"/>
    </xf>
    <xf numFmtId="0" fontId="28" fillId="4" borderId="17" xfId="0" applyFont="1" applyFill="1" applyBorder="1"/>
    <xf numFmtId="0" fontId="28" fillId="4" borderId="6" xfId="0" applyFont="1" applyFill="1" applyBorder="1"/>
    <xf numFmtId="0" fontId="28" fillId="4" borderId="7" xfId="0" applyFont="1" applyFill="1" applyBorder="1"/>
    <xf numFmtId="0" fontId="28" fillId="4" borderId="14" xfId="0" applyFont="1" applyFill="1" applyBorder="1" applyAlignment="1">
      <alignment horizontal="center"/>
    </xf>
    <xf numFmtId="0" fontId="28" fillId="4" borderId="8" xfId="0" applyFont="1" applyFill="1" applyBorder="1"/>
    <xf numFmtId="0" fontId="28" fillId="4" borderId="12" xfId="0" applyFont="1" applyFill="1" applyBorder="1"/>
    <xf numFmtId="0" fontId="28" fillId="4" borderId="9" xfId="0" applyFont="1" applyFill="1" applyBorder="1"/>
    <xf numFmtId="0" fontId="28" fillId="4" borderId="11" xfId="0" applyFont="1" applyFill="1" applyBorder="1"/>
    <xf numFmtId="0" fontId="28" fillId="4" borderId="10" xfId="0" applyFont="1" applyFill="1" applyBorder="1"/>
    <xf numFmtId="0" fontId="28" fillId="4" borderId="13" xfId="0" applyFont="1" applyFill="1" applyBorder="1"/>
    <xf numFmtId="173" fontId="28" fillId="4" borderId="0" xfId="0" applyNumberFormat="1" applyFont="1" applyFill="1" applyAlignment="1">
      <alignment vertical="top"/>
    </xf>
    <xf numFmtId="175" fontId="28" fillId="4" borderId="12" xfId="4" applyNumberFormat="1" applyFont="1" applyFill="1" applyBorder="1"/>
    <xf numFmtId="43" fontId="28" fillId="4" borderId="4" xfId="4" applyFont="1" applyFill="1" applyBorder="1"/>
    <xf numFmtId="43" fontId="28" fillId="4" borderId="3" xfId="4" applyFont="1" applyFill="1" applyBorder="1"/>
    <xf numFmtId="3" fontId="28" fillId="4" borderId="8" xfId="0" applyNumberFormat="1" applyFont="1" applyFill="1" applyBorder="1"/>
    <xf numFmtId="3" fontId="28" fillId="4" borderId="10" xfId="0" applyNumberFormat="1" applyFont="1" applyFill="1" applyBorder="1"/>
    <xf numFmtId="3" fontId="28" fillId="4" borderId="17" xfId="0" applyNumberFormat="1" applyFont="1" applyFill="1" applyBorder="1"/>
    <xf numFmtId="3" fontId="28" fillId="4" borderId="13" xfId="0" applyNumberFormat="1" applyFont="1" applyFill="1" applyBorder="1" applyAlignment="1">
      <alignment horizontal="center" vertical="top" wrapText="1"/>
    </xf>
    <xf numFmtId="169" fontId="28" fillId="4" borderId="0" xfId="0" applyNumberFormat="1" applyFont="1" applyFill="1"/>
    <xf numFmtId="3" fontId="28" fillId="4" borderId="4" xfId="12" applyNumberFormat="1" applyFont="1" applyFill="1" applyBorder="1"/>
    <xf numFmtId="3" fontId="28" fillId="4" borderId="5" xfId="12" applyNumberFormat="1" applyFont="1" applyFill="1" applyBorder="1"/>
    <xf numFmtId="3" fontId="28" fillId="4" borderId="3" xfId="12" applyNumberFormat="1" applyFont="1" applyFill="1" applyBorder="1"/>
    <xf numFmtId="3" fontId="28" fillId="4" borderId="14" xfId="12" applyNumberFormat="1" applyFont="1" applyFill="1" applyBorder="1"/>
    <xf numFmtId="43" fontId="28" fillId="4" borderId="14" xfId="4" applyNumberFormat="1" applyFont="1" applyFill="1" applyBorder="1"/>
    <xf numFmtId="175" fontId="28" fillId="8" borderId="14" xfId="4" applyNumberFormat="1" applyFont="1" applyFill="1" applyBorder="1"/>
    <xf numFmtId="175" fontId="28" fillId="5" borderId="4" xfId="4" applyNumberFormat="1" applyFont="1" applyFill="1" applyBorder="1"/>
    <xf numFmtId="175" fontId="28" fillId="5" borderId="3" xfId="4" applyNumberFormat="1" applyFont="1" applyFill="1" applyBorder="1"/>
    <xf numFmtId="3" fontId="27" fillId="6" borderId="4" xfId="0" applyNumberFormat="1" applyFont="1" applyFill="1" applyBorder="1"/>
    <xf numFmtId="0" fontId="27" fillId="6" borderId="0" xfId="0" applyFont="1" applyFill="1"/>
    <xf numFmtId="0" fontId="28" fillId="4" borderId="8" xfId="0" applyFont="1" applyFill="1" applyBorder="1" applyAlignment="1">
      <alignment horizontal="center"/>
    </xf>
    <xf numFmtId="0" fontId="27" fillId="6" borderId="3" xfId="0" applyFont="1" applyFill="1" applyBorder="1" applyAlignment="1">
      <alignment horizontal="center"/>
    </xf>
    <xf numFmtId="175" fontId="28" fillId="4" borderId="13" xfId="4" applyNumberFormat="1" applyFont="1" applyFill="1" applyBorder="1"/>
    <xf numFmtId="2" fontId="28" fillId="4" borderId="0" xfId="0" applyNumberFormat="1" applyFont="1" applyFill="1"/>
    <xf numFmtId="9" fontId="28" fillId="4" borderId="0" xfId="0" applyNumberFormat="1" applyFont="1" applyFill="1"/>
    <xf numFmtId="4" fontId="28" fillId="4" borderId="14" xfId="12" applyNumberFormat="1" applyFont="1" applyFill="1" applyBorder="1"/>
    <xf numFmtId="4" fontId="28" fillId="4" borderId="0" xfId="12" applyNumberFormat="1" applyFont="1" applyFill="1" applyBorder="1"/>
    <xf numFmtId="0" fontId="28" fillId="4" borderId="16" xfId="0" applyFont="1" applyFill="1" applyBorder="1"/>
    <xf numFmtId="0" fontId="27" fillId="6" borderId="4" xfId="0" applyFont="1" applyFill="1" applyBorder="1" applyAlignment="1">
      <alignment horizontal="center" vertical="top" wrapText="1"/>
    </xf>
    <xf numFmtId="175" fontId="28" fillId="5" borderId="11" xfId="4" applyNumberFormat="1" applyFont="1" applyFill="1" applyBorder="1"/>
    <xf numFmtId="3" fontId="28" fillId="4" borderId="17" xfId="12" applyNumberFormat="1" applyFont="1" applyFill="1" applyBorder="1"/>
    <xf numFmtId="171" fontId="28" fillId="4" borderId="0" xfId="0" applyNumberFormat="1" applyFont="1" applyFill="1"/>
    <xf numFmtId="2" fontId="27" fillId="6" borderId="3" xfId="0" applyNumberFormat="1" applyFont="1" applyFill="1" applyBorder="1" applyAlignment="1">
      <alignment horizontal="center" vertical="top" wrapText="1"/>
    </xf>
    <xf numFmtId="3" fontId="28" fillId="4" borderId="7" xfId="12" applyNumberFormat="1" applyFont="1" applyFill="1" applyBorder="1"/>
    <xf numFmtId="166" fontId="28" fillId="4" borderId="14" xfId="0" applyNumberFormat="1" applyFont="1" applyFill="1" applyBorder="1" applyAlignment="1">
      <alignment horizontal="center"/>
    </xf>
    <xf numFmtId="175" fontId="28" fillId="4" borderId="7" xfId="4" applyNumberFormat="1" applyFont="1" applyFill="1" applyBorder="1"/>
    <xf numFmtId="0" fontId="27" fillId="6" borderId="17" xfId="0" applyFont="1" applyFill="1" applyBorder="1"/>
    <xf numFmtId="0" fontId="27" fillId="6" borderId="6" xfId="0" applyFont="1" applyFill="1" applyBorder="1"/>
    <xf numFmtId="0" fontId="27" fillId="6" borderId="14" xfId="0" applyFont="1" applyFill="1" applyBorder="1" applyAlignment="1">
      <alignment horizontal="center"/>
    </xf>
    <xf numFmtId="167" fontId="28" fillId="4" borderId="4" xfId="0" applyNumberFormat="1" applyFont="1" applyFill="1" applyBorder="1"/>
    <xf numFmtId="0" fontId="17" fillId="4" borderId="0" xfId="0" applyFont="1" applyFill="1" applyBorder="1" applyAlignment="1">
      <alignment horizontal="left"/>
    </xf>
    <xf numFmtId="167" fontId="28" fillId="4" borderId="5" xfId="0" applyNumberFormat="1" applyFont="1" applyFill="1" applyBorder="1"/>
    <xf numFmtId="0" fontId="17" fillId="4" borderId="0" xfId="0" applyFont="1" applyFill="1" applyAlignment="1">
      <alignment horizontal="left"/>
    </xf>
    <xf numFmtId="167" fontId="28" fillId="4" borderId="3" xfId="0" applyNumberFormat="1" applyFont="1" applyFill="1" applyBorder="1"/>
    <xf numFmtId="175" fontId="28" fillId="3" borderId="4" xfId="4" applyNumberFormat="1" applyFont="1" applyFill="1" applyBorder="1"/>
    <xf numFmtId="175" fontId="28" fillId="5" borderId="15" xfId="4" applyNumberFormat="1" applyFont="1" applyFill="1" applyBorder="1"/>
    <xf numFmtId="175" fontId="28" fillId="5" borderId="0" xfId="4" applyNumberFormat="1" applyFont="1" applyFill="1" applyBorder="1"/>
    <xf numFmtId="175" fontId="28" fillId="3" borderId="3" xfId="4" applyNumberFormat="1" applyFont="1" applyFill="1" applyBorder="1"/>
    <xf numFmtId="175" fontId="28" fillId="5" borderId="16" xfId="4" applyNumberFormat="1" applyFont="1" applyFill="1" applyBorder="1"/>
    <xf numFmtId="43" fontId="28" fillId="4" borderId="0" xfId="4" applyFont="1" applyFill="1" applyBorder="1" applyAlignment="1">
      <alignment vertical="center"/>
    </xf>
    <xf numFmtId="43" fontId="28" fillId="4" borderId="0" xfId="4" applyFont="1" applyFill="1" applyAlignment="1">
      <alignment vertical="center"/>
    </xf>
    <xf numFmtId="4" fontId="28" fillId="4" borderId="4" xfId="12" applyNumberFormat="1" applyFont="1" applyFill="1" applyBorder="1"/>
    <xf numFmtId="4" fontId="28" fillId="4" borderId="5" xfId="12" applyNumberFormat="1" applyFont="1" applyFill="1" applyBorder="1"/>
    <xf numFmtId="0" fontId="28" fillId="4" borderId="0" xfId="0" applyFont="1" applyFill="1" applyBorder="1" applyAlignment="1">
      <alignment horizontal="center" vertical="top" wrapText="1"/>
    </xf>
    <xf numFmtId="177" fontId="28" fillId="4" borderId="0" xfId="11" applyNumberFormat="1" applyFont="1" applyFill="1" applyAlignment="1">
      <alignment vertical="center"/>
    </xf>
    <xf numFmtId="177" fontId="28" fillId="4" borderId="0" xfId="0" applyNumberFormat="1" applyFont="1" applyFill="1"/>
    <xf numFmtId="177" fontId="27" fillId="6" borderId="4" xfId="0" applyNumberFormat="1" applyFont="1" applyFill="1" applyBorder="1" applyAlignment="1">
      <alignment horizontal="center" vertical="top" wrapText="1"/>
    </xf>
    <xf numFmtId="172" fontId="28" fillId="4" borderId="0" xfId="0" applyNumberFormat="1" applyFont="1" applyFill="1"/>
    <xf numFmtId="167" fontId="28" fillId="4" borderId="0" xfId="12" applyNumberFormat="1" applyFont="1" applyFill="1" applyBorder="1" applyAlignment="1">
      <alignment horizontal="center" vertical="top" wrapText="1"/>
    </xf>
    <xf numFmtId="167" fontId="28" fillId="4" borderId="12" xfId="0" applyNumberFormat="1" applyFont="1" applyFill="1" applyBorder="1"/>
    <xf numFmtId="172" fontId="28" fillId="4" borderId="0" xfId="0" applyNumberFormat="1" applyFont="1" applyFill="1" applyBorder="1"/>
    <xf numFmtId="167" fontId="28" fillId="4" borderId="11" xfId="0" applyNumberFormat="1" applyFont="1" applyFill="1" applyBorder="1"/>
    <xf numFmtId="167" fontId="28" fillId="4" borderId="13" xfId="0" applyNumberFormat="1" applyFont="1" applyFill="1" applyBorder="1"/>
    <xf numFmtId="172" fontId="28" fillId="4" borderId="14" xfId="0" applyNumberFormat="1" applyFont="1" applyFill="1" applyBorder="1"/>
    <xf numFmtId="172" fontId="28" fillId="4" borderId="0" xfId="12" applyNumberFormat="1" applyFont="1" applyFill="1" applyBorder="1"/>
    <xf numFmtId="3" fontId="28" fillId="3" borderId="7" xfId="12" applyNumberFormat="1" applyFont="1" applyFill="1" applyBorder="1"/>
    <xf numFmtId="0" fontId="32" fillId="4" borderId="0" xfId="0" applyFont="1" applyFill="1"/>
    <xf numFmtId="0" fontId="33" fillId="4" borderId="5" xfId="0" applyFont="1" applyFill="1" applyBorder="1" applyAlignment="1">
      <alignment horizontal="center"/>
    </xf>
    <xf numFmtId="0" fontId="33" fillId="4" borderId="5" xfId="0" applyFont="1" applyFill="1" applyBorder="1"/>
    <xf numFmtId="3" fontId="33" fillId="4" borderId="5" xfId="12" applyNumberFormat="1" applyFont="1" applyFill="1" applyBorder="1" applyAlignment="1">
      <alignment horizontal="right"/>
    </xf>
    <xf numFmtId="0" fontId="33" fillId="4" borderId="0" xfId="0" applyFont="1" applyFill="1"/>
    <xf numFmtId="168" fontId="28" fillId="4" borderId="0" xfId="0" applyNumberFormat="1" applyFont="1" applyFill="1"/>
    <xf numFmtId="172" fontId="28" fillId="4" borderId="14" xfId="12" applyNumberFormat="1" applyFont="1" applyFill="1" applyBorder="1"/>
    <xf numFmtId="172" fontId="33" fillId="4" borderId="4" xfId="0" applyNumberFormat="1" applyFont="1" applyFill="1" applyBorder="1"/>
    <xf numFmtId="0" fontId="28" fillId="8" borderId="0" xfId="0" applyFont="1" applyFill="1"/>
    <xf numFmtId="14" fontId="28" fillId="8" borderId="0" xfId="0" applyNumberFormat="1" applyFont="1" applyFill="1"/>
    <xf numFmtId="0" fontId="28" fillId="8" borderId="0" xfId="0" applyFont="1" applyFill="1" applyBorder="1"/>
    <xf numFmtId="0" fontId="29" fillId="8" borderId="0" xfId="0" applyFont="1" applyFill="1"/>
    <xf numFmtId="174" fontId="28" fillId="8" borderId="0" xfId="0" applyNumberFormat="1" applyFont="1" applyFill="1" applyBorder="1"/>
    <xf numFmtId="0" fontId="28" fillId="8" borderId="0" xfId="0" applyFont="1" applyFill="1" applyAlignment="1">
      <alignment horizontal="center" wrapText="1"/>
    </xf>
    <xf numFmtId="43" fontId="28" fillId="8" borderId="0" xfId="4" applyFont="1" applyFill="1"/>
    <xf numFmtId="3" fontId="28" fillId="8" borderId="0" xfId="0" applyNumberFormat="1" applyFont="1" applyFill="1"/>
    <xf numFmtId="2" fontId="28" fillId="8" borderId="0" xfId="0" applyNumberFormat="1" applyFont="1" applyFill="1"/>
    <xf numFmtId="0" fontId="28" fillId="8" borderId="0" xfId="0" applyFont="1" applyFill="1" applyAlignment="1">
      <alignment horizontal="center"/>
    </xf>
    <xf numFmtId="9" fontId="28" fillId="8" borderId="0" xfId="0" applyNumberFormat="1" applyFont="1" applyFill="1" applyBorder="1" applyAlignment="1">
      <alignment horizontal="center" vertical="top" wrapText="1"/>
    </xf>
    <xf numFmtId="2" fontId="28" fillId="8" borderId="0" xfId="0" applyNumberFormat="1" applyFont="1" applyFill="1" applyBorder="1" applyAlignment="1">
      <alignment horizontal="center"/>
    </xf>
    <xf numFmtId="10" fontId="28" fillId="8" borderId="14" xfId="0" applyNumberFormat="1" applyFont="1" applyFill="1" applyBorder="1" applyAlignment="1">
      <alignment horizontal="center" vertical="top" wrapText="1"/>
    </xf>
    <xf numFmtId="170" fontId="28" fillId="8" borderId="0" xfId="0" applyNumberFormat="1" applyFont="1" applyFill="1" applyBorder="1"/>
    <xf numFmtId="3" fontId="28" fillId="8" borderId="0" xfId="0" applyNumberFormat="1" applyFont="1" applyFill="1" applyBorder="1"/>
    <xf numFmtId="43" fontId="28" fillId="8" borderId="0" xfId="4" applyFont="1" applyFill="1" applyBorder="1"/>
    <xf numFmtId="0" fontId="28" fillId="8" borderId="14" xfId="0" applyFont="1" applyFill="1" applyBorder="1"/>
    <xf numFmtId="43" fontId="28" fillId="8" borderId="14" xfId="4" applyFont="1" applyFill="1" applyBorder="1"/>
    <xf numFmtId="0" fontId="28" fillId="8" borderId="0" xfId="0" applyFont="1" applyFill="1" applyAlignment="1">
      <alignment vertical="top"/>
    </xf>
    <xf numFmtId="0" fontId="30" fillId="8" borderId="0" xfId="0" applyFont="1" applyFill="1"/>
    <xf numFmtId="14" fontId="28" fillId="7" borderId="14" xfId="0" applyNumberFormat="1" applyFont="1" applyFill="1" applyBorder="1" applyAlignment="1">
      <alignment horizontal="center"/>
    </xf>
    <xf numFmtId="9" fontId="28" fillId="7" borderId="14" xfId="0" applyNumberFormat="1" applyFont="1" applyFill="1" applyBorder="1" applyAlignment="1">
      <alignment horizontal="center" vertical="top" wrapText="1"/>
    </xf>
    <xf numFmtId="10" fontId="28" fillId="7" borderId="14" xfId="0" applyNumberFormat="1" applyFont="1" applyFill="1" applyBorder="1" applyAlignment="1">
      <alignment horizontal="center"/>
    </xf>
    <xf numFmtId="0" fontId="28" fillId="8" borderId="0" xfId="0" applyFont="1" applyFill="1" applyBorder="1" applyAlignment="1"/>
    <xf numFmtId="0" fontId="28" fillId="8" borderId="0" xfId="0" applyFont="1" applyFill="1" applyBorder="1" applyAlignment="1">
      <alignment horizontal="left" vertical="top"/>
    </xf>
    <xf numFmtId="0" fontId="28" fillId="8" borderId="0" xfId="0" applyFont="1" applyFill="1" applyBorder="1" applyAlignment="1">
      <alignment horizontal="left"/>
    </xf>
    <xf numFmtId="3" fontId="28" fillId="7" borderId="14" xfId="0" applyNumberFormat="1" applyFont="1" applyFill="1" applyBorder="1"/>
    <xf numFmtId="3" fontId="28" fillId="8" borderId="14" xfId="0" applyNumberFormat="1" applyFont="1" applyFill="1" applyBorder="1"/>
    <xf numFmtId="3" fontId="28" fillId="8" borderId="14" xfId="0" applyNumberFormat="1" applyFont="1" applyFill="1" applyBorder="1" applyAlignment="1">
      <alignment horizontal="center"/>
    </xf>
    <xf numFmtId="9" fontId="28" fillId="7" borderId="14" xfId="0" applyNumberFormat="1" applyFont="1" applyFill="1" applyBorder="1" applyAlignment="1">
      <alignment horizontal="center"/>
    </xf>
    <xf numFmtId="0" fontId="28" fillId="7" borderId="14" xfId="0" applyFont="1" applyFill="1" applyBorder="1" applyAlignment="1">
      <alignment horizontal="center" vertical="top" wrapText="1"/>
    </xf>
    <xf numFmtId="0" fontId="28" fillId="8" borderId="4" xfId="0" applyFont="1" applyFill="1" applyBorder="1" applyAlignment="1">
      <alignment horizontal="center" vertical="center" wrapText="1"/>
    </xf>
    <xf numFmtId="176" fontId="28" fillId="8" borderId="14" xfId="4" applyNumberFormat="1" applyFont="1" applyFill="1" applyBorder="1"/>
    <xf numFmtId="175" fontId="28" fillId="8" borderId="17" xfId="4" applyNumberFormat="1" applyFont="1" applyFill="1" applyBorder="1"/>
    <xf numFmtId="0" fontId="28" fillId="8" borderId="7" xfId="0" applyFont="1" applyFill="1" applyBorder="1"/>
    <xf numFmtId="2" fontId="28" fillId="8" borderId="4" xfId="0" applyNumberFormat="1" applyFont="1" applyFill="1" applyBorder="1"/>
    <xf numFmtId="0" fontId="28" fillId="8" borderId="0" xfId="0" quotePrefix="1" applyFont="1" applyFill="1" applyBorder="1"/>
    <xf numFmtId="170" fontId="28" fillId="8" borderId="14" xfId="0" applyNumberFormat="1" applyFont="1" applyFill="1" applyBorder="1"/>
    <xf numFmtId="174" fontId="28" fillId="8" borderId="14" xfId="0" applyNumberFormat="1" applyFont="1" applyFill="1" applyBorder="1"/>
    <xf numFmtId="0" fontId="34" fillId="8" borderId="0" xfId="0" applyFont="1" applyFill="1"/>
    <xf numFmtId="0" fontId="30" fillId="8" borderId="0" xfId="0" applyFont="1" applyFill="1" applyBorder="1"/>
    <xf numFmtId="0" fontId="27" fillId="6" borderId="3" xfId="0" applyFont="1" applyFill="1" applyBorder="1" applyAlignment="1">
      <alignment horizontal="center" vertical="center" wrapText="1"/>
    </xf>
    <xf numFmtId="4" fontId="28" fillId="4" borderId="0" xfId="0" applyNumberFormat="1" applyFont="1" applyFill="1" applyBorder="1"/>
    <xf numFmtId="1" fontId="30" fillId="4" borderId="0" xfId="11" applyNumberFormat="1" applyFont="1" applyFill="1" applyAlignment="1">
      <alignment horizontal="left" vertical="center"/>
    </xf>
    <xf numFmtId="175" fontId="28" fillId="8" borderId="0" xfId="4" applyNumberFormat="1" applyFont="1" applyFill="1"/>
    <xf numFmtId="0" fontId="35" fillId="8" borderId="0" xfId="0" applyFont="1" applyFill="1"/>
    <xf numFmtId="175" fontId="35" fillId="8" borderId="0" xfId="4" applyNumberFormat="1" applyFont="1" applyFill="1"/>
    <xf numFmtId="175" fontId="27" fillId="6" borderId="0" xfId="4" applyNumberFormat="1" applyFont="1" applyFill="1"/>
    <xf numFmtId="0" fontId="35" fillId="8" borderId="0" xfId="0" applyFont="1" applyFill="1" applyAlignment="1">
      <alignment horizontal="right"/>
    </xf>
    <xf numFmtId="169" fontId="31" fillId="4" borderId="0" xfId="11" applyNumberFormat="1" applyFont="1" applyFill="1" applyAlignment="1">
      <alignment vertical="center"/>
    </xf>
    <xf numFmtId="169" fontId="31" fillId="4" borderId="0" xfId="11" applyNumberFormat="1" applyFont="1" applyFill="1" applyBorder="1" applyAlignment="1">
      <alignment vertical="center"/>
    </xf>
    <xf numFmtId="176" fontId="28" fillId="4" borderId="0" xfId="14" applyNumberFormat="1" applyFont="1" applyFill="1" applyBorder="1" applyAlignment="1">
      <alignment vertical="center"/>
    </xf>
    <xf numFmtId="0" fontId="29" fillId="4" borderId="0" xfId="11" applyFont="1" applyFill="1" applyBorder="1"/>
    <xf numFmtId="176" fontId="29" fillId="4" borderId="0" xfId="14" applyNumberFormat="1" applyFont="1" applyFill="1" applyBorder="1"/>
    <xf numFmtId="0" fontId="28" fillId="4" borderId="0" xfId="15" applyFont="1" applyFill="1"/>
    <xf numFmtId="0" fontId="28" fillId="4" borderId="0" xfId="15" applyFont="1" applyFill="1" applyBorder="1"/>
    <xf numFmtId="176" fontId="28" fillId="4" borderId="0" xfId="14" applyNumberFormat="1" applyFont="1" applyFill="1" applyBorder="1"/>
    <xf numFmtId="3" fontId="16" fillId="4" borderId="5" xfId="15" applyNumberFormat="1" applyFont="1" applyFill="1" applyBorder="1" applyAlignment="1">
      <alignment horizontal="right"/>
    </xf>
    <xf numFmtId="165" fontId="28" fillId="4" borderId="5" xfId="14" applyFont="1" applyFill="1" applyBorder="1"/>
    <xf numFmtId="176" fontId="16" fillId="4" borderId="0" xfId="14" applyNumberFormat="1" applyFont="1" applyFill="1" applyBorder="1" applyAlignment="1">
      <alignment horizontal="left"/>
    </xf>
    <xf numFmtId="3" fontId="16" fillId="4" borderId="0" xfId="15" applyNumberFormat="1" applyFont="1" applyFill="1" applyBorder="1" applyAlignment="1">
      <alignment horizontal="right"/>
    </xf>
    <xf numFmtId="176" fontId="28" fillId="4" borderId="0" xfId="15" applyNumberFormat="1" applyFont="1" applyFill="1" applyBorder="1"/>
    <xf numFmtId="3" fontId="28" fillId="4" borderId="0" xfId="15" applyNumberFormat="1" applyFont="1" applyFill="1"/>
    <xf numFmtId="0" fontId="27" fillId="4" borderId="0" xfId="15" applyFont="1" applyFill="1" applyBorder="1" applyAlignment="1">
      <alignment vertical="center"/>
    </xf>
    <xf numFmtId="176" fontId="27" fillId="4" borderId="0" xfId="14" applyNumberFormat="1" applyFont="1" applyFill="1" applyBorder="1" applyAlignment="1">
      <alignment horizontal="center" vertical="center" wrapText="1"/>
    </xf>
    <xf numFmtId="176" fontId="27" fillId="4" borderId="0" xfId="14" applyNumberFormat="1" applyFont="1" applyFill="1" applyBorder="1" applyAlignment="1">
      <alignment vertical="center"/>
    </xf>
    <xf numFmtId="0" fontId="27" fillId="4" borderId="0" xfId="15" applyFont="1" applyFill="1" applyAlignment="1">
      <alignment vertical="center"/>
    </xf>
    <xf numFmtId="0" fontId="28" fillId="4" borderId="4" xfId="15" applyFont="1" applyFill="1" applyBorder="1"/>
    <xf numFmtId="0" fontId="28" fillId="4" borderId="5" xfId="15" applyFont="1" applyFill="1" applyBorder="1"/>
    <xf numFmtId="0" fontId="27" fillId="6" borderId="4" xfId="15" applyFont="1" applyFill="1" applyBorder="1" applyAlignment="1">
      <alignment horizontal="center" vertical="center" wrapText="1"/>
    </xf>
    <xf numFmtId="175" fontId="28" fillId="4" borderId="14" xfId="4" applyNumberFormat="1" applyFont="1" applyFill="1" applyBorder="1" applyAlignment="1">
      <alignment horizontal="center"/>
    </xf>
    <xf numFmtId="0" fontId="28" fillId="7" borderId="14" xfId="0" applyFont="1" applyFill="1" applyBorder="1"/>
    <xf numFmtId="175" fontId="28" fillId="4" borderId="7" xfId="4" applyNumberFormat="1" applyFont="1" applyFill="1" applyBorder="1" applyAlignment="1">
      <alignment horizontal="center"/>
    </xf>
    <xf numFmtId="175" fontId="28" fillId="5" borderId="14" xfId="4" applyNumberFormat="1" applyFont="1" applyFill="1" applyBorder="1" applyAlignment="1">
      <alignment horizontal="center"/>
    </xf>
    <xf numFmtId="172" fontId="33" fillId="5" borderId="4" xfId="0" applyNumberFormat="1" applyFont="1" applyFill="1" applyBorder="1"/>
    <xf numFmtId="172" fontId="33" fillId="5" borderId="5" xfId="0" applyNumberFormat="1" applyFont="1" applyFill="1" applyBorder="1"/>
    <xf numFmtId="172" fontId="28" fillId="5" borderId="14" xfId="0" applyNumberFormat="1" applyFont="1" applyFill="1" applyBorder="1"/>
    <xf numFmtId="172" fontId="33" fillId="5" borderId="3" xfId="0" applyNumberFormat="1" applyFont="1" applyFill="1" applyBorder="1"/>
    <xf numFmtId="0" fontId="28" fillId="7" borderId="14" xfId="15" applyFont="1" applyFill="1" applyBorder="1" applyAlignment="1">
      <alignment horizontal="center"/>
    </xf>
    <xf numFmtId="175" fontId="28" fillId="7" borderId="3" xfId="4" applyNumberFormat="1" applyFont="1" applyFill="1" applyBorder="1" applyAlignment="1">
      <alignment horizontal="center"/>
    </xf>
    <xf numFmtId="175" fontId="28" fillId="7" borderId="14" xfId="4" applyNumberFormat="1" applyFont="1" applyFill="1" applyBorder="1"/>
    <xf numFmtId="0" fontId="28" fillId="7" borderId="14" xfId="4" applyNumberFormat="1" applyFont="1" applyFill="1" applyBorder="1" applyAlignment="1">
      <alignment horizontal="center"/>
    </xf>
    <xf numFmtId="0" fontId="39" fillId="6" borderId="0" xfId="0" applyFont="1" applyFill="1"/>
    <xf numFmtId="0" fontId="28" fillId="7" borderId="4" xfId="15" applyFont="1" applyFill="1" applyBorder="1" applyAlignment="1">
      <alignment horizontal="center"/>
    </xf>
    <xf numFmtId="0" fontId="28" fillId="7" borderId="5" xfId="15" applyFont="1" applyFill="1" applyBorder="1" applyAlignment="1">
      <alignment horizontal="center"/>
    </xf>
    <xf numFmtId="175" fontId="28" fillId="4" borderId="0" xfId="15" applyNumberFormat="1" applyFont="1" applyFill="1"/>
    <xf numFmtId="175" fontId="28" fillId="4" borderId="3" xfId="4" applyNumberFormat="1" applyFont="1" applyFill="1" applyBorder="1" applyAlignment="1">
      <alignment horizontal="center"/>
    </xf>
    <xf numFmtId="175" fontId="28" fillId="8" borderId="0" xfId="4" applyNumberFormat="1" applyFont="1" applyFill="1" applyBorder="1"/>
    <xf numFmtId="43" fontId="28" fillId="7" borderId="14" xfId="4" applyFont="1" applyFill="1" applyBorder="1" applyAlignment="1">
      <alignment horizontal="center"/>
    </xf>
    <xf numFmtId="0" fontId="38" fillId="4" borderId="0" xfId="0" applyFont="1" applyFill="1"/>
    <xf numFmtId="175" fontId="38" fillId="4" borderId="0" xfId="4" applyNumberFormat="1" applyFont="1" applyFill="1"/>
    <xf numFmtId="0" fontId="38" fillId="8" borderId="0" xfId="0" applyFont="1" applyFill="1"/>
    <xf numFmtId="175" fontId="38" fillId="3" borderId="0" xfId="4" applyNumberFormat="1" applyFont="1" applyFill="1"/>
    <xf numFmtId="43" fontId="38" fillId="4" borderId="0" xfId="4" applyFont="1" applyFill="1"/>
    <xf numFmtId="175" fontId="38" fillId="4" borderId="16" xfId="4" applyNumberFormat="1" applyFont="1" applyFill="1" applyBorder="1"/>
    <xf numFmtId="175" fontId="40" fillId="4" borderId="0" xfId="4" applyNumberFormat="1" applyFont="1" applyFill="1"/>
    <xf numFmtId="0" fontId="40" fillId="4" borderId="0" xfId="0" applyFont="1" applyFill="1"/>
    <xf numFmtId="0" fontId="38" fillId="4" borderId="0" xfId="0" applyFont="1" applyFill="1" applyAlignment="1">
      <alignment horizontal="right"/>
    </xf>
    <xf numFmtId="0" fontId="38" fillId="4" borderId="0" xfId="0" applyFont="1" applyFill="1" applyAlignment="1">
      <alignment horizontal="left"/>
    </xf>
    <xf numFmtId="43" fontId="33" fillId="4" borderId="14" xfId="4" applyFont="1" applyFill="1" applyBorder="1"/>
    <xf numFmtId="175" fontId="28" fillId="0" borderId="5" xfId="4" applyNumberFormat="1" applyFont="1" applyFill="1" applyBorder="1"/>
    <xf numFmtId="0" fontId="17" fillId="0" borderId="0" xfId="0" applyFont="1" applyFill="1" applyAlignment="1">
      <alignment horizontal="left"/>
    </xf>
    <xf numFmtId="0" fontId="28" fillId="0" borderId="0" xfId="0" applyFont="1" applyFill="1"/>
    <xf numFmtId="10" fontId="28" fillId="8" borderId="3" xfId="12" applyNumberFormat="1" applyFont="1" applyFill="1" applyBorder="1"/>
    <xf numFmtId="2" fontId="28" fillId="8" borderId="14" xfId="0" applyNumberFormat="1" applyFont="1" applyFill="1" applyBorder="1" applyAlignment="1"/>
    <xf numFmtId="2" fontId="28" fillId="7" borderId="4" xfId="0" applyNumberFormat="1" applyFont="1" applyFill="1" applyBorder="1" applyAlignment="1"/>
    <xf numFmtId="2" fontId="28" fillId="8" borderId="14" xfId="4" applyNumberFormat="1" applyFont="1" applyFill="1" applyBorder="1"/>
    <xf numFmtId="4" fontId="28" fillId="4" borderId="5" xfId="0" applyNumberFormat="1" applyFont="1" applyFill="1" applyBorder="1"/>
    <xf numFmtId="43" fontId="28" fillId="4" borderId="5" xfId="4" applyNumberFormat="1" applyFont="1" applyFill="1" applyBorder="1"/>
    <xf numFmtId="176" fontId="28" fillId="5" borderId="14" xfId="4" applyNumberFormat="1" applyFont="1" applyFill="1" applyBorder="1"/>
    <xf numFmtId="175" fontId="28" fillId="7" borderId="14" xfId="4" applyNumberFormat="1" applyFont="1" applyFill="1" applyBorder="1" applyAlignment="1">
      <alignment horizontal="center" vertical="center" wrapText="1"/>
    </xf>
    <xf numFmtId="171" fontId="28" fillId="8" borderId="14" xfId="0" applyNumberFormat="1" applyFont="1" applyFill="1" applyBorder="1"/>
    <xf numFmtId="10" fontId="28" fillId="7" borderId="17" xfId="0" applyNumberFormat="1" applyFont="1" applyFill="1" applyBorder="1" applyAlignment="1">
      <alignment horizontal="center"/>
    </xf>
    <xf numFmtId="10" fontId="28" fillId="8" borderId="0" xfId="0" applyNumberFormat="1" applyFont="1" applyFill="1" applyBorder="1" applyAlignment="1">
      <alignment horizontal="center" vertical="top" wrapText="1"/>
    </xf>
    <xf numFmtId="0" fontId="28" fillId="8" borderId="14" xfId="0" applyFont="1" applyFill="1" applyBorder="1" applyAlignment="1">
      <alignment horizontal="right"/>
    </xf>
    <xf numFmtId="3" fontId="28" fillId="4" borderId="14" xfId="0" applyNumberFormat="1" applyFont="1" applyFill="1" applyBorder="1"/>
    <xf numFmtId="43" fontId="27" fillId="6" borderId="14" xfId="4" applyNumberFormat="1" applyFont="1" applyFill="1" applyBorder="1"/>
    <xf numFmtId="1" fontId="28" fillId="4" borderId="14" xfId="0" applyNumberFormat="1" applyFont="1" applyFill="1" applyBorder="1"/>
    <xf numFmtId="10" fontId="28" fillId="4" borderId="14" xfId="0" applyNumberFormat="1" applyFont="1" applyFill="1" applyBorder="1"/>
    <xf numFmtId="175" fontId="28" fillId="4" borderId="0" xfId="4" quotePrefix="1" applyNumberFormat="1" applyFont="1" applyFill="1" applyBorder="1"/>
    <xf numFmtId="10" fontId="28" fillId="4" borderId="0" xfId="0" applyNumberFormat="1" applyFont="1" applyFill="1" applyBorder="1"/>
    <xf numFmtId="43" fontId="28" fillId="7" borderId="14" xfId="4" applyNumberFormat="1" applyFont="1" applyFill="1" applyBorder="1"/>
    <xf numFmtId="43" fontId="28" fillId="4" borderId="0" xfId="4" applyNumberFormat="1" applyFont="1" applyFill="1"/>
    <xf numFmtId="0" fontId="28" fillId="4" borderId="0" xfId="0" applyFont="1" applyFill="1" applyAlignment="1">
      <alignment horizontal="left" vertical="center"/>
    </xf>
    <xf numFmtId="0" fontId="28" fillId="4" borderId="0" xfId="0" applyFont="1" applyFill="1" applyAlignment="1">
      <alignment vertical="center"/>
    </xf>
    <xf numFmtId="175" fontId="27" fillId="6" borderId="4" xfId="4" applyNumberFormat="1" applyFont="1" applyFill="1" applyBorder="1" applyAlignment="1">
      <alignment horizontal="center" vertical="center" wrapText="1"/>
    </xf>
    <xf numFmtId="175" fontId="28" fillId="4" borderId="0" xfId="4" applyNumberFormat="1" applyFont="1" applyFill="1" applyBorder="1" applyAlignment="1">
      <alignment horizontal="center"/>
    </xf>
    <xf numFmtId="175" fontId="27" fillId="6" borderId="5" xfId="4" applyNumberFormat="1" applyFont="1" applyFill="1" applyBorder="1" applyAlignment="1">
      <alignment horizontal="center" vertical="center" wrapText="1"/>
    </xf>
    <xf numFmtId="0" fontId="27" fillId="6" borderId="4" xfId="0" applyFont="1" applyFill="1" applyBorder="1" applyAlignment="1">
      <alignment horizontal="center" vertical="center" wrapText="1"/>
    </xf>
    <xf numFmtId="175" fontId="28" fillId="4" borderId="0" xfId="4" applyNumberFormat="1" applyFont="1" applyFill="1" applyBorder="1" applyAlignment="1">
      <alignment vertical="center"/>
    </xf>
    <xf numFmtId="175" fontId="27" fillId="6" borderId="15" xfId="4" applyNumberFormat="1" applyFont="1" applyFill="1" applyBorder="1" applyAlignment="1">
      <alignment horizontal="center" vertical="center" wrapText="1"/>
    </xf>
    <xf numFmtId="175" fontId="27" fillId="6" borderId="16" xfId="4" applyNumberFormat="1" applyFont="1" applyFill="1" applyBorder="1" applyAlignment="1">
      <alignment horizontal="center" vertical="top" wrapText="1"/>
    </xf>
    <xf numFmtId="9" fontId="28" fillId="7" borderId="14" xfId="12" applyFont="1" applyFill="1" applyBorder="1"/>
    <xf numFmtId="165" fontId="28" fillId="8" borderId="0" xfId="0" applyNumberFormat="1" applyFont="1" applyFill="1"/>
    <xf numFmtId="0" fontId="28" fillId="4" borderId="0" xfId="0" applyFont="1" applyFill="1" applyBorder="1" applyAlignment="1">
      <alignment horizontal="left"/>
    </xf>
    <xf numFmtId="175" fontId="27" fillId="6" borderId="14" xfId="4" applyNumberFormat="1" applyFont="1" applyFill="1" applyBorder="1" applyAlignment="1">
      <alignment horizontal="center" vertical="center" wrapText="1"/>
    </xf>
    <xf numFmtId="3" fontId="28" fillId="4" borderId="0" xfId="0" applyNumberFormat="1" applyFont="1" applyFill="1" applyBorder="1"/>
    <xf numFmtId="3" fontId="28" fillId="4" borderId="7" xfId="0" applyNumberFormat="1" applyFont="1" applyFill="1" applyBorder="1"/>
    <xf numFmtId="0" fontId="28" fillId="4" borderId="9" xfId="0" applyFont="1" applyFill="1" applyBorder="1" applyAlignment="1">
      <alignment horizontal="center"/>
    </xf>
    <xf numFmtId="3" fontId="28" fillId="4" borderId="4" xfId="0" applyNumberFormat="1" applyFont="1" applyFill="1" applyBorder="1"/>
    <xf numFmtId="166" fontId="28" fillId="4" borderId="6" xfId="0" applyNumberFormat="1" applyFont="1" applyFill="1" applyBorder="1" applyAlignment="1">
      <alignment horizontal="center"/>
    </xf>
    <xf numFmtId="175" fontId="28" fillId="4" borderId="6" xfId="4" applyNumberFormat="1" applyFont="1" applyFill="1" applyBorder="1"/>
    <xf numFmtId="43" fontId="27" fillId="6" borderId="3" xfId="4" applyFont="1" applyFill="1" applyBorder="1" applyAlignment="1">
      <alignment horizontal="center" vertical="center"/>
    </xf>
    <xf numFmtId="175" fontId="28" fillId="3" borderId="11" xfId="4" applyNumberFormat="1" applyFont="1" applyFill="1" applyBorder="1"/>
    <xf numFmtId="175" fontId="28" fillId="3" borderId="7" xfId="4" applyNumberFormat="1" applyFont="1" applyFill="1" applyBorder="1"/>
    <xf numFmtId="175" fontId="28" fillId="4" borderId="4" xfId="4" applyNumberFormat="1" applyFont="1" applyFill="1" applyBorder="1" applyAlignment="1">
      <alignment horizontal="center"/>
    </xf>
    <xf numFmtId="175" fontId="28" fillId="4" borderId="5" xfId="4" applyNumberFormat="1" applyFont="1" applyFill="1" applyBorder="1" applyAlignment="1">
      <alignment horizontal="center"/>
    </xf>
    <xf numFmtId="4" fontId="28" fillId="4" borderId="6" xfId="12" applyNumberFormat="1" applyFont="1" applyFill="1" applyBorder="1"/>
    <xf numFmtId="177" fontId="28" fillId="4" borderId="6" xfId="4" applyNumberFormat="1" applyFont="1" applyFill="1" applyBorder="1"/>
    <xf numFmtId="0" fontId="28" fillId="4" borderId="4" xfId="15" applyFont="1" applyFill="1" applyBorder="1" applyAlignment="1">
      <alignment horizontal="center"/>
    </xf>
    <xf numFmtId="0" fontId="28" fillId="4" borderId="5" xfId="15" applyFont="1" applyFill="1" applyBorder="1" applyAlignment="1">
      <alignment horizontal="center"/>
    </xf>
    <xf numFmtId="0" fontId="28" fillId="4" borderId="3" xfId="15" applyFont="1" applyFill="1" applyBorder="1" applyAlignment="1">
      <alignment horizontal="center"/>
    </xf>
    <xf numFmtId="0" fontId="33" fillId="4" borderId="4" xfId="0" applyFont="1" applyFill="1" applyBorder="1" applyAlignment="1">
      <alignment horizontal="center"/>
    </xf>
    <xf numFmtId="172" fontId="33" fillId="5" borderId="12" xfId="0" applyNumberFormat="1" applyFont="1" applyFill="1" applyBorder="1"/>
    <xf numFmtId="172" fontId="33" fillId="5" borderId="11" xfId="0" applyNumberFormat="1" applyFont="1" applyFill="1" applyBorder="1"/>
    <xf numFmtId="3" fontId="33" fillId="4" borderId="0" xfId="12" applyNumberFormat="1" applyFont="1" applyFill="1" applyBorder="1"/>
    <xf numFmtId="172" fontId="33" fillId="4" borderId="0" xfId="0" applyNumberFormat="1" applyFont="1" applyFill="1" applyBorder="1"/>
    <xf numFmtId="43" fontId="33" fillId="4" borderId="9" xfId="4" applyFont="1" applyFill="1" applyBorder="1"/>
    <xf numFmtId="3" fontId="33" fillId="4" borderId="4" xfId="12" applyNumberFormat="1" applyFont="1" applyFill="1" applyBorder="1" applyAlignment="1">
      <alignment horizontal="right"/>
    </xf>
    <xf numFmtId="172" fontId="33" fillId="4" borderId="5" xfId="0" applyNumberFormat="1" applyFont="1" applyFill="1" applyBorder="1"/>
    <xf numFmtId="0" fontId="28" fillId="8" borderId="0" xfId="0" applyFont="1" applyFill="1" applyBorder="1" applyAlignment="1">
      <alignment horizontal="right"/>
    </xf>
    <xf numFmtId="3" fontId="33" fillId="4" borderId="0" xfId="0" applyNumberFormat="1" applyFont="1" applyFill="1"/>
    <xf numFmtId="43" fontId="28" fillId="7" borderId="17" xfId="4" applyFont="1" applyFill="1" applyBorder="1"/>
    <xf numFmtId="167" fontId="28" fillId="7" borderId="14" xfId="0" applyNumberFormat="1" applyFont="1" applyFill="1" applyBorder="1" applyAlignment="1">
      <alignment horizontal="center"/>
    </xf>
    <xf numFmtId="43" fontId="27" fillId="6" borderId="4" xfId="4" applyFont="1" applyFill="1" applyBorder="1" applyAlignment="1">
      <alignment horizontal="center" vertical="center" wrapText="1"/>
    </xf>
    <xf numFmtId="175" fontId="38" fillId="4" borderId="0" xfId="4" applyNumberFormat="1" applyFont="1" applyFill="1" applyAlignment="1">
      <alignment horizontal="right"/>
    </xf>
    <xf numFmtId="43" fontId="27" fillId="6" borderId="5" xfId="4" applyFont="1" applyFill="1" applyBorder="1" applyAlignment="1">
      <alignment horizontal="center" vertical="top" wrapText="1"/>
    </xf>
    <xf numFmtId="43" fontId="28" fillId="4" borderId="0" xfId="4" applyFont="1" applyFill="1" applyAlignment="1">
      <alignment horizontal="center"/>
    </xf>
    <xf numFmtId="43" fontId="28" fillId="4" borderId="0" xfId="4" applyFont="1" applyFill="1" applyBorder="1" applyAlignment="1">
      <alignment horizontal="center"/>
    </xf>
    <xf numFmtId="43" fontId="28" fillId="4" borderId="0" xfId="4" applyFont="1" applyFill="1" applyBorder="1" applyAlignment="1">
      <alignment horizontal="left"/>
    </xf>
    <xf numFmtId="43" fontId="29" fillId="4" borderId="0" xfId="4" applyFont="1" applyFill="1"/>
    <xf numFmtId="43" fontId="28" fillId="4" borderId="0" xfId="4" applyFont="1" applyFill="1" applyAlignment="1">
      <alignment horizontal="center" vertical="top" wrapText="1"/>
    </xf>
    <xf numFmtId="43" fontId="27" fillId="6" borderId="14" xfId="4" applyFont="1" applyFill="1" applyBorder="1" applyAlignment="1">
      <alignment horizontal="center"/>
    </xf>
    <xf numFmtId="43" fontId="28" fillId="2" borderId="5" xfId="4" applyFont="1" applyFill="1" applyBorder="1"/>
    <xf numFmtId="43" fontId="28" fillId="2" borderId="0" xfId="4" applyFont="1" applyFill="1" applyBorder="1"/>
    <xf numFmtId="43" fontId="28" fillId="0" borderId="9" xfId="4" applyFont="1" applyFill="1" applyBorder="1"/>
    <xf numFmtId="43" fontId="28" fillId="0" borderId="0" xfId="4" applyFont="1" applyFill="1"/>
    <xf numFmtId="43" fontId="28" fillId="4" borderId="0" xfId="4" applyFont="1" applyFill="1" applyBorder="1"/>
    <xf numFmtId="179" fontId="30" fillId="4" borderId="0" xfId="4" applyNumberFormat="1" applyFont="1" applyFill="1" applyAlignment="1">
      <alignment horizontal="left"/>
    </xf>
    <xf numFmtId="179" fontId="28" fillId="4" borderId="0" xfId="4" applyNumberFormat="1" applyFont="1" applyFill="1" applyAlignment="1">
      <alignment horizontal="left"/>
    </xf>
    <xf numFmtId="179" fontId="28" fillId="4" borderId="5" xfId="4" applyNumberFormat="1" applyFont="1" applyFill="1" applyBorder="1" applyAlignment="1">
      <alignment horizontal="center"/>
    </xf>
    <xf numFmtId="179" fontId="28" fillId="0" borderId="5" xfId="4" applyNumberFormat="1" applyFont="1" applyFill="1" applyBorder="1" applyAlignment="1">
      <alignment horizontal="center"/>
    </xf>
    <xf numFmtId="179" fontId="28" fillId="4" borderId="14" xfId="4" applyNumberFormat="1" applyFont="1" applyFill="1" applyBorder="1" applyAlignment="1">
      <alignment horizontal="center"/>
    </xf>
    <xf numFmtId="179" fontId="28" fillId="4" borderId="0" xfId="4" applyNumberFormat="1" applyFont="1" applyFill="1" applyAlignment="1">
      <alignment horizontal="center"/>
    </xf>
    <xf numFmtId="175" fontId="43" fillId="4" borderId="0" xfId="4" applyNumberFormat="1" applyFont="1" applyFill="1"/>
    <xf numFmtId="43" fontId="42" fillId="6" borderId="4" xfId="4" applyFont="1" applyFill="1" applyBorder="1" applyAlignment="1">
      <alignment horizontal="center"/>
    </xf>
    <xf numFmtId="43" fontId="27" fillId="6" borderId="12" xfId="4" applyFont="1" applyFill="1" applyBorder="1" applyAlignment="1">
      <alignment horizontal="center"/>
    </xf>
    <xf numFmtId="14" fontId="42" fillId="6" borderId="4" xfId="0" applyNumberFormat="1" applyFont="1" applyFill="1" applyBorder="1" applyAlignment="1">
      <alignment horizontal="center"/>
    </xf>
    <xf numFmtId="0" fontId="28" fillId="7" borderId="14" xfId="0" applyFont="1" applyFill="1" applyBorder="1" applyAlignment="1">
      <alignment horizontal="center"/>
    </xf>
    <xf numFmtId="175" fontId="38" fillId="8" borderId="0" xfId="0" applyNumberFormat="1" applyFont="1" applyFill="1"/>
    <xf numFmtId="175" fontId="40" fillId="4" borderId="0" xfId="4" applyNumberFormat="1" applyFont="1" applyFill="1" applyAlignment="1">
      <alignment horizontal="center"/>
    </xf>
    <xf numFmtId="0" fontId="42" fillId="6" borderId="4" xfId="4" quotePrefix="1" applyNumberFormat="1" applyFont="1" applyFill="1" applyBorder="1" applyAlignment="1">
      <alignment horizontal="center"/>
    </xf>
    <xf numFmtId="0" fontId="27" fillId="6" borderId="5" xfId="0" applyFont="1" applyFill="1" applyBorder="1" applyAlignment="1">
      <alignment horizontal="center" vertical="center" wrapText="1"/>
    </xf>
    <xf numFmtId="0" fontId="28" fillId="4" borderId="9" xfId="0" applyFont="1" applyFill="1" applyBorder="1" applyAlignment="1">
      <alignment horizontal="left"/>
    </xf>
    <xf numFmtId="0" fontId="28" fillId="4" borderId="10" xfId="0" applyFont="1" applyFill="1" applyBorder="1" applyAlignment="1">
      <alignment horizontal="left"/>
    </xf>
    <xf numFmtId="0" fontId="28" fillId="4" borderId="8" xfId="0" applyFont="1" applyFill="1" applyBorder="1" applyAlignment="1">
      <alignment horizontal="left"/>
    </xf>
    <xf numFmtId="3" fontId="28" fillId="4" borderId="12" xfId="12" applyNumberFormat="1" applyFont="1" applyFill="1" applyBorder="1"/>
    <xf numFmtId="3" fontId="28" fillId="4" borderId="11" xfId="12" applyNumberFormat="1" applyFont="1" applyFill="1" applyBorder="1"/>
    <xf numFmtId="3" fontId="28" fillId="4" borderId="13" xfId="12" applyNumberFormat="1" applyFont="1" applyFill="1" applyBorder="1"/>
    <xf numFmtId="0" fontId="27" fillId="6" borderId="5" xfId="0" applyFont="1" applyFill="1" applyBorder="1" applyAlignment="1">
      <alignment horizontal="center" vertical="center"/>
    </xf>
    <xf numFmtId="171" fontId="28" fillId="8" borderId="0" xfId="0" applyNumberFormat="1" applyFont="1" applyFill="1"/>
    <xf numFmtId="175" fontId="28" fillId="4" borderId="17" xfId="4" applyNumberFormat="1" applyFont="1" applyFill="1" applyBorder="1" applyAlignment="1">
      <alignment horizontal="center"/>
    </xf>
    <xf numFmtId="172" fontId="28" fillId="4" borderId="3" xfId="0" applyNumberFormat="1" applyFont="1" applyFill="1" applyBorder="1"/>
    <xf numFmtId="172" fontId="33" fillId="4" borderId="3" xfId="0" applyNumberFormat="1" applyFont="1" applyFill="1" applyBorder="1"/>
    <xf numFmtId="176" fontId="28" fillId="4" borderId="0" xfId="4" applyNumberFormat="1" applyFont="1" applyFill="1"/>
    <xf numFmtId="175" fontId="28" fillId="7" borderId="14" xfId="4" applyNumberFormat="1" applyFont="1" applyFill="1" applyBorder="1" applyAlignment="1">
      <alignment horizontal="center"/>
    </xf>
    <xf numFmtId="0" fontId="28" fillId="8" borderId="0" xfId="0" quotePrefix="1" applyFont="1" applyFill="1" applyBorder="1" applyAlignment="1"/>
    <xf numFmtId="10" fontId="28" fillId="4" borderId="9" xfId="12" applyNumberFormat="1" applyFont="1" applyFill="1" applyBorder="1"/>
    <xf numFmtId="2" fontId="28" fillId="4" borderId="8" xfId="13" applyNumberFormat="1" applyFont="1" applyFill="1" applyBorder="1"/>
    <xf numFmtId="2" fontId="28" fillId="4" borderId="0" xfId="13" applyNumberFormat="1" applyFont="1" applyFill="1" applyBorder="1"/>
    <xf numFmtId="2" fontId="28" fillId="4" borderId="9" xfId="13" applyNumberFormat="1" applyFont="1" applyFill="1" applyBorder="1"/>
    <xf numFmtId="2" fontId="28" fillId="4" borderId="10" xfId="13" applyNumberFormat="1" applyFont="1" applyFill="1" applyBorder="1"/>
    <xf numFmtId="43" fontId="28" fillId="4" borderId="0" xfId="4" applyFont="1" applyFill="1"/>
    <xf numFmtId="0" fontId="28" fillId="4" borderId="3" xfId="0" applyFont="1" applyFill="1" applyBorder="1"/>
    <xf numFmtId="43" fontId="28" fillId="4" borderId="5" xfId="4" applyNumberFormat="1" applyFont="1" applyFill="1" applyBorder="1"/>
    <xf numFmtId="2" fontId="28" fillId="4" borderId="0" xfId="13" applyNumberFormat="1" applyFont="1" applyFill="1" applyBorder="1"/>
    <xf numFmtId="43" fontId="28" fillId="4" borderId="4" xfId="4" applyNumberFormat="1" applyFont="1" applyFill="1" applyBorder="1"/>
    <xf numFmtId="2" fontId="28" fillId="4" borderId="4" xfId="13" applyNumberFormat="1" applyFont="1" applyFill="1" applyBorder="1"/>
    <xf numFmtId="2" fontId="28" fillId="4" borderId="5" xfId="13" applyNumberFormat="1" applyFont="1" applyFill="1" applyBorder="1"/>
    <xf numFmtId="2" fontId="28" fillId="4" borderId="3" xfId="13" applyNumberFormat="1" applyFont="1" applyFill="1" applyBorder="1"/>
    <xf numFmtId="43" fontId="28" fillId="4" borderId="3" xfId="4" applyNumberFormat="1" applyFont="1" applyFill="1" applyBorder="1"/>
    <xf numFmtId="43" fontId="43" fillId="10" borderId="5" xfId="4" applyFont="1" applyFill="1" applyBorder="1"/>
    <xf numFmtId="178" fontId="28" fillId="8" borderId="0" xfId="0" quotePrefix="1" applyNumberFormat="1" applyFont="1" applyFill="1" applyAlignment="1">
      <alignment horizontal="right"/>
    </xf>
    <xf numFmtId="164" fontId="28" fillId="8" borderId="0" xfId="0" applyNumberFormat="1" applyFont="1" applyFill="1"/>
    <xf numFmtId="43" fontId="27" fillId="6" borderId="14" xfId="4" applyNumberFormat="1" applyFont="1" applyFill="1" applyBorder="1" applyAlignment="1">
      <alignment horizontal="center" vertical="top" wrapText="1"/>
    </xf>
    <xf numFmtId="2" fontId="27" fillId="6" borderId="14" xfId="0" applyNumberFormat="1" applyFont="1" applyFill="1" applyBorder="1" applyAlignment="1">
      <alignment horizontal="center" vertical="top" wrapText="1"/>
    </xf>
    <xf numFmtId="43" fontId="27" fillId="10" borderId="14" xfId="4" applyFont="1" applyFill="1" applyBorder="1" applyAlignment="1">
      <alignment horizontal="center"/>
    </xf>
    <xf numFmtId="0" fontId="28" fillId="8" borderId="0" xfId="0" applyFont="1" applyFill="1" applyBorder="1"/>
    <xf numFmtId="0" fontId="28" fillId="8" borderId="0" xfId="0" applyFont="1" applyFill="1" applyBorder="1" applyAlignment="1">
      <alignment horizontal="left"/>
    </xf>
    <xf numFmtId="43" fontId="28" fillId="4" borderId="14" xfId="4" applyFont="1" applyFill="1" applyBorder="1"/>
    <xf numFmtId="43" fontId="43" fillId="4" borderId="5" xfId="4" applyFont="1" applyFill="1" applyBorder="1"/>
    <xf numFmtId="43" fontId="28" fillId="4" borderId="14" xfId="4" applyFont="1" applyFill="1" applyBorder="1"/>
    <xf numFmtId="43" fontId="43" fillId="4" borderId="5" xfId="4" applyFont="1" applyFill="1" applyBorder="1"/>
    <xf numFmtId="43" fontId="28" fillId="2" borderId="14" xfId="4" applyFont="1" applyFill="1" applyBorder="1"/>
    <xf numFmtId="43" fontId="28" fillId="4" borderId="9" xfId="4" applyNumberFormat="1" applyFont="1" applyFill="1" applyBorder="1"/>
    <xf numFmtId="43" fontId="28" fillId="4" borderId="9" xfId="4" applyNumberFormat="1" applyFont="1" applyFill="1" applyBorder="1"/>
    <xf numFmtId="43" fontId="28" fillId="4" borderId="9" xfId="4" applyNumberFormat="1" applyFont="1" applyFill="1" applyBorder="1"/>
    <xf numFmtId="43" fontId="28" fillId="4" borderId="5" xfId="4" applyFont="1" applyFill="1" applyBorder="1" applyAlignment="1">
      <alignment horizontal="center"/>
    </xf>
    <xf numFmtId="43" fontId="28" fillId="4" borderId="4" xfId="4" applyFont="1" applyFill="1" applyBorder="1" applyAlignment="1">
      <alignment horizontal="center"/>
    </xf>
    <xf numFmtId="43" fontId="28" fillId="4" borderId="3" xfId="4" applyFont="1" applyFill="1" applyBorder="1" applyAlignment="1">
      <alignment horizontal="center"/>
    </xf>
    <xf numFmtId="175" fontId="28" fillId="4" borderId="11" xfId="4" applyNumberFormat="1" applyFont="1" applyFill="1" applyBorder="1"/>
    <xf numFmtId="175" fontId="28" fillId="4" borderId="12" xfId="4" applyNumberFormat="1" applyFont="1" applyFill="1" applyBorder="1"/>
    <xf numFmtId="175" fontId="28" fillId="4" borderId="13" xfId="4" applyNumberFormat="1" applyFont="1" applyFill="1" applyBorder="1"/>
    <xf numFmtId="43" fontId="28" fillId="4" borderId="0" xfId="4" applyFont="1" applyFill="1"/>
    <xf numFmtId="3" fontId="28" fillId="3" borderId="14" xfId="12" applyNumberFormat="1" applyFont="1" applyFill="1" applyBorder="1"/>
    <xf numFmtId="3" fontId="28" fillId="3" borderId="5" xfId="12" applyNumberFormat="1" applyFont="1" applyFill="1" applyBorder="1"/>
    <xf numFmtId="175" fontId="28" fillId="3" borderId="5" xfId="4" applyNumberFormat="1" applyFont="1" applyFill="1" applyBorder="1"/>
    <xf numFmtId="171" fontId="10" fillId="8" borderId="14" xfId="0" applyNumberFormat="1" applyFont="1" applyFill="1" applyBorder="1"/>
    <xf numFmtId="167" fontId="10" fillId="7" borderId="14" xfId="0" applyNumberFormat="1" applyFont="1" applyFill="1" applyBorder="1"/>
    <xf numFmtId="164" fontId="28" fillId="4" borderId="0" xfId="0" applyNumberFormat="1" applyFont="1" applyFill="1"/>
    <xf numFmtId="43" fontId="28" fillId="4" borderId="14" xfId="4" applyNumberFormat="1" applyFont="1" applyFill="1" applyBorder="1" applyAlignment="1">
      <alignment horizontal="right"/>
    </xf>
    <xf numFmtId="9" fontId="27" fillId="6" borderId="14" xfId="12" applyFont="1" applyFill="1" applyBorder="1" applyAlignment="1">
      <alignment horizontal="center"/>
    </xf>
    <xf numFmtId="0" fontId="28" fillId="4" borderId="0" xfId="0" applyFont="1" applyFill="1"/>
    <xf numFmtId="4" fontId="28" fillId="4" borderId="0" xfId="0" applyNumberFormat="1" applyFont="1" applyFill="1"/>
    <xf numFmtId="2" fontId="28" fillId="4" borderId="5" xfId="0" applyNumberFormat="1" applyFont="1" applyFill="1" applyBorder="1"/>
    <xf numFmtId="2" fontId="28" fillId="4" borderId="14" xfId="0" applyNumberFormat="1" applyFont="1" applyFill="1" applyBorder="1"/>
    <xf numFmtId="169" fontId="28" fillId="4" borderId="0" xfId="11" applyNumberFormat="1" applyFont="1" applyFill="1" applyAlignment="1">
      <alignment vertical="center"/>
    </xf>
    <xf numFmtId="4" fontId="28" fillId="4" borderId="0" xfId="12" applyNumberFormat="1" applyFont="1" applyFill="1" applyBorder="1"/>
    <xf numFmtId="4" fontId="28" fillId="4" borderId="5" xfId="12" applyNumberFormat="1" applyFont="1" applyFill="1" applyBorder="1"/>
    <xf numFmtId="0" fontId="28" fillId="8" borderId="0" xfId="0" applyFont="1" applyFill="1"/>
    <xf numFmtId="0" fontId="28" fillId="8" borderId="0" xfId="0" applyFont="1" applyFill="1" applyBorder="1"/>
    <xf numFmtId="10" fontId="28" fillId="7" borderId="14" xfId="0" applyNumberFormat="1" applyFont="1" applyFill="1" applyBorder="1" applyAlignment="1">
      <alignment horizontal="center"/>
    </xf>
    <xf numFmtId="177" fontId="28" fillId="4" borderId="0" xfId="4" applyNumberFormat="1" applyFont="1" applyFill="1" applyBorder="1"/>
    <xf numFmtId="175" fontId="28" fillId="4" borderId="0" xfId="4" applyNumberFormat="1" applyFont="1" applyFill="1" applyBorder="1"/>
    <xf numFmtId="175" fontId="28" fillId="4" borderId="3" xfId="4" applyNumberFormat="1" applyFont="1" applyFill="1" applyBorder="1"/>
    <xf numFmtId="175" fontId="28" fillId="4" borderId="0" xfId="0" applyNumberFormat="1" applyFont="1" applyFill="1"/>
    <xf numFmtId="175" fontId="28" fillId="8" borderId="0" xfId="0" applyNumberFormat="1" applyFont="1" applyFill="1"/>
    <xf numFmtId="175" fontId="38" fillId="8" borderId="0" xfId="0" applyNumberFormat="1" applyFont="1" applyFill="1"/>
    <xf numFmtId="43" fontId="38" fillId="8" borderId="0" xfId="4" applyFont="1" applyFill="1"/>
    <xf numFmtId="43" fontId="28" fillId="4" borderId="0" xfId="15" applyNumberFormat="1" applyFont="1" applyFill="1"/>
    <xf numFmtId="176" fontId="5" fillId="4" borderId="0" xfId="14" applyNumberFormat="1" applyFont="1" applyFill="1" applyBorder="1" applyAlignment="1">
      <alignment horizontal="left"/>
    </xf>
    <xf numFmtId="164" fontId="16" fillId="4" borderId="0" xfId="14" applyNumberFormat="1" applyFont="1" applyFill="1" applyBorder="1" applyAlignment="1">
      <alignment horizontal="left"/>
    </xf>
    <xf numFmtId="0" fontId="27" fillId="6" borderId="4" xfId="0" applyFont="1" applyFill="1" applyBorder="1" applyAlignment="1">
      <alignment horizontal="center" vertical="center" wrapText="1"/>
    </xf>
    <xf numFmtId="166" fontId="28" fillId="4" borderId="13" xfId="0" applyNumberFormat="1" applyFont="1" applyFill="1" applyBorder="1" applyAlignment="1">
      <alignment horizontal="center"/>
    </xf>
    <xf numFmtId="9" fontId="27" fillId="6" borderId="5" xfId="12" applyFont="1" applyFill="1" applyBorder="1" applyAlignment="1">
      <alignment horizontal="center"/>
    </xf>
    <xf numFmtId="10" fontId="27" fillId="6" borderId="14" xfId="12" applyNumberFormat="1" applyFont="1" applyFill="1" applyBorder="1" applyAlignment="1">
      <alignment vertical="center"/>
    </xf>
    <xf numFmtId="43" fontId="27" fillId="6" borderId="14" xfId="4" applyNumberFormat="1" applyFont="1" applyFill="1" applyBorder="1" applyAlignment="1">
      <alignment horizontal="center" vertical="center" wrapText="1"/>
    </xf>
    <xf numFmtId="43" fontId="27" fillId="6" borderId="14" xfId="4" quotePrefix="1" applyFont="1" applyFill="1" applyBorder="1" applyAlignment="1">
      <alignment horizontal="center" vertical="center" wrapText="1"/>
    </xf>
    <xf numFmtId="0" fontId="27" fillId="6" borderId="14" xfId="15" quotePrefix="1" applyFont="1" applyFill="1" applyBorder="1" applyAlignment="1">
      <alignment horizontal="center" vertical="center" wrapText="1"/>
    </xf>
    <xf numFmtId="43" fontId="28" fillId="4" borderId="5" xfId="4" applyFont="1" applyFill="1" applyBorder="1"/>
    <xf numFmtId="175" fontId="28" fillId="4" borderId="0" xfId="4" applyNumberFormat="1" applyFont="1" applyFill="1" applyBorder="1" applyAlignment="1">
      <alignment horizontal="center"/>
    </xf>
    <xf numFmtId="175" fontId="28" fillId="4" borderId="4" xfId="4" applyNumberFormat="1" applyFont="1" applyFill="1" applyBorder="1" applyAlignment="1">
      <alignment horizontal="center"/>
    </xf>
    <xf numFmtId="175" fontId="28" fillId="4" borderId="5" xfId="4" applyNumberFormat="1" applyFont="1" applyFill="1" applyBorder="1" applyAlignment="1">
      <alignment horizontal="center"/>
    </xf>
    <xf numFmtId="175" fontId="28" fillId="0" borderId="0" xfId="4" applyNumberFormat="1" applyFont="1" applyFill="1" applyBorder="1"/>
    <xf numFmtId="175" fontId="28" fillId="4" borderId="0" xfId="4" applyNumberFormat="1" applyFont="1" applyFill="1" applyBorder="1"/>
    <xf numFmtId="175" fontId="28" fillId="4" borderId="15" xfId="4" applyNumberFormat="1" applyFont="1" applyFill="1" applyBorder="1"/>
    <xf numFmtId="175" fontId="28" fillId="4" borderId="16" xfId="4" applyNumberFormat="1" applyFont="1" applyFill="1" applyBorder="1"/>
    <xf numFmtId="43" fontId="43" fillId="10" borderId="14" xfId="4" applyFont="1" applyFill="1" applyBorder="1"/>
    <xf numFmtId="43" fontId="28" fillId="4" borderId="0" xfId="4" applyFont="1" applyFill="1"/>
    <xf numFmtId="43" fontId="28" fillId="4" borderId="3" xfId="4" applyFont="1" applyFill="1" applyBorder="1"/>
    <xf numFmtId="43" fontId="27" fillId="6" borderId="14" xfId="4" applyFont="1" applyFill="1" applyBorder="1" applyAlignment="1">
      <alignment horizontal="center"/>
    </xf>
    <xf numFmtId="175" fontId="43" fillId="4" borderId="0" xfId="4" applyNumberFormat="1" applyFont="1" applyFill="1"/>
    <xf numFmtId="43" fontId="27" fillId="6" borderId="4" xfId="4" applyFont="1" applyFill="1" applyBorder="1" applyAlignment="1">
      <alignment horizontal="center"/>
    </xf>
    <xf numFmtId="43" fontId="28" fillId="4" borderId="10" xfId="4" applyFont="1" applyFill="1" applyBorder="1" applyAlignment="1">
      <alignment horizontal="center"/>
    </xf>
    <xf numFmtId="43" fontId="28" fillId="4" borderId="9" xfId="4" applyFont="1" applyFill="1" applyBorder="1" applyAlignment="1">
      <alignment horizontal="center"/>
    </xf>
    <xf numFmtId="43" fontId="28" fillId="4" borderId="8" xfId="4" applyFont="1" applyFill="1" applyBorder="1" applyAlignment="1">
      <alignment horizontal="center"/>
    </xf>
    <xf numFmtId="43" fontId="28" fillId="4" borderId="14" xfId="4" applyFont="1" applyFill="1" applyBorder="1" applyAlignment="1">
      <alignment horizontal="center"/>
    </xf>
    <xf numFmtId="43" fontId="28" fillId="4" borderId="0" xfId="4" applyFont="1" applyFill="1"/>
    <xf numFmtId="43" fontId="28" fillId="4" borderId="14" xfId="4" applyFont="1" applyFill="1" applyBorder="1"/>
    <xf numFmtId="43" fontId="28" fillId="4" borderId="5" xfId="4" applyFont="1" applyFill="1" applyBorder="1"/>
    <xf numFmtId="43" fontId="28" fillId="4" borderId="3" xfId="4" applyFont="1" applyFill="1" applyBorder="1"/>
    <xf numFmtId="43" fontId="28" fillId="4" borderId="0" xfId="4" applyFont="1" applyFill="1" applyBorder="1" applyAlignment="1">
      <alignment horizontal="center"/>
    </xf>
    <xf numFmtId="43" fontId="28" fillId="2" borderId="0" xfId="4" applyFont="1" applyFill="1" applyBorder="1"/>
    <xf numFmtId="43" fontId="28" fillId="4" borderId="0" xfId="4" applyFont="1" applyFill="1" applyBorder="1"/>
    <xf numFmtId="43" fontId="28" fillId="4" borderId="13" xfId="4" applyFont="1" applyFill="1" applyBorder="1"/>
    <xf numFmtId="175" fontId="42" fillId="6" borderId="14" xfId="4" applyNumberFormat="1" applyFont="1" applyFill="1" applyBorder="1" applyAlignment="1">
      <alignment horizontal="center"/>
    </xf>
    <xf numFmtId="43" fontId="27" fillId="6" borderId="4" xfId="4" applyFont="1" applyFill="1" applyBorder="1" applyAlignment="1">
      <alignment horizontal="center"/>
    </xf>
    <xf numFmtId="43" fontId="28" fillId="4" borderId="9" xfId="4" applyFont="1" applyFill="1" applyBorder="1"/>
    <xf numFmtId="43" fontId="28" fillId="4" borderId="8" xfId="4" applyFont="1" applyFill="1" applyBorder="1"/>
    <xf numFmtId="43" fontId="43" fillId="4" borderId="0" xfId="4" applyFont="1" applyFill="1" applyBorder="1"/>
    <xf numFmtId="43" fontId="28" fillId="4" borderId="10" xfId="4" applyFont="1" applyFill="1" applyBorder="1"/>
    <xf numFmtId="43" fontId="28" fillId="4" borderId="4" xfId="4" applyFont="1" applyFill="1" applyBorder="1" applyAlignment="1">
      <alignment horizontal="center" vertical="top" wrapText="1"/>
    </xf>
    <xf numFmtId="43" fontId="28" fillId="4" borderId="5" xfId="4" applyFont="1" applyFill="1" applyBorder="1" applyAlignment="1">
      <alignment horizontal="center" vertical="top" wrapText="1"/>
    </xf>
    <xf numFmtId="43" fontId="28" fillId="4" borderId="3" xfId="4" applyFont="1" applyFill="1" applyBorder="1" applyAlignment="1">
      <alignment horizontal="center" vertical="top" wrapText="1"/>
    </xf>
    <xf numFmtId="43" fontId="43" fillId="4" borderId="9" xfId="4" applyFont="1" applyFill="1" applyBorder="1"/>
    <xf numFmtId="43" fontId="43" fillId="7" borderId="5" xfId="4" applyFont="1" applyFill="1" applyBorder="1"/>
    <xf numFmtId="170" fontId="28" fillId="7" borderId="14" xfId="0" applyNumberFormat="1" applyFont="1" applyFill="1" applyBorder="1" applyAlignment="1">
      <alignment horizontal="right" vertical="top" wrapText="1"/>
    </xf>
    <xf numFmtId="170" fontId="28" fillId="8" borderId="14" xfId="0" applyNumberFormat="1" applyFont="1" applyFill="1" applyBorder="1"/>
    <xf numFmtId="175" fontId="28" fillId="4" borderId="0" xfId="4" applyNumberFormat="1" applyFont="1" applyFill="1" applyAlignment="1">
      <alignment horizontal="center" vertical="top" wrapText="1"/>
    </xf>
    <xf numFmtId="43" fontId="28" fillId="4" borderId="0" xfId="4" applyNumberFormat="1" applyFont="1" applyFill="1" applyAlignment="1">
      <alignment horizontal="center" vertical="top" wrapText="1"/>
    </xf>
    <xf numFmtId="0" fontId="31" fillId="8" borderId="0" xfId="0" applyFont="1" applyFill="1" applyAlignment="1">
      <alignment vertical="center" wrapText="1"/>
    </xf>
    <xf numFmtId="9" fontId="27" fillId="6" borderId="14" xfId="0" applyNumberFormat="1" applyFont="1" applyFill="1" applyBorder="1" applyAlignment="1">
      <alignment horizontal="center"/>
    </xf>
    <xf numFmtId="180" fontId="28" fillId="4" borderId="5" xfId="12" applyNumberFormat="1" applyFont="1" applyFill="1" applyBorder="1"/>
    <xf numFmtId="175" fontId="27" fillId="33" borderId="4" xfId="4" applyNumberFormat="1" applyFont="1" applyFill="1" applyBorder="1" applyAlignment="1">
      <alignment horizontal="center" vertical="center" wrapText="1"/>
    </xf>
    <xf numFmtId="175" fontId="27" fillId="33" borderId="5" xfId="4" applyNumberFormat="1" applyFont="1" applyFill="1" applyBorder="1" applyAlignment="1">
      <alignment horizontal="center" vertical="center" wrapText="1"/>
    </xf>
    <xf numFmtId="175" fontId="28" fillId="4" borderId="5" xfId="4" applyNumberFormat="1" applyFont="1" applyFill="1" applyBorder="1" applyAlignment="1">
      <alignment horizontal="left" indent="1"/>
    </xf>
    <xf numFmtId="0" fontId="28" fillId="32" borderId="0" xfId="0" applyFont="1" applyFill="1" applyBorder="1" applyAlignment="1">
      <alignment horizontal="left"/>
    </xf>
    <xf numFmtId="43" fontId="28" fillId="8" borderId="9" xfId="4" applyFont="1" applyFill="1" applyBorder="1"/>
    <xf numFmtId="43" fontId="28" fillId="35" borderId="9" xfId="4" applyFont="1" applyFill="1" applyBorder="1"/>
    <xf numFmtId="175" fontId="38" fillId="4" borderId="0" xfId="4" applyNumberFormat="1" applyFont="1" applyFill="1" applyAlignment="1">
      <alignment horizontal="center"/>
    </xf>
    <xf numFmtId="0" fontId="40" fillId="4" borderId="0" xfId="0" applyFont="1" applyFill="1" applyAlignment="1">
      <alignment wrapText="1"/>
    </xf>
    <xf numFmtId="0" fontId="38" fillId="4" borderId="0" xfId="0" applyFont="1" applyFill="1" applyAlignment="1">
      <alignment wrapText="1"/>
    </xf>
    <xf numFmtId="175" fontId="38" fillId="3" borderId="0" xfId="4" applyNumberFormat="1" applyFont="1" applyFill="1" applyAlignment="1">
      <alignment wrapText="1"/>
    </xf>
    <xf numFmtId="175" fontId="38" fillId="4" borderId="0" xfId="4" applyNumberFormat="1" applyFont="1" applyFill="1" applyAlignment="1">
      <alignment wrapText="1"/>
    </xf>
    <xf numFmtId="0" fontId="40" fillId="3" borderId="28" xfId="0" applyFont="1" applyFill="1" applyBorder="1" applyAlignment="1">
      <alignment horizontal="center" vertical="center" wrapText="1"/>
    </xf>
    <xf numFmtId="0" fontId="38" fillId="3" borderId="28" xfId="0" applyFont="1" applyFill="1" applyBorder="1" applyAlignment="1">
      <alignment horizontal="center" vertical="center" wrapText="1"/>
    </xf>
    <xf numFmtId="175" fontId="38" fillId="3" borderId="29" xfId="4" applyNumberFormat="1" applyFont="1" applyFill="1" applyBorder="1" applyAlignment="1">
      <alignment horizontal="center" vertical="center" wrapText="1"/>
    </xf>
    <xf numFmtId="0" fontId="38" fillId="3" borderId="30" xfId="0" applyFont="1" applyFill="1" applyBorder="1"/>
    <xf numFmtId="175" fontId="38" fillId="34" borderId="30" xfId="0" applyNumberFormat="1" applyFont="1" applyFill="1" applyBorder="1"/>
    <xf numFmtId="175" fontId="38" fillId="34" borderId="30" xfId="4" applyNumberFormat="1" applyFont="1" applyFill="1" applyBorder="1"/>
    <xf numFmtId="175" fontId="38" fillId="34" borderId="0" xfId="4" applyNumberFormat="1" applyFont="1" applyFill="1"/>
    <xf numFmtId="175" fontId="38" fillId="34" borderId="31" xfId="0" applyNumberFormat="1" applyFont="1" applyFill="1" applyBorder="1"/>
    <xf numFmtId="175" fontId="38" fillId="34" borderId="32" xfId="4" applyNumberFormat="1" applyFont="1" applyFill="1" applyBorder="1"/>
    <xf numFmtId="175" fontId="38" fillId="34" borderId="16" xfId="4" applyNumberFormat="1" applyFont="1" applyFill="1" applyBorder="1"/>
    <xf numFmtId="0" fontId="67" fillId="4" borderId="0" xfId="0" applyFont="1" applyFill="1" applyAlignment="1">
      <alignment horizontal="right"/>
    </xf>
    <xf numFmtId="0" fontId="30" fillId="4" borderId="0" xfId="0" applyFont="1" applyFill="1" applyAlignment="1">
      <alignment horizontal="left" vertical="center"/>
    </xf>
    <xf numFmtId="175" fontId="30" fillId="4" borderId="0" xfId="4" applyNumberFormat="1" applyFont="1" applyFill="1" applyAlignment="1">
      <alignment vertical="center"/>
    </xf>
    <xf numFmtId="0" fontId="30" fillId="4" borderId="0" xfId="0" applyFont="1" applyFill="1" applyAlignment="1">
      <alignment vertical="center"/>
    </xf>
    <xf numFmtId="167" fontId="27" fillId="6" borderId="14" xfId="12" applyNumberFormat="1" applyFont="1" applyFill="1" applyBorder="1" applyAlignment="1">
      <alignment vertical="center" wrapText="1"/>
    </xf>
    <xf numFmtId="167" fontId="27" fillId="6" borderId="14" xfId="12" applyNumberFormat="1" applyFont="1" applyFill="1" applyBorder="1" applyAlignment="1">
      <alignment horizontal="center" vertical="center" wrapText="1"/>
    </xf>
    <xf numFmtId="3" fontId="33" fillId="4" borderId="9" xfId="0" applyNumberFormat="1" applyFont="1" applyFill="1" applyBorder="1"/>
    <xf numFmtId="175" fontId="33" fillId="4" borderId="0" xfId="4" applyNumberFormat="1" applyFont="1" applyFill="1"/>
    <xf numFmtId="175" fontId="33" fillId="4" borderId="5" xfId="4" applyNumberFormat="1" applyFont="1" applyFill="1" applyBorder="1"/>
    <xf numFmtId="175" fontId="33" fillId="4" borderId="14" xfId="4" applyNumberFormat="1" applyFont="1" applyFill="1" applyBorder="1"/>
    <xf numFmtId="175" fontId="33" fillId="5" borderId="14" xfId="4" applyNumberFormat="1" applyFont="1" applyFill="1" applyBorder="1"/>
    <xf numFmtId="175" fontId="33" fillId="4" borderId="0" xfId="4" applyNumberFormat="1" applyFont="1" applyFill="1" applyBorder="1"/>
    <xf numFmtId="175" fontId="0" fillId="4" borderId="0" xfId="4" applyNumberFormat="1" applyFont="1" applyFill="1"/>
    <xf numFmtId="0" fontId="0" fillId="4" borderId="0" xfId="0" applyFill="1"/>
    <xf numFmtId="43" fontId="28" fillId="4" borderId="0" xfId="4" applyFont="1" applyFill="1" applyBorder="1" applyAlignment="1">
      <alignment horizontal="center" vertical="top" wrapText="1"/>
    </xf>
    <xf numFmtId="175" fontId="27" fillId="33" borderId="14" xfId="4" applyNumberFormat="1" applyFont="1" applyFill="1" applyBorder="1" applyAlignment="1">
      <alignment horizontal="center" vertical="center" wrapText="1"/>
    </xf>
    <xf numFmtId="43" fontId="28" fillId="33" borderId="0" xfId="4" applyFont="1" applyFill="1" applyBorder="1" applyAlignment="1">
      <alignment horizontal="center"/>
    </xf>
    <xf numFmtId="181" fontId="33" fillId="4" borderId="0" xfId="0" applyNumberFormat="1" applyFont="1" applyFill="1"/>
    <xf numFmtId="3" fontId="28" fillId="4" borderId="0" xfId="15" applyNumberFormat="1" applyFont="1" applyFill="1" applyBorder="1"/>
    <xf numFmtId="43" fontId="27" fillId="4" borderId="0" xfId="4" applyFont="1" applyFill="1" applyBorder="1" applyAlignment="1">
      <alignment horizontal="center" vertical="center" textRotation="90" wrapText="1"/>
    </xf>
    <xf numFmtId="43" fontId="64" fillId="4" borderId="0" xfId="4" applyFont="1" applyFill="1"/>
    <xf numFmtId="43" fontId="65" fillId="4" borderId="0" xfId="4" applyFont="1" applyFill="1"/>
    <xf numFmtId="0" fontId="28" fillId="4" borderId="4" xfId="0" applyFont="1" applyFill="1" applyBorder="1" applyAlignment="1">
      <alignment horizontal="left"/>
    </xf>
    <xf numFmtId="0" fontId="28" fillId="4" borderId="5" xfId="0" applyFont="1" applyFill="1" applyBorder="1" applyAlignment="1">
      <alignment horizontal="left"/>
    </xf>
    <xf numFmtId="176" fontId="65" fillId="4" borderId="0" xfId="4" applyNumberFormat="1" applyFont="1" applyFill="1"/>
    <xf numFmtId="0" fontId="16" fillId="4" borderId="0" xfId="15" applyNumberFormat="1" applyFont="1" applyFill="1" applyBorder="1" applyAlignment="1">
      <alignment horizontal="right"/>
    </xf>
    <xf numFmtId="0" fontId="41" fillId="4" borderId="0" xfId="0" applyFont="1" applyFill="1" applyAlignment="1">
      <alignment horizontal="center"/>
    </xf>
    <xf numFmtId="15" fontId="36" fillId="9" borderId="0" xfId="0" applyNumberFormat="1" applyFont="1" applyFill="1" applyAlignment="1">
      <alignment horizontal="center"/>
    </xf>
    <xf numFmtId="0" fontId="68" fillId="4" borderId="0" xfId="0" applyFont="1" applyFill="1" applyAlignment="1">
      <alignment horizontal="left" vertical="top" wrapText="1"/>
    </xf>
    <xf numFmtId="43" fontId="27" fillId="6" borderId="4" xfId="4" applyFont="1" applyFill="1" applyBorder="1" applyAlignment="1">
      <alignment horizontal="center" vertical="center" textRotation="90" wrapText="1"/>
    </xf>
    <xf numFmtId="43" fontId="27" fillId="6" borderId="3" xfId="4" applyFont="1" applyFill="1" applyBorder="1" applyAlignment="1">
      <alignment horizontal="center" vertical="center" textRotation="90" wrapText="1"/>
    </xf>
    <xf numFmtId="43" fontId="27" fillId="10" borderId="4" xfId="4" applyFont="1" applyFill="1" applyBorder="1" applyAlignment="1">
      <alignment horizontal="center" vertical="center" textRotation="90" wrapText="1"/>
    </xf>
    <xf numFmtId="43" fontId="27" fillId="10" borderId="3" xfId="4" applyFont="1" applyFill="1" applyBorder="1" applyAlignment="1">
      <alignment horizontal="center" vertical="center" textRotation="90" wrapText="1"/>
    </xf>
    <xf numFmtId="43" fontId="27" fillId="6" borderId="4" xfId="4" applyFont="1" applyFill="1" applyBorder="1" applyAlignment="1">
      <alignment horizontal="center" vertical="center" textRotation="90"/>
    </xf>
    <xf numFmtId="43" fontId="27" fillId="6" borderId="3" xfId="4" applyFont="1" applyFill="1" applyBorder="1" applyAlignment="1">
      <alignment horizontal="center" vertical="center" textRotation="90"/>
    </xf>
    <xf numFmtId="43" fontId="27" fillId="6" borderId="5" xfId="4" applyFont="1" applyFill="1" applyBorder="1" applyAlignment="1">
      <alignment horizontal="center" vertical="center" textRotation="90" wrapText="1"/>
    </xf>
    <xf numFmtId="43" fontId="42" fillId="6" borderId="4" xfId="4" applyFont="1" applyFill="1" applyBorder="1" applyAlignment="1">
      <alignment horizontal="center" vertical="center" textRotation="90" wrapText="1"/>
    </xf>
    <xf numFmtId="43" fontId="42" fillId="6" borderId="3" xfId="4" applyFont="1" applyFill="1" applyBorder="1" applyAlignment="1">
      <alignment horizontal="center" vertical="center" textRotation="90" wrapText="1"/>
    </xf>
    <xf numFmtId="179" fontId="27" fillId="6" borderId="4" xfId="4" applyNumberFormat="1" applyFont="1" applyFill="1" applyBorder="1" applyAlignment="1">
      <alignment horizontal="center" vertical="center" wrapText="1"/>
    </xf>
    <xf numFmtId="179" fontId="27" fillId="6" borderId="5" xfId="4" applyNumberFormat="1" applyFont="1" applyFill="1" applyBorder="1" applyAlignment="1">
      <alignment horizontal="center" vertical="center" wrapText="1"/>
    </xf>
    <xf numFmtId="179" fontId="27" fillId="6" borderId="3" xfId="4" applyNumberFormat="1" applyFont="1" applyFill="1" applyBorder="1" applyAlignment="1">
      <alignment horizontal="center" vertical="center" wrapText="1"/>
    </xf>
    <xf numFmtId="43" fontId="27" fillId="6" borderId="8" xfId="4" applyFont="1" applyFill="1" applyBorder="1" applyAlignment="1">
      <alignment horizontal="center" vertical="center" wrapText="1"/>
    </xf>
    <xf numFmtId="43" fontId="27" fillId="6" borderId="9" xfId="4" applyFont="1" applyFill="1" applyBorder="1" applyAlignment="1">
      <alignment horizontal="center" vertical="center" wrapText="1"/>
    </xf>
    <xf numFmtId="43" fontId="27" fillId="6" borderId="10" xfId="4" applyFont="1" applyFill="1" applyBorder="1" applyAlignment="1">
      <alignment horizontal="center" vertical="center" wrapText="1"/>
    </xf>
    <xf numFmtId="43" fontId="27" fillId="6" borderId="12" xfId="4" applyFont="1" applyFill="1" applyBorder="1" applyAlignment="1">
      <alignment horizontal="center" vertical="center" textRotation="90" wrapText="1"/>
    </xf>
    <xf numFmtId="43" fontId="27" fillId="6" borderId="13" xfId="4" applyFont="1" applyFill="1" applyBorder="1" applyAlignment="1">
      <alignment horizontal="center" vertical="center" textRotation="90" wrapText="1"/>
    </xf>
    <xf numFmtId="3" fontId="42" fillId="6" borderId="4" xfId="0" applyNumberFormat="1" applyFont="1" applyFill="1" applyBorder="1" applyAlignment="1">
      <alignment horizontal="center" vertical="center" textRotation="90" wrapText="1"/>
    </xf>
    <xf numFmtId="0" fontId="42" fillId="6" borderId="3" xfId="0" applyFont="1" applyFill="1" applyBorder="1" applyAlignment="1">
      <alignment horizontal="center" vertical="center" textRotation="90" wrapText="1"/>
    </xf>
    <xf numFmtId="175" fontId="42" fillId="6" borderId="12" xfId="4" applyNumberFormat="1" applyFont="1" applyFill="1" applyBorder="1" applyAlignment="1">
      <alignment horizontal="center" vertical="center" textRotation="90" wrapText="1"/>
    </xf>
    <xf numFmtId="175" fontId="42" fillId="6" borderId="13" xfId="4" applyNumberFormat="1" applyFont="1" applyFill="1" applyBorder="1" applyAlignment="1">
      <alignment horizontal="center" vertical="center" textRotation="90" wrapText="1"/>
    </xf>
    <xf numFmtId="175" fontId="42" fillId="6" borderId="4" xfId="4" applyNumberFormat="1" applyFont="1" applyFill="1" applyBorder="1" applyAlignment="1">
      <alignment horizontal="center" vertical="center" textRotation="90" wrapText="1"/>
    </xf>
    <xf numFmtId="175" fontId="42" fillId="6" borderId="3" xfId="4" applyNumberFormat="1" applyFont="1" applyFill="1" applyBorder="1" applyAlignment="1">
      <alignment horizontal="center" vertical="center" textRotation="90" wrapText="1"/>
    </xf>
    <xf numFmtId="175" fontId="42" fillId="6" borderId="5" xfId="4" applyNumberFormat="1" applyFont="1" applyFill="1" applyBorder="1" applyAlignment="1">
      <alignment horizontal="center" vertical="center" textRotation="90" wrapText="1"/>
    </xf>
    <xf numFmtId="0" fontId="27" fillId="6" borderId="4" xfId="0" applyNumberFormat="1" applyFont="1" applyFill="1" applyBorder="1" applyAlignment="1">
      <alignment horizontal="center" vertical="center" wrapText="1"/>
    </xf>
    <xf numFmtId="0" fontId="27" fillId="6" borderId="5" xfId="0" applyNumberFormat="1" applyFont="1" applyFill="1" applyBorder="1" applyAlignment="1">
      <alignment horizontal="center" vertical="center" wrapText="1"/>
    </xf>
    <xf numFmtId="0" fontId="27" fillId="6" borderId="3" xfId="0" applyNumberFormat="1" applyFont="1" applyFill="1" applyBorder="1" applyAlignment="1">
      <alignment horizontal="center" vertical="center" wrapText="1"/>
    </xf>
    <xf numFmtId="3" fontId="27" fillId="6" borderId="4" xfId="0" applyNumberFormat="1" applyFont="1" applyFill="1" applyBorder="1" applyAlignment="1">
      <alignment horizontal="center" vertical="center" wrapText="1"/>
    </xf>
    <xf numFmtId="3" fontId="27" fillId="6" borderId="5" xfId="0" applyNumberFormat="1" applyFont="1" applyFill="1" applyBorder="1" applyAlignment="1">
      <alignment horizontal="center" vertical="center" wrapText="1"/>
    </xf>
    <xf numFmtId="3" fontId="27" fillId="6" borderId="3" xfId="0" applyNumberFormat="1" applyFont="1" applyFill="1" applyBorder="1" applyAlignment="1">
      <alignment horizontal="center" vertical="center" wrapText="1"/>
    </xf>
    <xf numFmtId="175" fontId="27" fillId="6" borderId="4" xfId="4" applyNumberFormat="1" applyFont="1" applyFill="1" applyBorder="1" applyAlignment="1">
      <alignment horizontal="center" vertical="center" textRotation="90" wrapText="1"/>
    </xf>
    <xf numFmtId="175" fontId="27" fillId="6" borderId="5" xfId="4" applyNumberFormat="1" applyFont="1" applyFill="1" applyBorder="1" applyAlignment="1">
      <alignment horizontal="center" vertical="center" textRotation="90" wrapText="1"/>
    </xf>
    <xf numFmtId="175" fontId="27" fillId="6" borderId="3" xfId="4" applyNumberFormat="1" applyFont="1" applyFill="1" applyBorder="1" applyAlignment="1">
      <alignment horizontal="center" vertical="center" textRotation="90" wrapText="1"/>
    </xf>
    <xf numFmtId="3" fontId="27" fillId="6" borderId="4" xfId="0" applyNumberFormat="1" applyFont="1" applyFill="1" applyBorder="1" applyAlignment="1">
      <alignment horizontal="center" vertical="center" textRotation="90" wrapText="1"/>
    </xf>
    <xf numFmtId="3" fontId="27" fillId="6" borderId="3" xfId="0" applyNumberFormat="1" applyFont="1" applyFill="1" applyBorder="1" applyAlignment="1">
      <alignment horizontal="center" vertical="center" textRotation="90" wrapText="1"/>
    </xf>
    <xf numFmtId="4" fontId="27" fillId="6" borderId="4" xfId="0" applyNumberFormat="1" applyFont="1" applyFill="1" applyBorder="1" applyAlignment="1">
      <alignment horizontal="center" vertical="center" textRotation="90" wrapText="1"/>
    </xf>
    <xf numFmtId="4" fontId="27" fillId="6" borderId="5" xfId="0" applyNumberFormat="1" applyFont="1" applyFill="1" applyBorder="1" applyAlignment="1">
      <alignment horizontal="center" vertical="center" textRotation="90" wrapText="1"/>
    </xf>
    <xf numFmtId="4" fontId="27" fillId="6" borderId="3" xfId="0" applyNumberFormat="1" applyFont="1" applyFill="1" applyBorder="1" applyAlignment="1">
      <alignment horizontal="center" vertical="center" textRotation="90" wrapText="1"/>
    </xf>
    <xf numFmtId="175" fontId="27" fillId="6" borderId="4" xfId="4" applyNumberFormat="1" applyFont="1" applyFill="1" applyBorder="1" applyAlignment="1">
      <alignment horizontal="center" vertical="center" wrapText="1"/>
    </xf>
    <xf numFmtId="175" fontId="27" fillId="6" borderId="5" xfId="4" applyNumberFormat="1" applyFont="1" applyFill="1" applyBorder="1" applyAlignment="1">
      <alignment horizontal="center" vertical="center" wrapText="1"/>
    </xf>
    <xf numFmtId="175" fontId="27" fillId="6" borderId="3" xfId="4" applyNumberFormat="1" applyFont="1" applyFill="1" applyBorder="1" applyAlignment="1">
      <alignment horizontal="center" vertical="center" wrapText="1"/>
    </xf>
    <xf numFmtId="0" fontId="27" fillId="6" borderId="4" xfId="0" applyFont="1" applyFill="1" applyBorder="1" applyAlignment="1">
      <alignment horizontal="center" vertical="center" wrapText="1"/>
    </xf>
    <xf numFmtId="0" fontId="27" fillId="6" borderId="5" xfId="0" applyFont="1" applyFill="1" applyBorder="1" applyAlignment="1">
      <alignment horizontal="center" vertical="center" wrapText="1"/>
    </xf>
    <xf numFmtId="0" fontId="27" fillId="6" borderId="3" xfId="0" applyFont="1" applyFill="1" applyBorder="1" applyAlignment="1">
      <alignment horizontal="center" vertical="center" wrapText="1"/>
    </xf>
    <xf numFmtId="3" fontId="27" fillId="6" borderId="5" xfId="0" applyNumberFormat="1" applyFont="1" applyFill="1" applyBorder="1" applyAlignment="1">
      <alignment horizontal="center" vertical="center" textRotation="90" wrapText="1"/>
    </xf>
    <xf numFmtId="4" fontId="27" fillId="6" borderId="4" xfId="0" applyNumberFormat="1" applyFont="1" applyFill="1" applyBorder="1" applyAlignment="1">
      <alignment horizontal="center" vertical="center" wrapText="1"/>
    </xf>
    <xf numFmtId="4" fontId="27" fillId="6" borderId="3" xfId="0" applyNumberFormat="1" applyFont="1" applyFill="1" applyBorder="1" applyAlignment="1">
      <alignment horizontal="center" vertical="center" wrapText="1"/>
    </xf>
    <xf numFmtId="10" fontId="27" fillId="6" borderId="14" xfId="12" applyNumberFormat="1" applyFont="1" applyFill="1" applyBorder="1" applyAlignment="1">
      <alignment horizontal="center" vertical="center" wrapText="1"/>
    </xf>
    <xf numFmtId="0" fontId="27" fillId="6" borderId="17" xfId="0" applyFont="1" applyFill="1" applyBorder="1" applyAlignment="1">
      <alignment horizontal="center" vertical="center"/>
    </xf>
    <xf numFmtId="0" fontId="27" fillId="6" borderId="6" xfId="0" applyFont="1" applyFill="1" applyBorder="1" applyAlignment="1">
      <alignment horizontal="center" vertical="center"/>
    </xf>
    <xf numFmtId="0" fontId="27" fillId="6" borderId="7" xfId="0" applyFont="1" applyFill="1" applyBorder="1" applyAlignment="1">
      <alignment horizontal="center" vertical="center"/>
    </xf>
    <xf numFmtId="10" fontId="27" fillId="6" borderId="4" xfId="12" applyNumberFormat="1" applyFont="1" applyFill="1" applyBorder="1" applyAlignment="1">
      <alignment horizontal="center" vertical="center" wrapText="1"/>
    </xf>
    <xf numFmtId="0" fontId="27" fillId="6" borderId="17" xfId="0" applyFont="1" applyFill="1" applyBorder="1" applyAlignment="1">
      <alignment horizontal="center" vertical="center" wrapText="1"/>
    </xf>
    <xf numFmtId="0" fontId="27" fillId="6" borderId="6" xfId="0" applyFont="1" applyFill="1" applyBorder="1" applyAlignment="1">
      <alignment horizontal="center" vertical="center" wrapText="1"/>
    </xf>
    <xf numFmtId="0" fontId="27" fillId="6" borderId="7" xfId="0" applyFont="1" applyFill="1" applyBorder="1" applyAlignment="1">
      <alignment horizontal="center" vertical="center" wrapText="1"/>
    </xf>
    <xf numFmtId="0" fontId="27" fillId="6" borderId="12" xfId="0" applyFont="1" applyFill="1" applyBorder="1" applyAlignment="1">
      <alignment horizontal="center" vertical="center" wrapText="1"/>
    </xf>
    <xf numFmtId="0" fontId="27" fillId="6" borderId="13" xfId="0" applyFont="1" applyFill="1" applyBorder="1" applyAlignment="1">
      <alignment horizontal="center" vertical="center" wrapText="1"/>
    </xf>
    <xf numFmtId="0" fontId="27" fillId="6" borderId="8" xfId="0" applyFont="1" applyFill="1" applyBorder="1" applyAlignment="1">
      <alignment horizontal="center" vertical="center" wrapText="1"/>
    </xf>
    <xf numFmtId="0" fontId="27" fillId="6" borderId="10" xfId="0" applyFont="1" applyFill="1" applyBorder="1" applyAlignment="1">
      <alignment horizontal="center" vertical="center" wrapText="1"/>
    </xf>
    <xf numFmtId="0" fontId="27" fillId="6" borderId="17" xfId="0" applyFont="1" applyFill="1" applyBorder="1" applyAlignment="1">
      <alignment horizontal="center"/>
    </xf>
    <xf numFmtId="0" fontId="27" fillId="6" borderId="6" xfId="0" applyFont="1" applyFill="1" applyBorder="1" applyAlignment="1">
      <alignment horizontal="center"/>
    </xf>
    <xf numFmtId="0" fontId="27" fillId="6" borderId="7" xfId="0" applyFont="1" applyFill="1" applyBorder="1" applyAlignment="1">
      <alignment horizontal="center"/>
    </xf>
    <xf numFmtId="43" fontId="27" fillId="6" borderId="4" xfId="4" applyFont="1" applyFill="1" applyBorder="1" applyAlignment="1">
      <alignment horizontal="center" vertical="center" wrapText="1"/>
    </xf>
    <xf numFmtId="43" fontId="27" fillId="6" borderId="3" xfId="4" applyFont="1" applyFill="1" applyBorder="1" applyAlignment="1">
      <alignment horizontal="center" vertical="center" wrapText="1"/>
    </xf>
    <xf numFmtId="0" fontId="27" fillId="6" borderId="14" xfId="0" applyFont="1" applyFill="1" applyBorder="1" applyAlignment="1">
      <alignment horizontal="center" vertical="center" wrapText="1"/>
    </xf>
    <xf numFmtId="175" fontId="27" fillId="33" borderId="8" xfId="4" applyNumberFormat="1" applyFont="1" applyFill="1" applyBorder="1" applyAlignment="1">
      <alignment horizontal="center" vertical="center" wrapText="1"/>
    </xf>
    <xf numFmtId="175" fontId="27" fillId="33" borderId="12" xfId="4" applyNumberFormat="1" applyFont="1" applyFill="1" applyBorder="1" applyAlignment="1">
      <alignment horizontal="center" vertical="center" wrapText="1"/>
    </xf>
    <xf numFmtId="43" fontId="27" fillId="6" borderId="5" xfId="4" applyFont="1" applyFill="1" applyBorder="1" applyAlignment="1">
      <alignment horizontal="center" vertical="center" wrapText="1"/>
    </xf>
    <xf numFmtId="0" fontId="27" fillId="6" borderId="11" xfId="0" applyFont="1" applyFill="1" applyBorder="1" applyAlignment="1">
      <alignment horizontal="center" vertical="center" wrapText="1"/>
    </xf>
    <xf numFmtId="0" fontId="27" fillId="6" borderId="9" xfId="0" applyFont="1" applyFill="1" applyBorder="1" applyAlignment="1">
      <alignment horizontal="center" vertical="center" wrapText="1"/>
    </xf>
    <xf numFmtId="0" fontId="17" fillId="3" borderId="17" xfId="11" applyFont="1" applyFill="1" applyBorder="1" applyAlignment="1">
      <alignment horizontal="center"/>
    </xf>
    <xf numFmtId="0" fontId="17" fillId="3" borderId="6" xfId="11" applyFont="1" applyFill="1" applyBorder="1" applyAlignment="1">
      <alignment horizontal="center"/>
    </xf>
    <xf numFmtId="0" fontId="17" fillId="3" borderId="7" xfId="11" applyFont="1" applyFill="1" applyBorder="1" applyAlignment="1">
      <alignment horizontal="center"/>
    </xf>
    <xf numFmtId="0" fontId="27" fillId="6" borderId="4" xfId="15" applyFont="1" applyFill="1" applyBorder="1" applyAlignment="1">
      <alignment horizontal="center" vertical="center" wrapText="1"/>
    </xf>
    <xf numFmtId="0" fontId="27" fillId="6" borderId="3" xfId="15" applyFont="1" applyFill="1" applyBorder="1" applyAlignment="1">
      <alignment horizontal="center" vertical="center" wrapText="1"/>
    </xf>
    <xf numFmtId="0" fontId="27" fillId="6" borderId="8" xfId="15" applyFont="1" applyFill="1" applyBorder="1" applyAlignment="1">
      <alignment horizontal="center" vertical="center" wrapText="1"/>
    </xf>
    <xf numFmtId="0" fontId="27" fillId="6" borderId="10" xfId="15" applyFont="1" applyFill="1" applyBorder="1" applyAlignment="1">
      <alignment horizontal="center" vertical="center" wrapText="1"/>
    </xf>
    <xf numFmtId="167" fontId="27" fillId="10" borderId="4" xfId="12" applyNumberFormat="1" applyFont="1" applyFill="1" applyBorder="1" applyAlignment="1">
      <alignment horizontal="center" vertical="center" wrapText="1"/>
    </xf>
    <xf numFmtId="167" fontId="27" fillId="10" borderId="3" xfId="12" applyNumberFormat="1" applyFont="1" applyFill="1" applyBorder="1" applyAlignment="1">
      <alignment horizontal="center" vertical="center" wrapText="1"/>
    </xf>
    <xf numFmtId="167" fontId="27" fillId="6" borderId="4" xfId="12" applyNumberFormat="1" applyFont="1" applyFill="1" applyBorder="1" applyAlignment="1">
      <alignment horizontal="center" vertical="center" wrapText="1"/>
    </xf>
    <xf numFmtId="167" fontId="27" fillId="6" borderId="3" xfId="12" applyNumberFormat="1" applyFont="1" applyFill="1" applyBorder="1" applyAlignment="1">
      <alignment horizontal="center" vertical="center" wrapText="1"/>
    </xf>
    <xf numFmtId="167" fontId="27" fillId="6" borderId="12" xfId="12" applyNumberFormat="1" applyFont="1" applyFill="1" applyBorder="1" applyAlignment="1">
      <alignment horizontal="center" vertical="center" wrapText="1"/>
    </xf>
    <xf numFmtId="167" fontId="27" fillId="6" borderId="13" xfId="12" applyNumberFormat="1" applyFont="1" applyFill="1" applyBorder="1" applyAlignment="1">
      <alignment horizontal="center" vertical="center" wrapText="1"/>
    </xf>
    <xf numFmtId="1" fontId="28" fillId="4" borderId="0" xfId="11" applyNumberFormat="1" applyFont="1" applyFill="1" applyAlignment="1">
      <alignment horizontal="left" vertical="center"/>
    </xf>
    <xf numFmtId="0" fontId="28" fillId="4" borderId="0" xfId="0" applyFont="1" applyFill="1" applyAlignment="1">
      <alignment vertical="center"/>
    </xf>
    <xf numFmtId="167" fontId="27" fillId="6" borderId="5" xfId="12" applyNumberFormat="1" applyFont="1" applyFill="1" applyBorder="1" applyAlignment="1">
      <alignment horizontal="center" vertical="center" wrapText="1"/>
    </xf>
    <xf numFmtId="167" fontId="27" fillId="6" borderId="15" xfId="12" applyNumberFormat="1" applyFont="1" applyFill="1" applyBorder="1" applyAlignment="1">
      <alignment horizontal="center" vertical="center" wrapText="1"/>
    </xf>
    <xf numFmtId="1" fontId="69" fillId="4" borderId="0" xfId="11" applyNumberFormat="1" applyFont="1" applyFill="1" applyAlignment="1">
      <alignment horizontal="left" vertical="center"/>
    </xf>
    <xf numFmtId="0" fontId="69" fillId="4" borderId="0" xfId="0" applyFont="1" applyFill="1" applyAlignment="1">
      <alignment vertical="center"/>
    </xf>
    <xf numFmtId="167" fontId="27" fillId="6" borderId="8" xfId="12" applyNumberFormat="1" applyFont="1" applyFill="1" applyBorder="1" applyAlignment="1">
      <alignment horizontal="center" vertical="center" wrapText="1"/>
    </xf>
  </cellXfs>
  <cellStyles count="668">
    <cellStyle name="20 % - Accent1 2" xfId="349" xr:uid="{00000000-0005-0000-0000-000000000000}"/>
    <cellStyle name="20 % - Accent2 2" xfId="350" xr:uid="{00000000-0005-0000-0000-000001000000}"/>
    <cellStyle name="20 % - Accent3 2" xfId="351" xr:uid="{00000000-0005-0000-0000-000002000000}"/>
    <cellStyle name="20 % - Accent4 2" xfId="352" xr:uid="{00000000-0005-0000-0000-000003000000}"/>
    <cellStyle name="20 % - Accent5 2" xfId="353" xr:uid="{00000000-0005-0000-0000-000004000000}"/>
    <cellStyle name="20 % - Accent6 2" xfId="354" xr:uid="{00000000-0005-0000-0000-000005000000}"/>
    <cellStyle name="40 % - Accent1 2" xfId="355" xr:uid="{00000000-0005-0000-0000-000006000000}"/>
    <cellStyle name="40 % - Accent2 2" xfId="356" xr:uid="{00000000-0005-0000-0000-000007000000}"/>
    <cellStyle name="40 % - Accent3 2" xfId="357" xr:uid="{00000000-0005-0000-0000-000008000000}"/>
    <cellStyle name="40 % - Accent4 2" xfId="358" xr:uid="{00000000-0005-0000-0000-000009000000}"/>
    <cellStyle name="40 % - Accent5 2" xfId="359" xr:uid="{00000000-0005-0000-0000-00000A000000}"/>
    <cellStyle name="40 % - Accent6 2" xfId="360" xr:uid="{00000000-0005-0000-0000-00000B000000}"/>
    <cellStyle name="60 % - Accent1 2" xfId="361" xr:uid="{00000000-0005-0000-0000-00000C000000}"/>
    <cellStyle name="60 % - Accent2 2" xfId="362" xr:uid="{00000000-0005-0000-0000-00000D000000}"/>
    <cellStyle name="60 % - Accent3 2" xfId="363" xr:uid="{00000000-0005-0000-0000-00000E000000}"/>
    <cellStyle name="60 % - Accent4 2" xfId="364" xr:uid="{00000000-0005-0000-0000-00000F000000}"/>
    <cellStyle name="60 % - Accent5 2" xfId="365" xr:uid="{00000000-0005-0000-0000-000010000000}"/>
    <cellStyle name="60 % - Accent6 2" xfId="366" xr:uid="{00000000-0005-0000-0000-000011000000}"/>
    <cellStyle name="Accent1 2" xfId="367" xr:uid="{00000000-0005-0000-0000-000012000000}"/>
    <cellStyle name="Accent2 2" xfId="368" xr:uid="{00000000-0005-0000-0000-000013000000}"/>
    <cellStyle name="Accent3 2" xfId="369" xr:uid="{00000000-0005-0000-0000-000014000000}"/>
    <cellStyle name="Accent4 2" xfId="370" xr:uid="{00000000-0005-0000-0000-000015000000}"/>
    <cellStyle name="Accent5 2" xfId="371" xr:uid="{00000000-0005-0000-0000-000016000000}"/>
    <cellStyle name="Accent6 2" xfId="372" xr:uid="{00000000-0005-0000-0000-000017000000}"/>
    <cellStyle name="Avertissement 2" xfId="373" xr:uid="{00000000-0005-0000-0000-000018000000}"/>
    <cellStyle name="Calcul 2" xfId="374" xr:uid="{00000000-0005-0000-0000-000019000000}"/>
    <cellStyle name="Cellule liée 2" xfId="375" xr:uid="{00000000-0005-0000-0000-00001A000000}"/>
    <cellStyle name="cexColumnHeadings" xfId="1" xr:uid="{00000000-0005-0000-0000-00001B000000}"/>
    <cellStyle name="cexColumnHeadings 2" xfId="393" xr:uid="{00000000-0005-0000-0000-00001C000000}"/>
    <cellStyle name="cexReportTitle" xfId="2" xr:uid="{00000000-0005-0000-0000-00001D000000}"/>
    <cellStyle name="cexTableEntry" xfId="3" xr:uid="{00000000-0005-0000-0000-00001E000000}"/>
    <cellStyle name="cexTableEntry 2" xfId="394" xr:uid="{00000000-0005-0000-0000-00001F000000}"/>
    <cellStyle name="Entrée 2" xfId="376" xr:uid="{00000000-0005-0000-0000-000020000000}"/>
    <cellStyle name="Insatisfaisant 2" xfId="377" xr:uid="{00000000-0005-0000-0000-000021000000}"/>
    <cellStyle name="Milliers" xfId="4" builtinId="3"/>
    <cellStyle name="Milliers 2" xfId="5" xr:uid="{00000000-0005-0000-0000-000023000000}"/>
    <cellStyle name="Milliers 3" xfId="6" xr:uid="{00000000-0005-0000-0000-000024000000}"/>
    <cellStyle name="Milliers 3 10" xfId="139" xr:uid="{00000000-0005-0000-0000-000025000000}"/>
    <cellStyle name="Milliers 3 10 2" xfId="395" xr:uid="{00000000-0005-0000-0000-000026000000}"/>
    <cellStyle name="Milliers 3 10 3" xfId="615" xr:uid="{00000000-0005-0000-0000-000027000000}"/>
    <cellStyle name="Milliers 3 11" xfId="156" xr:uid="{00000000-0005-0000-0000-000028000000}"/>
    <cellStyle name="Milliers 3 11 2" xfId="424" xr:uid="{00000000-0005-0000-0000-000029000000}"/>
    <cellStyle name="Milliers 3 11 3" xfId="644" xr:uid="{00000000-0005-0000-0000-00002A000000}"/>
    <cellStyle name="Milliers 3 12" xfId="173" xr:uid="{00000000-0005-0000-0000-00002B000000}"/>
    <cellStyle name="Milliers 3 13" xfId="448" xr:uid="{00000000-0005-0000-0000-00002C000000}"/>
    <cellStyle name="Milliers 3 2" xfId="16" xr:uid="{00000000-0005-0000-0000-00002D000000}"/>
    <cellStyle name="Milliers 3 2 10" xfId="158" xr:uid="{00000000-0005-0000-0000-00002E000000}"/>
    <cellStyle name="Milliers 3 2 10 2" xfId="426" xr:uid="{00000000-0005-0000-0000-00002F000000}"/>
    <cellStyle name="Milliers 3 2 10 3" xfId="646" xr:uid="{00000000-0005-0000-0000-000030000000}"/>
    <cellStyle name="Milliers 3 2 11" xfId="175" xr:uid="{00000000-0005-0000-0000-000031000000}"/>
    <cellStyle name="Milliers 3 2 12" xfId="450" xr:uid="{00000000-0005-0000-0000-000032000000}"/>
    <cellStyle name="Milliers 3 2 2" xfId="19" xr:uid="{00000000-0005-0000-0000-000033000000}"/>
    <cellStyle name="Milliers 3 2 2 10" xfId="452" xr:uid="{00000000-0005-0000-0000-000034000000}"/>
    <cellStyle name="Milliers 3 2 2 2" xfId="35" xr:uid="{00000000-0005-0000-0000-000035000000}"/>
    <cellStyle name="Milliers 3 2 2 2 2" xfId="59" xr:uid="{00000000-0005-0000-0000-000036000000}"/>
    <cellStyle name="Milliers 3 2 2 2 2 2" xfId="310" xr:uid="{00000000-0005-0000-0000-000037000000}"/>
    <cellStyle name="Milliers 3 2 2 2 2 2 2" xfId="576" xr:uid="{00000000-0005-0000-0000-000038000000}"/>
    <cellStyle name="Milliers 3 2 2 2 2 3" xfId="219" xr:uid="{00000000-0005-0000-0000-000039000000}"/>
    <cellStyle name="Milliers 3 2 2 2 2 4" xfId="493" xr:uid="{00000000-0005-0000-0000-00003A000000}"/>
    <cellStyle name="Milliers 3 2 2 2 3" xfId="88" xr:uid="{00000000-0005-0000-0000-00003B000000}"/>
    <cellStyle name="Milliers 3 2 2 2 3 2" xfId="339" xr:uid="{00000000-0005-0000-0000-00003C000000}"/>
    <cellStyle name="Milliers 3 2 2 2 3 2 2" xfId="605" xr:uid="{00000000-0005-0000-0000-00003D000000}"/>
    <cellStyle name="Milliers 3 2 2 2 3 3" xfId="248" xr:uid="{00000000-0005-0000-0000-00003E000000}"/>
    <cellStyle name="Milliers 3 2 2 2 3 4" xfId="522" xr:uid="{00000000-0005-0000-0000-00003F000000}"/>
    <cellStyle name="Milliers 3 2 2 2 4" xfId="111" xr:uid="{00000000-0005-0000-0000-000040000000}"/>
    <cellStyle name="Milliers 3 2 2 2 4 2" xfId="283" xr:uid="{00000000-0005-0000-0000-000041000000}"/>
    <cellStyle name="Milliers 3 2 2 2 4 3" xfId="549" xr:uid="{00000000-0005-0000-0000-000042000000}"/>
    <cellStyle name="Milliers 3 2 2 2 5" xfId="416" xr:uid="{00000000-0005-0000-0000-000043000000}"/>
    <cellStyle name="Milliers 3 2 2 2 5 2" xfId="636" xr:uid="{00000000-0005-0000-0000-000044000000}"/>
    <cellStyle name="Milliers 3 2 2 2 6" xfId="442" xr:uid="{00000000-0005-0000-0000-000045000000}"/>
    <cellStyle name="Milliers 3 2 2 2 6 2" xfId="662" xr:uid="{00000000-0005-0000-0000-000046000000}"/>
    <cellStyle name="Milliers 3 2 2 2 7" xfId="191" xr:uid="{00000000-0005-0000-0000-000047000000}"/>
    <cellStyle name="Milliers 3 2 2 2 8" xfId="466" xr:uid="{00000000-0005-0000-0000-000048000000}"/>
    <cellStyle name="Milliers 3 2 2 3" xfId="45" xr:uid="{00000000-0005-0000-0000-000049000000}"/>
    <cellStyle name="Milliers 3 2 2 3 2" xfId="293" xr:uid="{00000000-0005-0000-0000-00004A000000}"/>
    <cellStyle name="Milliers 3 2 2 3 2 2" xfId="559" xr:uid="{00000000-0005-0000-0000-00004B000000}"/>
    <cellStyle name="Milliers 3 2 2 3 3" xfId="201" xr:uid="{00000000-0005-0000-0000-00004C000000}"/>
    <cellStyle name="Milliers 3 2 2 3 4" xfId="476" xr:uid="{00000000-0005-0000-0000-00004D000000}"/>
    <cellStyle name="Milliers 3 2 2 4" xfId="71" xr:uid="{00000000-0005-0000-0000-00004E000000}"/>
    <cellStyle name="Milliers 3 2 2 4 2" xfId="322" xr:uid="{00000000-0005-0000-0000-00004F000000}"/>
    <cellStyle name="Milliers 3 2 2 4 2 2" xfId="588" xr:uid="{00000000-0005-0000-0000-000050000000}"/>
    <cellStyle name="Milliers 3 2 2 4 3" xfId="231" xr:uid="{00000000-0005-0000-0000-000051000000}"/>
    <cellStyle name="Milliers 3 2 2 4 4" xfId="505" xr:uid="{00000000-0005-0000-0000-000052000000}"/>
    <cellStyle name="Milliers 3 2 2 5" xfId="97" xr:uid="{00000000-0005-0000-0000-000053000000}"/>
    <cellStyle name="Milliers 3 2 2 5 2" xfId="268" xr:uid="{00000000-0005-0000-0000-000054000000}"/>
    <cellStyle name="Milliers 3 2 2 5 3" xfId="535" xr:uid="{00000000-0005-0000-0000-000055000000}"/>
    <cellStyle name="Milliers 3 2 2 6" xfId="124" xr:uid="{00000000-0005-0000-0000-000056000000}"/>
    <cellStyle name="Milliers 3 2 2 6 2" xfId="399" xr:uid="{00000000-0005-0000-0000-000057000000}"/>
    <cellStyle name="Milliers 3 2 2 6 3" xfId="619" xr:uid="{00000000-0005-0000-0000-000058000000}"/>
    <cellStyle name="Milliers 3 2 2 7" xfId="143" xr:uid="{00000000-0005-0000-0000-000059000000}"/>
    <cellStyle name="Milliers 3 2 2 7 2" xfId="428" xr:uid="{00000000-0005-0000-0000-00005A000000}"/>
    <cellStyle name="Milliers 3 2 2 7 3" xfId="648" xr:uid="{00000000-0005-0000-0000-00005B000000}"/>
    <cellStyle name="Milliers 3 2 2 8" xfId="160" xr:uid="{00000000-0005-0000-0000-00005C000000}"/>
    <cellStyle name="Milliers 3 2 2 9" xfId="177" xr:uid="{00000000-0005-0000-0000-00005D000000}"/>
    <cellStyle name="Milliers 3 2 3" xfId="20" xr:uid="{00000000-0005-0000-0000-00005E000000}"/>
    <cellStyle name="Milliers 3 2 3 10" xfId="453" xr:uid="{00000000-0005-0000-0000-00005F000000}"/>
    <cellStyle name="Milliers 3 2 3 2" xfId="39" xr:uid="{00000000-0005-0000-0000-000060000000}"/>
    <cellStyle name="Milliers 3 2 3 2 2" xfId="63" xr:uid="{00000000-0005-0000-0000-000061000000}"/>
    <cellStyle name="Milliers 3 2 3 2 2 2" xfId="311" xr:uid="{00000000-0005-0000-0000-000062000000}"/>
    <cellStyle name="Milliers 3 2 3 2 2 2 2" xfId="577" xr:uid="{00000000-0005-0000-0000-000063000000}"/>
    <cellStyle name="Milliers 3 2 3 2 2 3" xfId="220" xr:uid="{00000000-0005-0000-0000-000064000000}"/>
    <cellStyle name="Milliers 3 2 3 2 2 4" xfId="494" xr:uid="{00000000-0005-0000-0000-000065000000}"/>
    <cellStyle name="Milliers 3 2 3 2 3" xfId="91" xr:uid="{00000000-0005-0000-0000-000066000000}"/>
    <cellStyle name="Milliers 3 2 3 2 3 2" xfId="340" xr:uid="{00000000-0005-0000-0000-000067000000}"/>
    <cellStyle name="Milliers 3 2 3 2 3 2 2" xfId="606" xr:uid="{00000000-0005-0000-0000-000068000000}"/>
    <cellStyle name="Milliers 3 2 3 2 3 3" xfId="249" xr:uid="{00000000-0005-0000-0000-000069000000}"/>
    <cellStyle name="Milliers 3 2 3 2 3 4" xfId="523" xr:uid="{00000000-0005-0000-0000-00006A000000}"/>
    <cellStyle name="Milliers 3 2 3 2 4" xfId="115" xr:uid="{00000000-0005-0000-0000-00006B000000}"/>
    <cellStyle name="Milliers 3 2 3 2 4 2" xfId="287" xr:uid="{00000000-0005-0000-0000-00006C000000}"/>
    <cellStyle name="Milliers 3 2 3 2 4 3" xfId="553" xr:uid="{00000000-0005-0000-0000-00006D000000}"/>
    <cellStyle name="Milliers 3 2 3 2 5" xfId="417" xr:uid="{00000000-0005-0000-0000-00006E000000}"/>
    <cellStyle name="Milliers 3 2 3 2 5 2" xfId="637" xr:uid="{00000000-0005-0000-0000-00006F000000}"/>
    <cellStyle name="Milliers 3 2 3 2 6" xfId="446" xr:uid="{00000000-0005-0000-0000-000070000000}"/>
    <cellStyle name="Milliers 3 2 3 2 6 2" xfId="666" xr:uid="{00000000-0005-0000-0000-000071000000}"/>
    <cellStyle name="Milliers 3 2 3 2 7" xfId="195" xr:uid="{00000000-0005-0000-0000-000072000000}"/>
    <cellStyle name="Milliers 3 2 3 2 8" xfId="470" xr:uid="{00000000-0005-0000-0000-000073000000}"/>
    <cellStyle name="Milliers 3 2 3 3" xfId="46" xr:uid="{00000000-0005-0000-0000-000074000000}"/>
    <cellStyle name="Milliers 3 2 3 3 2" xfId="294" xr:uid="{00000000-0005-0000-0000-000075000000}"/>
    <cellStyle name="Milliers 3 2 3 3 2 2" xfId="560" xr:uid="{00000000-0005-0000-0000-000076000000}"/>
    <cellStyle name="Milliers 3 2 3 3 3" xfId="202" xr:uid="{00000000-0005-0000-0000-000077000000}"/>
    <cellStyle name="Milliers 3 2 3 3 4" xfId="477" xr:uid="{00000000-0005-0000-0000-000078000000}"/>
    <cellStyle name="Milliers 3 2 3 4" xfId="72" xr:uid="{00000000-0005-0000-0000-000079000000}"/>
    <cellStyle name="Milliers 3 2 3 4 2" xfId="323" xr:uid="{00000000-0005-0000-0000-00007A000000}"/>
    <cellStyle name="Milliers 3 2 3 4 2 2" xfId="589" xr:uid="{00000000-0005-0000-0000-00007B000000}"/>
    <cellStyle name="Milliers 3 2 3 4 3" xfId="232" xr:uid="{00000000-0005-0000-0000-00007C000000}"/>
    <cellStyle name="Milliers 3 2 3 4 4" xfId="506" xr:uid="{00000000-0005-0000-0000-00007D000000}"/>
    <cellStyle name="Milliers 3 2 3 5" xfId="98" xr:uid="{00000000-0005-0000-0000-00007E000000}"/>
    <cellStyle name="Milliers 3 2 3 5 2" xfId="269" xr:uid="{00000000-0005-0000-0000-00007F000000}"/>
    <cellStyle name="Milliers 3 2 3 5 3" xfId="536" xr:uid="{00000000-0005-0000-0000-000080000000}"/>
    <cellStyle name="Milliers 3 2 3 6" xfId="125" xr:uid="{00000000-0005-0000-0000-000081000000}"/>
    <cellStyle name="Milliers 3 2 3 6 2" xfId="400" xr:uid="{00000000-0005-0000-0000-000082000000}"/>
    <cellStyle name="Milliers 3 2 3 6 3" xfId="620" xr:uid="{00000000-0005-0000-0000-000083000000}"/>
    <cellStyle name="Milliers 3 2 3 7" xfId="144" xr:uid="{00000000-0005-0000-0000-000084000000}"/>
    <cellStyle name="Milliers 3 2 3 7 2" xfId="429" xr:uid="{00000000-0005-0000-0000-000085000000}"/>
    <cellStyle name="Milliers 3 2 3 7 3" xfId="649" xr:uid="{00000000-0005-0000-0000-000086000000}"/>
    <cellStyle name="Milliers 3 2 3 8" xfId="161" xr:uid="{00000000-0005-0000-0000-000087000000}"/>
    <cellStyle name="Milliers 3 2 3 9" xfId="178" xr:uid="{00000000-0005-0000-0000-000088000000}"/>
    <cellStyle name="Milliers 3 2 4" xfId="31" xr:uid="{00000000-0005-0000-0000-000089000000}"/>
    <cellStyle name="Milliers 3 2 4 2" xfId="55" xr:uid="{00000000-0005-0000-0000-00008A000000}"/>
    <cellStyle name="Milliers 3 2 4 2 2" xfId="304" xr:uid="{00000000-0005-0000-0000-00008B000000}"/>
    <cellStyle name="Milliers 3 2 4 2 2 2" xfId="570" xr:uid="{00000000-0005-0000-0000-00008C000000}"/>
    <cellStyle name="Milliers 3 2 4 2 3" xfId="213" xr:uid="{00000000-0005-0000-0000-00008D000000}"/>
    <cellStyle name="Milliers 3 2 4 2 4" xfId="487" xr:uid="{00000000-0005-0000-0000-00008E000000}"/>
    <cellStyle name="Milliers 3 2 4 3" xfId="86" xr:uid="{00000000-0005-0000-0000-00008F000000}"/>
    <cellStyle name="Milliers 3 2 4 3 2" xfId="333" xr:uid="{00000000-0005-0000-0000-000090000000}"/>
    <cellStyle name="Milliers 3 2 4 3 2 2" xfId="599" xr:uid="{00000000-0005-0000-0000-000091000000}"/>
    <cellStyle name="Milliers 3 2 4 3 3" xfId="242" xr:uid="{00000000-0005-0000-0000-000092000000}"/>
    <cellStyle name="Milliers 3 2 4 3 4" xfId="516" xr:uid="{00000000-0005-0000-0000-000093000000}"/>
    <cellStyle name="Milliers 3 2 4 4" xfId="107" xr:uid="{00000000-0005-0000-0000-000094000000}"/>
    <cellStyle name="Milliers 3 2 4 4 2" xfId="279" xr:uid="{00000000-0005-0000-0000-000095000000}"/>
    <cellStyle name="Milliers 3 2 4 4 3" xfId="545" xr:uid="{00000000-0005-0000-0000-000096000000}"/>
    <cellStyle name="Milliers 3 2 4 5" xfId="135" xr:uid="{00000000-0005-0000-0000-000097000000}"/>
    <cellStyle name="Milliers 3 2 4 5 2" xfId="410" xr:uid="{00000000-0005-0000-0000-000098000000}"/>
    <cellStyle name="Milliers 3 2 4 5 3" xfId="630" xr:uid="{00000000-0005-0000-0000-000099000000}"/>
    <cellStyle name="Milliers 3 2 4 6" xfId="154" xr:uid="{00000000-0005-0000-0000-00009A000000}"/>
    <cellStyle name="Milliers 3 2 4 6 2" xfId="438" xr:uid="{00000000-0005-0000-0000-00009B000000}"/>
    <cellStyle name="Milliers 3 2 4 6 3" xfId="658" xr:uid="{00000000-0005-0000-0000-00009C000000}"/>
    <cellStyle name="Milliers 3 2 4 7" xfId="171" xr:uid="{00000000-0005-0000-0000-00009D000000}"/>
    <cellStyle name="Milliers 3 2 4 8" xfId="187" xr:uid="{00000000-0005-0000-0000-00009E000000}"/>
    <cellStyle name="Milliers 3 2 4 9" xfId="462" xr:uid="{00000000-0005-0000-0000-00009F000000}"/>
    <cellStyle name="Milliers 3 2 5" xfId="43" xr:uid="{00000000-0005-0000-0000-0000A0000000}"/>
    <cellStyle name="Milliers 3 2 5 2" xfId="246" xr:uid="{00000000-0005-0000-0000-0000A1000000}"/>
    <cellStyle name="Milliers 3 2 5 2 2" xfId="337" xr:uid="{00000000-0005-0000-0000-0000A2000000}"/>
    <cellStyle name="Milliers 3 2 5 2 2 2" xfId="603" xr:uid="{00000000-0005-0000-0000-0000A3000000}"/>
    <cellStyle name="Milliers 3 2 5 2 3" xfId="520" xr:uid="{00000000-0005-0000-0000-0000A4000000}"/>
    <cellStyle name="Milliers 3 2 5 3" xfId="308" xr:uid="{00000000-0005-0000-0000-0000A5000000}"/>
    <cellStyle name="Milliers 3 2 5 3 2" xfId="574" xr:uid="{00000000-0005-0000-0000-0000A6000000}"/>
    <cellStyle name="Milliers 3 2 5 4" xfId="414" xr:uid="{00000000-0005-0000-0000-0000A7000000}"/>
    <cellStyle name="Milliers 3 2 5 4 2" xfId="634" xr:uid="{00000000-0005-0000-0000-0000A8000000}"/>
    <cellStyle name="Milliers 3 2 5 5" xfId="217" xr:uid="{00000000-0005-0000-0000-0000A9000000}"/>
    <cellStyle name="Milliers 3 2 5 6" xfId="491" xr:uid="{00000000-0005-0000-0000-0000AA000000}"/>
    <cellStyle name="Milliers 3 2 6" xfId="69" xr:uid="{00000000-0005-0000-0000-0000AB000000}"/>
    <cellStyle name="Milliers 3 2 6 2" xfId="291" xr:uid="{00000000-0005-0000-0000-0000AC000000}"/>
    <cellStyle name="Milliers 3 2 6 2 2" xfId="557" xr:uid="{00000000-0005-0000-0000-0000AD000000}"/>
    <cellStyle name="Milliers 3 2 6 3" xfId="199" xr:uid="{00000000-0005-0000-0000-0000AE000000}"/>
    <cellStyle name="Milliers 3 2 6 4" xfId="474" xr:uid="{00000000-0005-0000-0000-0000AF000000}"/>
    <cellStyle name="Milliers 3 2 7" xfId="95" xr:uid="{00000000-0005-0000-0000-0000B0000000}"/>
    <cellStyle name="Milliers 3 2 7 2" xfId="320" xr:uid="{00000000-0005-0000-0000-0000B1000000}"/>
    <cellStyle name="Milliers 3 2 7 2 2" xfId="586" xr:uid="{00000000-0005-0000-0000-0000B2000000}"/>
    <cellStyle name="Milliers 3 2 7 3" xfId="229" xr:uid="{00000000-0005-0000-0000-0000B3000000}"/>
    <cellStyle name="Milliers 3 2 7 4" xfId="503" xr:uid="{00000000-0005-0000-0000-0000B4000000}"/>
    <cellStyle name="Milliers 3 2 8" xfId="122" xr:uid="{00000000-0005-0000-0000-0000B5000000}"/>
    <cellStyle name="Milliers 3 2 8 2" xfId="266" xr:uid="{00000000-0005-0000-0000-0000B6000000}"/>
    <cellStyle name="Milliers 3 2 8 3" xfId="533" xr:uid="{00000000-0005-0000-0000-0000B7000000}"/>
    <cellStyle name="Milliers 3 2 9" xfId="141" xr:uid="{00000000-0005-0000-0000-0000B8000000}"/>
    <cellStyle name="Milliers 3 2 9 2" xfId="397" xr:uid="{00000000-0005-0000-0000-0000B9000000}"/>
    <cellStyle name="Milliers 3 2 9 3" xfId="617" xr:uid="{00000000-0005-0000-0000-0000BA000000}"/>
    <cellStyle name="Milliers 3 3" xfId="21" xr:uid="{00000000-0005-0000-0000-0000BB000000}"/>
    <cellStyle name="Milliers 3 3 10" xfId="454" xr:uid="{00000000-0005-0000-0000-0000BC000000}"/>
    <cellStyle name="Milliers 3 3 2" xfId="33" xr:uid="{00000000-0005-0000-0000-0000BD000000}"/>
    <cellStyle name="Milliers 3 3 2 2" xfId="57" xr:uid="{00000000-0005-0000-0000-0000BE000000}"/>
    <cellStyle name="Milliers 3 3 2 2 2" xfId="312" xr:uid="{00000000-0005-0000-0000-0000BF000000}"/>
    <cellStyle name="Milliers 3 3 2 2 2 2" xfId="578" xr:uid="{00000000-0005-0000-0000-0000C0000000}"/>
    <cellStyle name="Milliers 3 3 2 2 3" xfId="221" xr:uid="{00000000-0005-0000-0000-0000C1000000}"/>
    <cellStyle name="Milliers 3 3 2 2 4" xfId="495" xr:uid="{00000000-0005-0000-0000-0000C2000000}"/>
    <cellStyle name="Milliers 3 3 2 3" xfId="67" xr:uid="{00000000-0005-0000-0000-0000C3000000}"/>
    <cellStyle name="Milliers 3 3 2 3 2" xfId="341" xr:uid="{00000000-0005-0000-0000-0000C4000000}"/>
    <cellStyle name="Milliers 3 3 2 3 2 2" xfId="607" xr:uid="{00000000-0005-0000-0000-0000C5000000}"/>
    <cellStyle name="Milliers 3 3 2 3 3" xfId="250" xr:uid="{00000000-0005-0000-0000-0000C6000000}"/>
    <cellStyle name="Milliers 3 3 2 3 4" xfId="524" xr:uid="{00000000-0005-0000-0000-0000C7000000}"/>
    <cellStyle name="Milliers 3 3 2 4" xfId="109" xr:uid="{00000000-0005-0000-0000-0000C8000000}"/>
    <cellStyle name="Milliers 3 3 2 4 2" xfId="281" xr:uid="{00000000-0005-0000-0000-0000C9000000}"/>
    <cellStyle name="Milliers 3 3 2 4 3" xfId="547" xr:uid="{00000000-0005-0000-0000-0000CA000000}"/>
    <cellStyle name="Milliers 3 3 2 5" xfId="418" xr:uid="{00000000-0005-0000-0000-0000CB000000}"/>
    <cellStyle name="Milliers 3 3 2 5 2" xfId="638" xr:uid="{00000000-0005-0000-0000-0000CC000000}"/>
    <cellStyle name="Milliers 3 3 2 6" xfId="440" xr:uid="{00000000-0005-0000-0000-0000CD000000}"/>
    <cellStyle name="Milliers 3 3 2 6 2" xfId="660" xr:uid="{00000000-0005-0000-0000-0000CE000000}"/>
    <cellStyle name="Milliers 3 3 2 7" xfId="189" xr:uid="{00000000-0005-0000-0000-0000CF000000}"/>
    <cellStyle name="Milliers 3 3 2 8" xfId="464" xr:uid="{00000000-0005-0000-0000-0000D0000000}"/>
    <cellStyle name="Milliers 3 3 3" xfId="47" xr:uid="{00000000-0005-0000-0000-0000D1000000}"/>
    <cellStyle name="Milliers 3 3 3 2" xfId="295" xr:uid="{00000000-0005-0000-0000-0000D2000000}"/>
    <cellStyle name="Milliers 3 3 3 2 2" xfId="561" xr:uid="{00000000-0005-0000-0000-0000D3000000}"/>
    <cellStyle name="Milliers 3 3 3 3" xfId="203" xr:uid="{00000000-0005-0000-0000-0000D4000000}"/>
    <cellStyle name="Milliers 3 3 3 4" xfId="478" xr:uid="{00000000-0005-0000-0000-0000D5000000}"/>
    <cellStyle name="Milliers 3 3 4" xfId="73" xr:uid="{00000000-0005-0000-0000-0000D6000000}"/>
    <cellStyle name="Milliers 3 3 4 2" xfId="324" xr:uid="{00000000-0005-0000-0000-0000D7000000}"/>
    <cellStyle name="Milliers 3 3 4 2 2" xfId="590" xr:uid="{00000000-0005-0000-0000-0000D8000000}"/>
    <cellStyle name="Milliers 3 3 4 3" xfId="233" xr:uid="{00000000-0005-0000-0000-0000D9000000}"/>
    <cellStyle name="Milliers 3 3 4 4" xfId="507" xr:uid="{00000000-0005-0000-0000-0000DA000000}"/>
    <cellStyle name="Milliers 3 3 5" xfId="99" xr:uid="{00000000-0005-0000-0000-0000DB000000}"/>
    <cellStyle name="Milliers 3 3 5 2" xfId="270" xr:uid="{00000000-0005-0000-0000-0000DC000000}"/>
    <cellStyle name="Milliers 3 3 5 3" xfId="537" xr:uid="{00000000-0005-0000-0000-0000DD000000}"/>
    <cellStyle name="Milliers 3 3 6" xfId="126" xr:uid="{00000000-0005-0000-0000-0000DE000000}"/>
    <cellStyle name="Milliers 3 3 6 2" xfId="401" xr:uid="{00000000-0005-0000-0000-0000DF000000}"/>
    <cellStyle name="Milliers 3 3 6 3" xfId="621" xr:uid="{00000000-0005-0000-0000-0000E0000000}"/>
    <cellStyle name="Milliers 3 3 7" xfId="145" xr:uid="{00000000-0005-0000-0000-0000E1000000}"/>
    <cellStyle name="Milliers 3 3 7 2" xfId="430" xr:uid="{00000000-0005-0000-0000-0000E2000000}"/>
    <cellStyle name="Milliers 3 3 7 3" xfId="650" xr:uid="{00000000-0005-0000-0000-0000E3000000}"/>
    <cellStyle name="Milliers 3 3 8" xfId="162" xr:uid="{00000000-0005-0000-0000-0000E4000000}"/>
    <cellStyle name="Milliers 3 3 9" xfId="179" xr:uid="{00000000-0005-0000-0000-0000E5000000}"/>
    <cellStyle name="Milliers 3 4" xfId="22" xr:uid="{00000000-0005-0000-0000-0000E6000000}"/>
    <cellStyle name="Milliers 3 4 10" xfId="455" xr:uid="{00000000-0005-0000-0000-0000E7000000}"/>
    <cellStyle name="Milliers 3 4 2" xfId="37" xr:uid="{00000000-0005-0000-0000-0000E8000000}"/>
    <cellStyle name="Milliers 3 4 2 2" xfId="61" xr:uid="{00000000-0005-0000-0000-0000E9000000}"/>
    <cellStyle name="Milliers 3 4 2 2 2" xfId="313" xr:uid="{00000000-0005-0000-0000-0000EA000000}"/>
    <cellStyle name="Milliers 3 4 2 2 2 2" xfId="579" xr:uid="{00000000-0005-0000-0000-0000EB000000}"/>
    <cellStyle name="Milliers 3 4 2 2 3" xfId="222" xr:uid="{00000000-0005-0000-0000-0000EC000000}"/>
    <cellStyle name="Milliers 3 4 2 2 4" xfId="496" xr:uid="{00000000-0005-0000-0000-0000ED000000}"/>
    <cellStyle name="Milliers 3 4 2 3" xfId="89" xr:uid="{00000000-0005-0000-0000-0000EE000000}"/>
    <cellStyle name="Milliers 3 4 2 3 2" xfId="342" xr:uid="{00000000-0005-0000-0000-0000EF000000}"/>
    <cellStyle name="Milliers 3 4 2 3 2 2" xfId="608" xr:uid="{00000000-0005-0000-0000-0000F0000000}"/>
    <cellStyle name="Milliers 3 4 2 3 3" xfId="251" xr:uid="{00000000-0005-0000-0000-0000F1000000}"/>
    <cellStyle name="Milliers 3 4 2 3 4" xfId="525" xr:uid="{00000000-0005-0000-0000-0000F2000000}"/>
    <cellStyle name="Milliers 3 4 2 4" xfId="113" xr:uid="{00000000-0005-0000-0000-0000F3000000}"/>
    <cellStyle name="Milliers 3 4 2 4 2" xfId="285" xr:uid="{00000000-0005-0000-0000-0000F4000000}"/>
    <cellStyle name="Milliers 3 4 2 4 3" xfId="551" xr:uid="{00000000-0005-0000-0000-0000F5000000}"/>
    <cellStyle name="Milliers 3 4 2 5" xfId="419" xr:uid="{00000000-0005-0000-0000-0000F6000000}"/>
    <cellStyle name="Milliers 3 4 2 5 2" xfId="639" xr:uid="{00000000-0005-0000-0000-0000F7000000}"/>
    <cellStyle name="Milliers 3 4 2 6" xfId="444" xr:uid="{00000000-0005-0000-0000-0000F8000000}"/>
    <cellStyle name="Milliers 3 4 2 6 2" xfId="664" xr:uid="{00000000-0005-0000-0000-0000F9000000}"/>
    <cellStyle name="Milliers 3 4 2 7" xfId="193" xr:uid="{00000000-0005-0000-0000-0000FA000000}"/>
    <cellStyle name="Milliers 3 4 2 8" xfId="468" xr:uid="{00000000-0005-0000-0000-0000FB000000}"/>
    <cellStyle name="Milliers 3 4 3" xfId="48" xr:uid="{00000000-0005-0000-0000-0000FC000000}"/>
    <cellStyle name="Milliers 3 4 3 2" xfId="296" xr:uid="{00000000-0005-0000-0000-0000FD000000}"/>
    <cellStyle name="Milliers 3 4 3 2 2" xfId="562" xr:uid="{00000000-0005-0000-0000-0000FE000000}"/>
    <cellStyle name="Milliers 3 4 3 3" xfId="204" xr:uid="{00000000-0005-0000-0000-0000FF000000}"/>
    <cellStyle name="Milliers 3 4 3 4" xfId="479" xr:uid="{00000000-0005-0000-0000-000000010000}"/>
    <cellStyle name="Milliers 3 4 4" xfId="74" xr:uid="{00000000-0005-0000-0000-000001010000}"/>
    <cellStyle name="Milliers 3 4 4 2" xfId="325" xr:uid="{00000000-0005-0000-0000-000002010000}"/>
    <cellStyle name="Milliers 3 4 4 2 2" xfId="591" xr:uid="{00000000-0005-0000-0000-000003010000}"/>
    <cellStyle name="Milliers 3 4 4 3" xfId="234" xr:uid="{00000000-0005-0000-0000-000004010000}"/>
    <cellStyle name="Milliers 3 4 4 4" xfId="508" xr:uid="{00000000-0005-0000-0000-000005010000}"/>
    <cellStyle name="Milliers 3 4 5" xfId="100" xr:uid="{00000000-0005-0000-0000-000006010000}"/>
    <cellStyle name="Milliers 3 4 5 2" xfId="271" xr:uid="{00000000-0005-0000-0000-000007010000}"/>
    <cellStyle name="Milliers 3 4 5 3" xfId="538" xr:uid="{00000000-0005-0000-0000-000008010000}"/>
    <cellStyle name="Milliers 3 4 6" xfId="127" xr:uid="{00000000-0005-0000-0000-000009010000}"/>
    <cellStyle name="Milliers 3 4 6 2" xfId="402" xr:uid="{00000000-0005-0000-0000-00000A010000}"/>
    <cellStyle name="Milliers 3 4 6 3" xfId="622" xr:uid="{00000000-0005-0000-0000-00000B010000}"/>
    <cellStyle name="Milliers 3 4 7" xfId="146" xr:uid="{00000000-0005-0000-0000-00000C010000}"/>
    <cellStyle name="Milliers 3 4 7 2" xfId="431" xr:uid="{00000000-0005-0000-0000-00000D010000}"/>
    <cellStyle name="Milliers 3 4 7 3" xfId="651" xr:uid="{00000000-0005-0000-0000-00000E010000}"/>
    <cellStyle name="Milliers 3 4 8" xfId="163" xr:uid="{00000000-0005-0000-0000-00000F010000}"/>
    <cellStyle name="Milliers 3 4 9" xfId="180" xr:uid="{00000000-0005-0000-0000-000010010000}"/>
    <cellStyle name="Milliers 3 5" xfId="29" xr:uid="{00000000-0005-0000-0000-000011010000}"/>
    <cellStyle name="Milliers 3 5 2" xfId="53" xr:uid="{00000000-0005-0000-0000-000012010000}"/>
    <cellStyle name="Milliers 3 5 2 2" xfId="302" xr:uid="{00000000-0005-0000-0000-000013010000}"/>
    <cellStyle name="Milliers 3 5 2 2 2" xfId="568" xr:uid="{00000000-0005-0000-0000-000014010000}"/>
    <cellStyle name="Milliers 3 5 2 3" xfId="211" xr:uid="{00000000-0005-0000-0000-000015010000}"/>
    <cellStyle name="Milliers 3 5 2 4" xfId="485" xr:uid="{00000000-0005-0000-0000-000016010000}"/>
    <cellStyle name="Milliers 3 5 3" xfId="84" xr:uid="{00000000-0005-0000-0000-000017010000}"/>
    <cellStyle name="Milliers 3 5 3 2" xfId="331" xr:uid="{00000000-0005-0000-0000-000018010000}"/>
    <cellStyle name="Milliers 3 5 3 2 2" xfId="597" xr:uid="{00000000-0005-0000-0000-000019010000}"/>
    <cellStyle name="Milliers 3 5 3 3" xfId="240" xr:uid="{00000000-0005-0000-0000-00001A010000}"/>
    <cellStyle name="Milliers 3 5 3 4" xfId="514" xr:uid="{00000000-0005-0000-0000-00001B010000}"/>
    <cellStyle name="Milliers 3 5 4" xfId="105" xr:uid="{00000000-0005-0000-0000-00001C010000}"/>
    <cellStyle name="Milliers 3 5 4 2" xfId="277" xr:uid="{00000000-0005-0000-0000-00001D010000}"/>
    <cellStyle name="Milliers 3 5 4 3" xfId="543" xr:uid="{00000000-0005-0000-0000-00001E010000}"/>
    <cellStyle name="Milliers 3 5 5" xfId="133" xr:uid="{00000000-0005-0000-0000-00001F010000}"/>
    <cellStyle name="Milliers 3 5 5 2" xfId="408" xr:uid="{00000000-0005-0000-0000-000020010000}"/>
    <cellStyle name="Milliers 3 5 5 3" xfId="628" xr:uid="{00000000-0005-0000-0000-000021010000}"/>
    <cellStyle name="Milliers 3 5 6" xfId="152" xr:uid="{00000000-0005-0000-0000-000022010000}"/>
    <cellStyle name="Milliers 3 5 6 2" xfId="436" xr:uid="{00000000-0005-0000-0000-000023010000}"/>
    <cellStyle name="Milliers 3 5 6 3" xfId="656" xr:uid="{00000000-0005-0000-0000-000024010000}"/>
    <cellStyle name="Milliers 3 5 7" xfId="169" xr:uid="{00000000-0005-0000-0000-000025010000}"/>
    <cellStyle name="Milliers 3 5 8" xfId="185" xr:uid="{00000000-0005-0000-0000-000026010000}"/>
    <cellStyle name="Milliers 3 5 9" xfId="460" xr:uid="{00000000-0005-0000-0000-000027010000}"/>
    <cellStyle name="Milliers 3 6" xfId="41" xr:uid="{00000000-0005-0000-0000-000028010000}"/>
    <cellStyle name="Milliers 3 6 2" xfId="244" xr:uid="{00000000-0005-0000-0000-000029010000}"/>
    <cellStyle name="Milliers 3 6 2 2" xfId="335" xr:uid="{00000000-0005-0000-0000-00002A010000}"/>
    <cellStyle name="Milliers 3 6 2 2 2" xfId="601" xr:uid="{00000000-0005-0000-0000-00002B010000}"/>
    <cellStyle name="Milliers 3 6 2 3" xfId="518" xr:uid="{00000000-0005-0000-0000-00002C010000}"/>
    <cellStyle name="Milliers 3 6 3" xfId="306" xr:uid="{00000000-0005-0000-0000-00002D010000}"/>
    <cellStyle name="Milliers 3 6 3 2" xfId="572" xr:uid="{00000000-0005-0000-0000-00002E010000}"/>
    <cellStyle name="Milliers 3 6 4" xfId="412" xr:uid="{00000000-0005-0000-0000-00002F010000}"/>
    <cellStyle name="Milliers 3 6 4 2" xfId="632" xr:uid="{00000000-0005-0000-0000-000030010000}"/>
    <cellStyle name="Milliers 3 6 5" xfId="215" xr:uid="{00000000-0005-0000-0000-000031010000}"/>
    <cellStyle name="Milliers 3 6 6" xfId="489" xr:uid="{00000000-0005-0000-0000-000032010000}"/>
    <cellStyle name="Milliers 3 7" xfId="66" xr:uid="{00000000-0005-0000-0000-000033010000}"/>
    <cellStyle name="Milliers 3 7 2" xfId="289" xr:uid="{00000000-0005-0000-0000-000034010000}"/>
    <cellStyle name="Milliers 3 7 2 2" xfId="555" xr:uid="{00000000-0005-0000-0000-000035010000}"/>
    <cellStyle name="Milliers 3 7 3" xfId="197" xr:uid="{00000000-0005-0000-0000-000036010000}"/>
    <cellStyle name="Milliers 3 7 4" xfId="472" xr:uid="{00000000-0005-0000-0000-000037010000}"/>
    <cellStyle name="Milliers 3 8" xfId="93" xr:uid="{00000000-0005-0000-0000-000038010000}"/>
    <cellStyle name="Milliers 3 8 2" xfId="318" xr:uid="{00000000-0005-0000-0000-000039010000}"/>
    <cellStyle name="Milliers 3 8 2 2" xfId="584" xr:uid="{00000000-0005-0000-0000-00003A010000}"/>
    <cellStyle name="Milliers 3 8 3" xfId="227" xr:uid="{00000000-0005-0000-0000-00003B010000}"/>
    <cellStyle name="Milliers 3 8 4" xfId="501" xr:uid="{00000000-0005-0000-0000-00003C010000}"/>
    <cellStyle name="Milliers 3 9" xfId="120" xr:uid="{00000000-0005-0000-0000-00003D010000}"/>
    <cellStyle name="Milliers 3 9 2" xfId="263" xr:uid="{00000000-0005-0000-0000-00003E010000}"/>
    <cellStyle name="Milliers 3 9 3" xfId="531" xr:uid="{00000000-0005-0000-0000-00003F010000}"/>
    <cellStyle name="Milliers 4" xfId="14" xr:uid="{00000000-0005-0000-0000-000040010000}"/>
    <cellStyle name="Milliers 4 2" xfId="23" xr:uid="{00000000-0005-0000-0000-000041010000}"/>
    <cellStyle name="Milliers 5" xfId="81" xr:uid="{00000000-0005-0000-0000-000042010000}"/>
    <cellStyle name="Milliers 5 2" xfId="132" xr:uid="{00000000-0005-0000-0000-000043010000}"/>
    <cellStyle name="Milliers 5 2 2" xfId="330" xr:uid="{00000000-0005-0000-0000-000044010000}"/>
    <cellStyle name="Milliers 5 2 2 2" xfId="596" xr:uid="{00000000-0005-0000-0000-000045010000}"/>
    <cellStyle name="Milliers 5 2 3" xfId="239" xr:uid="{00000000-0005-0000-0000-000046010000}"/>
    <cellStyle name="Milliers 5 2 4" xfId="513" xr:uid="{00000000-0005-0000-0000-000047010000}"/>
    <cellStyle name="Milliers 5 3" xfId="151" xr:uid="{00000000-0005-0000-0000-000048010000}"/>
    <cellStyle name="Milliers 5 3 2" xfId="301" xr:uid="{00000000-0005-0000-0000-000049010000}"/>
    <cellStyle name="Milliers 5 3 3" xfId="567" xr:uid="{00000000-0005-0000-0000-00004A010000}"/>
    <cellStyle name="Milliers 5 4" xfId="168" xr:uid="{00000000-0005-0000-0000-00004B010000}"/>
    <cellStyle name="Milliers 5 4 2" xfId="407" xr:uid="{00000000-0005-0000-0000-00004C010000}"/>
    <cellStyle name="Milliers 5 4 3" xfId="627" xr:uid="{00000000-0005-0000-0000-00004D010000}"/>
    <cellStyle name="Milliers 5 5" xfId="209" xr:uid="{00000000-0005-0000-0000-00004E010000}"/>
    <cellStyle name="Milliers 5 6" xfId="484" xr:uid="{00000000-0005-0000-0000-00004F010000}"/>
    <cellStyle name="Milliers 6" xfId="118" xr:uid="{00000000-0005-0000-0000-000050010000}"/>
    <cellStyle name="Milliers 6 2" xfId="262" xr:uid="{00000000-0005-0000-0000-000051010000}"/>
    <cellStyle name="Milliers 7" xfId="272" xr:uid="{00000000-0005-0000-0000-000052010000}"/>
    <cellStyle name="Milliers 8" xfId="378" xr:uid="{00000000-0005-0000-0000-000053010000}"/>
    <cellStyle name="Milliers 9" xfId="392" xr:uid="{00000000-0005-0000-0000-000054010000}"/>
    <cellStyle name="Milliers 9 2" xfId="614" xr:uid="{00000000-0005-0000-0000-000055010000}"/>
    <cellStyle name="Neutre 2" xfId="379" xr:uid="{00000000-0005-0000-0000-000056010000}"/>
    <cellStyle name="Normal" xfId="0" builtinId="0"/>
    <cellStyle name="Normal 10" xfId="260" xr:uid="{00000000-0005-0000-0000-000058010000}"/>
    <cellStyle name="Normal 11" xfId="348" xr:uid="{00000000-0005-0000-0000-000059010000}"/>
    <cellStyle name="Normal 12" xfId="391" xr:uid="{00000000-0005-0000-0000-00005A010000}"/>
    <cellStyle name="Normal 12 2" xfId="613" xr:uid="{00000000-0005-0000-0000-00005B010000}"/>
    <cellStyle name="Normal 2" xfId="7" xr:uid="{00000000-0005-0000-0000-00005C010000}"/>
    <cellStyle name="Normal 2 2" xfId="8" xr:uid="{00000000-0005-0000-0000-00005D010000}"/>
    <cellStyle name="Normal 2 3" xfId="9" xr:uid="{00000000-0005-0000-0000-00005E010000}"/>
    <cellStyle name="Normal 2 3 2" xfId="380" xr:uid="{00000000-0005-0000-0000-00005F010000}"/>
    <cellStyle name="Normal 3" xfId="10" xr:uid="{00000000-0005-0000-0000-000060010000}"/>
    <cellStyle name="Normal 3 10" xfId="140" xr:uid="{00000000-0005-0000-0000-000061010000}"/>
    <cellStyle name="Normal 3 10 2" xfId="264" xr:uid="{00000000-0005-0000-0000-000062010000}"/>
    <cellStyle name="Normal 3 10 3" xfId="532" xr:uid="{00000000-0005-0000-0000-000063010000}"/>
    <cellStyle name="Normal 3 11" xfId="157" xr:uid="{00000000-0005-0000-0000-000064010000}"/>
    <cellStyle name="Normal 3 11 2" xfId="258" xr:uid="{00000000-0005-0000-0000-000065010000}"/>
    <cellStyle name="Normal 3 11 3" xfId="530" xr:uid="{00000000-0005-0000-0000-000066010000}"/>
    <cellStyle name="Normal 3 12" xfId="396" xr:uid="{00000000-0005-0000-0000-000067010000}"/>
    <cellStyle name="Normal 3 12 2" xfId="616" xr:uid="{00000000-0005-0000-0000-000068010000}"/>
    <cellStyle name="Normal 3 13" xfId="425" xr:uid="{00000000-0005-0000-0000-000069010000}"/>
    <cellStyle name="Normal 3 13 2" xfId="645" xr:uid="{00000000-0005-0000-0000-00006A010000}"/>
    <cellStyle name="Normal 3 14" xfId="174" xr:uid="{00000000-0005-0000-0000-00006B010000}"/>
    <cellStyle name="Normal 3 15" xfId="449" xr:uid="{00000000-0005-0000-0000-00006C010000}"/>
    <cellStyle name="Normal 3 2" xfId="17" xr:uid="{00000000-0005-0000-0000-00006D010000}"/>
    <cellStyle name="Normal 3 2 10" xfId="159" xr:uid="{00000000-0005-0000-0000-00006E010000}"/>
    <cellStyle name="Normal 3 2 10 2" xfId="427" xr:uid="{00000000-0005-0000-0000-00006F010000}"/>
    <cellStyle name="Normal 3 2 10 3" xfId="647" xr:uid="{00000000-0005-0000-0000-000070010000}"/>
    <cellStyle name="Normal 3 2 11" xfId="176" xr:uid="{00000000-0005-0000-0000-000071010000}"/>
    <cellStyle name="Normal 3 2 12" xfId="451" xr:uid="{00000000-0005-0000-0000-000072010000}"/>
    <cellStyle name="Normal 3 2 2" xfId="24" xr:uid="{00000000-0005-0000-0000-000073010000}"/>
    <cellStyle name="Normal 3 2 2 10" xfId="456" xr:uid="{00000000-0005-0000-0000-000074010000}"/>
    <cellStyle name="Normal 3 2 2 2" xfId="36" xr:uid="{00000000-0005-0000-0000-000075010000}"/>
    <cellStyle name="Normal 3 2 2 2 2" xfId="60" xr:uid="{00000000-0005-0000-0000-000076010000}"/>
    <cellStyle name="Normal 3 2 2 2 2 2" xfId="314" xr:uid="{00000000-0005-0000-0000-000077010000}"/>
    <cellStyle name="Normal 3 2 2 2 2 2 2" xfId="580" xr:uid="{00000000-0005-0000-0000-000078010000}"/>
    <cellStyle name="Normal 3 2 2 2 2 3" xfId="223" xr:uid="{00000000-0005-0000-0000-000079010000}"/>
    <cellStyle name="Normal 3 2 2 2 2 4" xfId="497" xr:uid="{00000000-0005-0000-0000-00007A010000}"/>
    <cellStyle name="Normal 3 2 2 2 3" xfId="80" xr:uid="{00000000-0005-0000-0000-00007B010000}"/>
    <cellStyle name="Normal 3 2 2 2 3 2" xfId="343" xr:uid="{00000000-0005-0000-0000-00007C010000}"/>
    <cellStyle name="Normal 3 2 2 2 3 2 2" xfId="609" xr:uid="{00000000-0005-0000-0000-00007D010000}"/>
    <cellStyle name="Normal 3 2 2 2 3 3" xfId="252" xr:uid="{00000000-0005-0000-0000-00007E010000}"/>
    <cellStyle name="Normal 3 2 2 2 3 4" xfId="526" xr:uid="{00000000-0005-0000-0000-00007F010000}"/>
    <cellStyle name="Normal 3 2 2 2 4" xfId="112" xr:uid="{00000000-0005-0000-0000-000080010000}"/>
    <cellStyle name="Normal 3 2 2 2 4 2" xfId="284" xr:uid="{00000000-0005-0000-0000-000081010000}"/>
    <cellStyle name="Normal 3 2 2 2 4 3" xfId="550" xr:uid="{00000000-0005-0000-0000-000082010000}"/>
    <cellStyle name="Normal 3 2 2 2 5" xfId="420" xr:uid="{00000000-0005-0000-0000-000083010000}"/>
    <cellStyle name="Normal 3 2 2 2 5 2" xfId="640" xr:uid="{00000000-0005-0000-0000-000084010000}"/>
    <cellStyle name="Normal 3 2 2 2 6" xfId="443" xr:uid="{00000000-0005-0000-0000-000085010000}"/>
    <cellStyle name="Normal 3 2 2 2 6 2" xfId="663" xr:uid="{00000000-0005-0000-0000-000086010000}"/>
    <cellStyle name="Normal 3 2 2 2 7" xfId="192" xr:uid="{00000000-0005-0000-0000-000087010000}"/>
    <cellStyle name="Normal 3 2 2 2 8" xfId="467" xr:uid="{00000000-0005-0000-0000-000088010000}"/>
    <cellStyle name="Normal 3 2 2 3" xfId="49" xr:uid="{00000000-0005-0000-0000-000089010000}"/>
    <cellStyle name="Normal 3 2 2 3 2" xfId="297" xr:uid="{00000000-0005-0000-0000-00008A010000}"/>
    <cellStyle name="Normal 3 2 2 3 2 2" xfId="563" xr:uid="{00000000-0005-0000-0000-00008B010000}"/>
    <cellStyle name="Normal 3 2 2 3 3" xfId="205" xr:uid="{00000000-0005-0000-0000-00008C010000}"/>
    <cellStyle name="Normal 3 2 2 3 4" xfId="480" xr:uid="{00000000-0005-0000-0000-00008D010000}"/>
    <cellStyle name="Normal 3 2 2 4" xfId="76" xr:uid="{00000000-0005-0000-0000-00008E010000}"/>
    <cellStyle name="Normal 3 2 2 4 2" xfId="326" xr:uid="{00000000-0005-0000-0000-00008F010000}"/>
    <cellStyle name="Normal 3 2 2 4 2 2" xfId="592" xr:uid="{00000000-0005-0000-0000-000090010000}"/>
    <cellStyle name="Normal 3 2 2 4 3" xfId="235" xr:uid="{00000000-0005-0000-0000-000091010000}"/>
    <cellStyle name="Normal 3 2 2 4 4" xfId="509" xr:uid="{00000000-0005-0000-0000-000092010000}"/>
    <cellStyle name="Normal 3 2 2 5" xfId="101" xr:uid="{00000000-0005-0000-0000-000093010000}"/>
    <cellStyle name="Normal 3 2 2 5 2" xfId="273" xr:uid="{00000000-0005-0000-0000-000094010000}"/>
    <cellStyle name="Normal 3 2 2 5 3" xfId="539" xr:uid="{00000000-0005-0000-0000-000095010000}"/>
    <cellStyle name="Normal 3 2 2 6" xfId="128" xr:uid="{00000000-0005-0000-0000-000096010000}"/>
    <cellStyle name="Normal 3 2 2 6 2" xfId="403" xr:uid="{00000000-0005-0000-0000-000097010000}"/>
    <cellStyle name="Normal 3 2 2 6 3" xfId="623" xr:uid="{00000000-0005-0000-0000-000098010000}"/>
    <cellStyle name="Normal 3 2 2 7" xfId="147" xr:uid="{00000000-0005-0000-0000-000099010000}"/>
    <cellStyle name="Normal 3 2 2 7 2" xfId="432" xr:uid="{00000000-0005-0000-0000-00009A010000}"/>
    <cellStyle name="Normal 3 2 2 7 3" xfId="652" xr:uid="{00000000-0005-0000-0000-00009B010000}"/>
    <cellStyle name="Normal 3 2 2 8" xfId="164" xr:uid="{00000000-0005-0000-0000-00009C010000}"/>
    <cellStyle name="Normal 3 2 2 9" xfId="181" xr:uid="{00000000-0005-0000-0000-00009D010000}"/>
    <cellStyle name="Normal 3 2 3" xfId="25" xr:uid="{00000000-0005-0000-0000-00009E010000}"/>
    <cellStyle name="Normal 3 2 3 10" xfId="457" xr:uid="{00000000-0005-0000-0000-00009F010000}"/>
    <cellStyle name="Normal 3 2 3 2" xfId="40" xr:uid="{00000000-0005-0000-0000-0000A0010000}"/>
    <cellStyle name="Normal 3 2 3 2 2" xfId="64" xr:uid="{00000000-0005-0000-0000-0000A1010000}"/>
    <cellStyle name="Normal 3 2 3 2 2 2" xfId="315" xr:uid="{00000000-0005-0000-0000-0000A2010000}"/>
    <cellStyle name="Normal 3 2 3 2 2 2 2" xfId="581" xr:uid="{00000000-0005-0000-0000-0000A3010000}"/>
    <cellStyle name="Normal 3 2 3 2 2 3" xfId="224" xr:uid="{00000000-0005-0000-0000-0000A4010000}"/>
    <cellStyle name="Normal 3 2 3 2 2 4" xfId="498" xr:uid="{00000000-0005-0000-0000-0000A5010000}"/>
    <cellStyle name="Normal 3 2 3 2 3" xfId="92" xr:uid="{00000000-0005-0000-0000-0000A6010000}"/>
    <cellStyle name="Normal 3 2 3 2 3 2" xfId="344" xr:uid="{00000000-0005-0000-0000-0000A7010000}"/>
    <cellStyle name="Normal 3 2 3 2 3 2 2" xfId="610" xr:uid="{00000000-0005-0000-0000-0000A8010000}"/>
    <cellStyle name="Normal 3 2 3 2 3 3" xfId="253" xr:uid="{00000000-0005-0000-0000-0000A9010000}"/>
    <cellStyle name="Normal 3 2 3 2 3 4" xfId="527" xr:uid="{00000000-0005-0000-0000-0000AA010000}"/>
    <cellStyle name="Normal 3 2 3 2 4" xfId="116" xr:uid="{00000000-0005-0000-0000-0000AB010000}"/>
    <cellStyle name="Normal 3 2 3 2 4 2" xfId="288" xr:uid="{00000000-0005-0000-0000-0000AC010000}"/>
    <cellStyle name="Normal 3 2 3 2 4 3" xfId="554" xr:uid="{00000000-0005-0000-0000-0000AD010000}"/>
    <cellStyle name="Normal 3 2 3 2 5" xfId="421" xr:uid="{00000000-0005-0000-0000-0000AE010000}"/>
    <cellStyle name="Normal 3 2 3 2 5 2" xfId="641" xr:uid="{00000000-0005-0000-0000-0000AF010000}"/>
    <cellStyle name="Normal 3 2 3 2 6" xfId="447" xr:uid="{00000000-0005-0000-0000-0000B0010000}"/>
    <cellStyle name="Normal 3 2 3 2 6 2" xfId="667" xr:uid="{00000000-0005-0000-0000-0000B1010000}"/>
    <cellStyle name="Normal 3 2 3 2 7" xfId="196" xr:uid="{00000000-0005-0000-0000-0000B2010000}"/>
    <cellStyle name="Normal 3 2 3 2 8" xfId="471" xr:uid="{00000000-0005-0000-0000-0000B3010000}"/>
    <cellStyle name="Normal 3 2 3 3" xfId="50" xr:uid="{00000000-0005-0000-0000-0000B4010000}"/>
    <cellStyle name="Normal 3 2 3 3 2" xfId="298" xr:uid="{00000000-0005-0000-0000-0000B5010000}"/>
    <cellStyle name="Normal 3 2 3 3 2 2" xfId="564" xr:uid="{00000000-0005-0000-0000-0000B6010000}"/>
    <cellStyle name="Normal 3 2 3 3 3" xfId="206" xr:uid="{00000000-0005-0000-0000-0000B7010000}"/>
    <cellStyle name="Normal 3 2 3 3 4" xfId="481" xr:uid="{00000000-0005-0000-0000-0000B8010000}"/>
    <cellStyle name="Normal 3 2 3 4" xfId="77" xr:uid="{00000000-0005-0000-0000-0000B9010000}"/>
    <cellStyle name="Normal 3 2 3 4 2" xfId="327" xr:uid="{00000000-0005-0000-0000-0000BA010000}"/>
    <cellStyle name="Normal 3 2 3 4 2 2" xfId="593" xr:uid="{00000000-0005-0000-0000-0000BB010000}"/>
    <cellStyle name="Normal 3 2 3 4 3" xfId="236" xr:uid="{00000000-0005-0000-0000-0000BC010000}"/>
    <cellStyle name="Normal 3 2 3 4 4" xfId="510" xr:uid="{00000000-0005-0000-0000-0000BD010000}"/>
    <cellStyle name="Normal 3 2 3 5" xfId="102" xr:uid="{00000000-0005-0000-0000-0000BE010000}"/>
    <cellStyle name="Normal 3 2 3 5 2" xfId="274" xr:uid="{00000000-0005-0000-0000-0000BF010000}"/>
    <cellStyle name="Normal 3 2 3 5 3" xfId="540" xr:uid="{00000000-0005-0000-0000-0000C0010000}"/>
    <cellStyle name="Normal 3 2 3 6" xfId="129" xr:uid="{00000000-0005-0000-0000-0000C1010000}"/>
    <cellStyle name="Normal 3 2 3 6 2" xfId="404" xr:uid="{00000000-0005-0000-0000-0000C2010000}"/>
    <cellStyle name="Normal 3 2 3 6 3" xfId="624" xr:uid="{00000000-0005-0000-0000-0000C3010000}"/>
    <cellStyle name="Normal 3 2 3 7" xfId="148" xr:uid="{00000000-0005-0000-0000-0000C4010000}"/>
    <cellStyle name="Normal 3 2 3 7 2" xfId="433" xr:uid="{00000000-0005-0000-0000-0000C5010000}"/>
    <cellStyle name="Normal 3 2 3 7 3" xfId="653" xr:uid="{00000000-0005-0000-0000-0000C6010000}"/>
    <cellStyle name="Normal 3 2 3 8" xfId="165" xr:uid="{00000000-0005-0000-0000-0000C7010000}"/>
    <cellStyle name="Normal 3 2 3 9" xfId="182" xr:uid="{00000000-0005-0000-0000-0000C8010000}"/>
    <cellStyle name="Normal 3 2 4" xfId="32" xr:uid="{00000000-0005-0000-0000-0000C9010000}"/>
    <cellStyle name="Normal 3 2 4 2" xfId="56" xr:uid="{00000000-0005-0000-0000-0000CA010000}"/>
    <cellStyle name="Normal 3 2 4 2 2" xfId="305" xr:uid="{00000000-0005-0000-0000-0000CB010000}"/>
    <cellStyle name="Normal 3 2 4 2 2 2" xfId="571" xr:uid="{00000000-0005-0000-0000-0000CC010000}"/>
    <cellStyle name="Normal 3 2 4 2 3" xfId="214" xr:uid="{00000000-0005-0000-0000-0000CD010000}"/>
    <cellStyle name="Normal 3 2 4 2 4" xfId="488" xr:uid="{00000000-0005-0000-0000-0000CE010000}"/>
    <cellStyle name="Normal 3 2 4 3" xfId="87" xr:uid="{00000000-0005-0000-0000-0000CF010000}"/>
    <cellStyle name="Normal 3 2 4 3 2" xfId="334" xr:uid="{00000000-0005-0000-0000-0000D0010000}"/>
    <cellStyle name="Normal 3 2 4 3 2 2" xfId="600" xr:uid="{00000000-0005-0000-0000-0000D1010000}"/>
    <cellStyle name="Normal 3 2 4 3 3" xfId="243" xr:uid="{00000000-0005-0000-0000-0000D2010000}"/>
    <cellStyle name="Normal 3 2 4 3 4" xfId="517" xr:uid="{00000000-0005-0000-0000-0000D3010000}"/>
    <cellStyle name="Normal 3 2 4 4" xfId="108" xr:uid="{00000000-0005-0000-0000-0000D4010000}"/>
    <cellStyle name="Normal 3 2 4 4 2" xfId="280" xr:uid="{00000000-0005-0000-0000-0000D5010000}"/>
    <cellStyle name="Normal 3 2 4 4 3" xfId="546" xr:uid="{00000000-0005-0000-0000-0000D6010000}"/>
    <cellStyle name="Normal 3 2 4 5" xfId="136" xr:uid="{00000000-0005-0000-0000-0000D7010000}"/>
    <cellStyle name="Normal 3 2 4 5 2" xfId="411" xr:uid="{00000000-0005-0000-0000-0000D8010000}"/>
    <cellStyle name="Normal 3 2 4 5 3" xfId="631" xr:uid="{00000000-0005-0000-0000-0000D9010000}"/>
    <cellStyle name="Normal 3 2 4 6" xfId="155" xr:uid="{00000000-0005-0000-0000-0000DA010000}"/>
    <cellStyle name="Normal 3 2 4 6 2" xfId="439" xr:uid="{00000000-0005-0000-0000-0000DB010000}"/>
    <cellStyle name="Normal 3 2 4 6 3" xfId="659" xr:uid="{00000000-0005-0000-0000-0000DC010000}"/>
    <cellStyle name="Normal 3 2 4 7" xfId="172" xr:uid="{00000000-0005-0000-0000-0000DD010000}"/>
    <cellStyle name="Normal 3 2 4 8" xfId="188" xr:uid="{00000000-0005-0000-0000-0000DE010000}"/>
    <cellStyle name="Normal 3 2 4 9" xfId="463" xr:uid="{00000000-0005-0000-0000-0000DF010000}"/>
    <cellStyle name="Normal 3 2 5" xfId="44" xr:uid="{00000000-0005-0000-0000-0000E0010000}"/>
    <cellStyle name="Normal 3 2 5 2" xfId="247" xr:uid="{00000000-0005-0000-0000-0000E1010000}"/>
    <cellStyle name="Normal 3 2 5 2 2" xfId="338" xr:uid="{00000000-0005-0000-0000-0000E2010000}"/>
    <cellStyle name="Normal 3 2 5 2 2 2" xfId="604" xr:uid="{00000000-0005-0000-0000-0000E3010000}"/>
    <cellStyle name="Normal 3 2 5 2 3" xfId="521" xr:uid="{00000000-0005-0000-0000-0000E4010000}"/>
    <cellStyle name="Normal 3 2 5 3" xfId="309" xr:uid="{00000000-0005-0000-0000-0000E5010000}"/>
    <cellStyle name="Normal 3 2 5 3 2" xfId="575" xr:uid="{00000000-0005-0000-0000-0000E6010000}"/>
    <cellStyle name="Normal 3 2 5 4" xfId="415" xr:uid="{00000000-0005-0000-0000-0000E7010000}"/>
    <cellStyle name="Normal 3 2 5 4 2" xfId="635" xr:uid="{00000000-0005-0000-0000-0000E8010000}"/>
    <cellStyle name="Normal 3 2 5 5" xfId="218" xr:uid="{00000000-0005-0000-0000-0000E9010000}"/>
    <cellStyle name="Normal 3 2 5 6" xfId="492" xr:uid="{00000000-0005-0000-0000-0000EA010000}"/>
    <cellStyle name="Normal 3 2 6" xfId="70" xr:uid="{00000000-0005-0000-0000-0000EB010000}"/>
    <cellStyle name="Normal 3 2 6 2" xfId="292" xr:uid="{00000000-0005-0000-0000-0000EC010000}"/>
    <cellStyle name="Normal 3 2 6 2 2" xfId="558" xr:uid="{00000000-0005-0000-0000-0000ED010000}"/>
    <cellStyle name="Normal 3 2 6 3" xfId="200" xr:uid="{00000000-0005-0000-0000-0000EE010000}"/>
    <cellStyle name="Normal 3 2 6 4" xfId="475" xr:uid="{00000000-0005-0000-0000-0000EF010000}"/>
    <cellStyle name="Normal 3 2 7" xfId="96" xr:uid="{00000000-0005-0000-0000-0000F0010000}"/>
    <cellStyle name="Normal 3 2 7 2" xfId="321" xr:uid="{00000000-0005-0000-0000-0000F1010000}"/>
    <cellStyle name="Normal 3 2 7 2 2" xfId="587" xr:uid="{00000000-0005-0000-0000-0000F2010000}"/>
    <cellStyle name="Normal 3 2 7 3" xfId="230" xr:uid="{00000000-0005-0000-0000-0000F3010000}"/>
    <cellStyle name="Normal 3 2 7 4" xfId="504" xr:uid="{00000000-0005-0000-0000-0000F4010000}"/>
    <cellStyle name="Normal 3 2 8" xfId="123" xr:uid="{00000000-0005-0000-0000-0000F5010000}"/>
    <cellStyle name="Normal 3 2 8 2" xfId="267" xr:uid="{00000000-0005-0000-0000-0000F6010000}"/>
    <cellStyle name="Normal 3 2 8 3" xfId="534" xr:uid="{00000000-0005-0000-0000-0000F7010000}"/>
    <cellStyle name="Normal 3 2 9" xfId="142" xr:uid="{00000000-0005-0000-0000-0000F8010000}"/>
    <cellStyle name="Normal 3 2 9 2" xfId="398" xr:uid="{00000000-0005-0000-0000-0000F9010000}"/>
    <cellStyle name="Normal 3 2 9 3" xfId="618" xr:uid="{00000000-0005-0000-0000-0000FA010000}"/>
    <cellStyle name="Normal 3 3" xfId="26" xr:uid="{00000000-0005-0000-0000-0000FB010000}"/>
    <cellStyle name="Normal 3 3 10" xfId="458" xr:uid="{00000000-0005-0000-0000-0000FC010000}"/>
    <cellStyle name="Normal 3 3 2" xfId="34" xr:uid="{00000000-0005-0000-0000-0000FD010000}"/>
    <cellStyle name="Normal 3 3 2 2" xfId="58" xr:uid="{00000000-0005-0000-0000-0000FE010000}"/>
    <cellStyle name="Normal 3 3 2 2 2" xfId="316" xr:uid="{00000000-0005-0000-0000-0000FF010000}"/>
    <cellStyle name="Normal 3 3 2 2 2 2" xfId="582" xr:uid="{00000000-0005-0000-0000-000000020000}"/>
    <cellStyle name="Normal 3 3 2 2 3" xfId="225" xr:uid="{00000000-0005-0000-0000-000001020000}"/>
    <cellStyle name="Normal 3 3 2 2 4" xfId="499" xr:uid="{00000000-0005-0000-0000-000002020000}"/>
    <cellStyle name="Normal 3 3 2 3" xfId="75" xr:uid="{00000000-0005-0000-0000-000003020000}"/>
    <cellStyle name="Normal 3 3 2 3 2" xfId="345" xr:uid="{00000000-0005-0000-0000-000004020000}"/>
    <cellStyle name="Normal 3 3 2 3 2 2" xfId="611" xr:uid="{00000000-0005-0000-0000-000005020000}"/>
    <cellStyle name="Normal 3 3 2 3 3" xfId="254" xr:uid="{00000000-0005-0000-0000-000006020000}"/>
    <cellStyle name="Normal 3 3 2 3 4" xfId="528" xr:uid="{00000000-0005-0000-0000-000007020000}"/>
    <cellStyle name="Normal 3 3 2 4" xfId="110" xr:uid="{00000000-0005-0000-0000-000008020000}"/>
    <cellStyle name="Normal 3 3 2 4 2" xfId="282" xr:uid="{00000000-0005-0000-0000-000009020000}"/>
    <cellStyle name="Normal 3 3 2 4 3" xfId="548" xr:uid="{00000000-0005-0000-0000-00000A020000}"/>
    <cellStyle name="Normal 3 3 2 5" xfId="422" xr:uid="{00000000-0005-0000-0000-00000B020000}"/>
    <cellStyle name="Normal 3 3 2 5 2" xfId="642" xr:uid="{00000000-0005-0000-0000-00000C020000}"/>
    <cellStyle name="Normal 3 3 2 6" xfId="441" xr:uid="{00000000-0005-0000-0000-00000D020000}"/>
    <cellStyle name="Normal 3 3 2 6 2" xfId="661" xr:uid="{00000000-0005-0000-0000-00000E020000}"/>
    <cellStyle name="Normal 3 3 2 7" xfId="190" xr:uid="{00000000-0005-0000-0000-00000F020000}"/>
    <cellStyle name="Normal 3 3 2 8" xfId="465" xr:uid="{00000000-0005-0000-0000-000010020000}"/>
    <cellStyle name="Normal 3 3 3" xfId="51" xr:uid="{00000000-0005-0000-0000-000011020000}"/>
    <cellStyle name="Normal 3 3 3 2" xfId="299" xr:uid="{00000000-0005-0000-0000-000012020000}"/>
    <cellStyle name="Normal 3 3 3 2 2" xfId="565" xr:uid="{00000000-0005-0000-0000-000013020000}"/>
    <cellStyle name="Normal 3 3 3 3" xfId="207" xr:uid="{00000000-0005-0000-0000-000014020000}"/>
    <cellStyle name="Normal 3 3 3 4" xfId="482" xr:uid="{00000000-0005-0000-0000-000015020000}"/>
    <cellStyle name="Normal 3 3 4" xfId="78" xr:uid="{00000000-0005-0000-0000-000016020000}"/>
    <cellStyle name="Normal 3 3 4 2" xfId="328" xr:uid="{00000000-0005-0000-0000-000017020000}"/>
    <cellStyle name="Normal 3 3 4 2 2" xfId="594" xr:uid="{00000000-0005-0000-0000-000018020000}"/>
    <cellStyle name="Normal 3 3 4 3" xfId="237" xr:uid="{00000000-0005-0000-0000-000019020000}"/>
    <cellStyle name="Normal 3 3 4 4" xfId="511" xr:uid="{00000000-0005-0000-0000-00001A020000}"/>
    <cellStyle name="Normal 3 3 5" xfId="103" xr:uid="{00000000-0005-0000-0000-00001B020000}"/>
    <cellStyle name="Normal 3 3 5 2" xfId="275" xr:uid="{00000000-0005-0000-0000-00001C020000}"/>
    <cellStyle name="Normal 3 3 5 3" xfId="541" xr:uid="{00000000-0005-0000-0000-00001D020000}"/>
    <cellStyle name="Normal 3 3 6" xfId="130" xr:uid="{00000000-0005-0000-0000-00001E020000}"/>
    <cellStyle name="Normal 3 3 6 2" xfId="405" xr:uid="{00000000-0005-0000-0000-00001F020000}"/>
    <cellStyle name="Normal 3 3 6 3" xfId="625" xr:uid="{00000000-0005-0000-0000-000020020000}"/>
    <cellStyle name="Normal 3 3 7" xfId="149" xr:uid="{00000000-0005-0000-0000-000021020000}"/>
    <cellStyle name="Normal 3 3 7 2" xfId="434" xr:uid="{00000000-0005-0000-0000-000022020000}"/>
    <cellStyle name="Normal 3 3 7 3" xfId="654" xr:uid="{00000000-0005-0000-0000-000023020000}"/>
    <cellStyle name="Normal 3 3 8" xfId="166" xr:uid="{00000000-0005-0000-0000-000024020000}"/>
    <cellStyle name="Normal 3 3 9" xfId="183" xr:uid="{00000000-0005-0000-0000-000025020000}"/>
    <cellStyle name="Normal 3 4" xfId="27" xr:uid="{00000000-0005-0000-0000-000026020000}"/>
    <cellStyle name="Normal 3 4 10" xfId="459" xr:uid="{00000000-0005-0000-0000-000027020000}"/>
    <cellStyle name="Normal 3 4 2" xfId="38" xr:uid="{00000000-0005-0000-0000-000028020000}"/>
    <cellStyle name="Normal 3 4 2 2" xfId="62" xr:uid="{00000000-0005-0000-0000-000029020000}"/>
    <cellStyle name="Normal 3 4 2 2 2" xfId="317" xr:uid="{00000000-0005-0000-0000-00002A020000}"/>
    <cellStyle name="Normal 3 4 2 2 2 2" xfId="583" xr:uid="{00000000-0005-0000-0000-00002B020000}"/>
    <cellStyle name="Normal 3 4 2 2 3" xfId="226" xr:uid="{00000000-0005-0000-0000-00002C020000}"/>
    <cellStyle name="Normal 3 4 2 2 4" xfId="500" xr:uid="{00000000-0005-0000-0000-00002D020000}"/>
    <cellStyle name="Normal 3 4 2 3" xfId="90" xr:uid="{00000000-0005-0000-0000-00002E020000}"/>
    <cellStyle name="Normal 3 4 2 3 2" xfId="346" xr:uid="{00000000-0005-0000-0000-00002F020000}"/>
    <cellStyle name="Normal 3 4 2 3 2 2" xfId="612" xr:uid="{00000000-0005-0000-0000-000030020000}"/>
    <cellStyle name="Normal 3 4 2 3 3" xfId="255" xr:uid="{00000000-0005-0000-0000-000031020000}"/>
    <cellStyle name="Normal 3 4 2 3 4" xfId="529" xr:uid="{00000000-0005-0000-0000-000032020000}"/>
    <cellStyle name="Normal 3 4 2 4" xfId="114" xr:uid="{00000000-0005-0000-0000-000033020000}"/>
    <cellStyle name="Normal 3 4 2 4 2" xfId="286" xr:uid="{00000000-0005-0000-0000-000034020000}"/>
    <cellStyle name="Normal 3 4 2 4 3" xfId="552" xr:uid="{00000000-0005-0000-0000-000035020000}"/>
    <cellStyle name="Normal 3 4 2 5" xfId="423" xr:uid="{00000000-0005-0000-0000-000036020000}"/>
    <cellStyle name="Normal 3 4 2 5 2" xfId="643" xr:uid="{00000000-0005-0000-0000-000037020000}"/>
    <cellStyle name="Normal 3 4 2 6" xfId="445" xr:uid="{00000000-0005-0000-0000-000038020000}"/>
    <cellStyle name="Normal 3 4 2 6 2" xfId="665" xr:uid="{00000000-0005-0000-0000-000039020000}"/>
    <cellStyle name="Normal 3 4 2 7" xfId="194" xr:uid="{00000000-0005-0000-0000-00003A020000}"/>
    <cellStyle name="Normal 3 4 2 8" xfId="469" xr:uid="{00000000-0005-0000-0000-00003B020000}"/>
    <cellStyle name="Normal 3 4 3" xfId="52" xr:uid="{00000000-0005-0000-0000-00003C020000}"/>
    <cellStyle name="Normal 3 4 3 2" xfId="300" xr:uid="{00000000-0005-0000-0000-00003D020000}"/>
    <cellStyle name="Normal 3 4 3 2 2" xfId="566" xr:uid="{00000000-0005-0000-0000-00003E020000}"/>
    <cellStyle name="Normal 3 4 3 3" xfId="208" xr:uid="{00000000-0005-0000-0000-00003F020000}"/>
    <cellStyle name="Normal 3 4 3 4" xfId="483" xr:uid="{00000000-0005-0000-0000-000040020000}"/>
    <cellStyle name="Normal 3 4 4" xfId="79" xr:uid="{00000000-0005-0000-0000-000041020000}"/>
    <cellStyle name="Normal 3 4 4 2" xfId="329" xr:uid="{00000000-0005-0000-0000-000042020000}"/>
    <cellStyle name="Normal 3 4 4 2 2" xfId="595" xr:uid="{00000000-0005-0000-0000-000043020000}"/>
    <cellStyle name="Normal 3 4 4 3" xfId="238" xr:uid="{00000000-0005-0000-0000-000044020000}"/>
    <cellStyle name="Normal 3 4 4 4" xfId="512" xr:uid="{00000000-0005-0000-0000-000045020000}"/>
    <cellStyle name="Normal 3 4 5" xfId="104" xr:uid="{00000000-0005-0000-0000-000046020000}"/>
    <cellStyle name="Normal 3 4 5 2" xfId="276" xr:uid="{00000000-0005-0000-0000-000047020000}"/>
    <cellStyle name="Normal 3 4 5 3" xfId="542" xr:uid="{00000000-0005-0000-0000-000048020000}"/>
    <cellStyle name="Normal 3 4 6" xfId="131" xr:uid="{00000000-0005-0000-0000-000049020000}"/>
    <cellStyle name="Normal 3 4 6 2" xfId="406" xr:uid="{00000000-0005-0000-0000-00004A020000}"/>
    <cellStyle name="Normal 3 4 6 3" xfId="626" xr:uid="{00000000-0005-0000-0000-00004B020000}"/>
    <cellStyle name="Normal 3 4 7" xfId="150" xr:uid="{00000000-0005-0000-0000-00004C020000}"/>
    <cellStyle name="Normal 3 4 7 2" xfId="435" xr:uid="{00000000-0005-0000-0000-00004D020000}"/>
    <cellStyle name="Normal 3 4 7 3" xfId="655" xr:uid="{00000000-0005-0000-0000-00004E020000}"/>
    <cellStyle name="Normal 3 4 8" xfId="167" xr:uid="{00000000-0005-0000-0000-00004F020000}"/>
    <cellStyle name="Normal 3 4 9" xfId="184" xr:uid="{00000000-0005-0000-0000-000050020000}"/>
    <cellStyle name="Normal 3 5" xfId="30" xr:uid="{00000000-0005-0000-0000-000051020000}"/>
    <cellStyle name="Normal 3 5 2" xfId="54" xr:uid="{00000000-0005-0000-0000-000052020000}"/>
    <cellStyle name="Normal 3 5 2 2" xfId="210" xr:uid="{00000000-0005-0000-0000-000053020000}"/>
    <cellStyle name="Normal 3 5 3" xfId="82" xr:uid="{00000000-0005-0000-0000-000054020000}"/>
    <cellStyle name="Normal 3 5 3 2" xfId="278" xr:uid="{00000000-0005-0000-0000-000055020000}"/>
    <cellStyle name="Normal 3 5 3 3" xfId="544" xr:uid="{00000000-0005-0000-0000-000056020000}"/>
    <cellStyle name="Normal 3 5 4" xfId="65" xr:uid="{00000000-0005-0000-0000-000057020000}"/>
    <cellStyle name="Normal 3 5 4 2" xfId="437" xr:uid="{00000000-0005-0000-0000-000058020000}"/>
    <cellStyle name="Normal 3 5 4 3" xfId="657" xr:uid="{00000000-0005-0000-0000-000059020000}"/>
    <cellStyle name="Normal 3 5 5" xfId="106" xr:uid="{00000000-0005-0000-0000-00005A020000}"/>
    <cellStyle name="Normal 3 5 6" xfId="186" xr:uid="{00000000-0005-0000-0000-00005B020000}"/>
    <cellStyle name="Normal 3 5 7" xfId="461" xr:uid="{00000000-0005-0000-0000-00005C020000}"/>
    <cellStyle name="Normal 3 6" xfId="42" xr:uid="{00000000-0005-0000-0000-00005D020000}"/>
    <cellStyle name="Normal 3 6 2" xfId="85" xr:uid="{00000000-0005-0000-0000-00005E020000}"/>
    <cellStyle name="Normal 3 6 2 2" xfId="332" xr:uid="{00000000-0005-0000-0000-00005F020000}"/>
    <cellStyle name="Normal 3 6 2 2 2" xfId="598" xr:uid="{00000000-0005-0000-0000-000060020000}"/>
    <cellStyle name="Normal 3 6 2 3" xfId="241" xr:uid="{00000000-0005-0000-0000-000061020000}"/>
    <cellStyle name="Normal 3 6 2 4" xfId="515" xr:uid="{00000000-0005-0000-0000-000062020000}"/>
    <cellStyle name="Normal 3 6 3" xfId="134" xr:uid="{00000000-0005-0000-0000-000063020000}"/>
    <cellStyle name="Normal 3 6 3 2" xfId="303" xr:uid="{00000000-0005-0000-0000-000064020000}"/>
    <cellStyle name="Normal 3 6 3 3" xfId="569" xr:uid="{00000000-0005-0000-0000-000065020000}"/>
    <cellStyle name="Normal 3 6 4" xfId="153" xr:uid="{00000000-0005-0000-0000-000066020000}"/>
    <cellStyle name="Normal 3 6 4 2" xfId="409" xr:uid="{00000000-0005-0000-0000-000067020000}"/>
    <cellStyle name="Normal 3 6 4 3" xfId="629" xr:uid="{00000000-0005-0000-0000-000068020000}"/>
    <cellStyle name="Normal 3 6 5" xfId="170" xr:uid="{00000000-0005-0000-0000-000069020000}"/>
    <cellStyle name="Normal 3 6 6" xfId="212" xr:uid="{00000000-0005-0000-0000-00006A020000}"/>
    <cellStyle name="Normal 3 6 7" xfId="486" xr:uid="{00000000-0005-0000-0000-00006B020000}"/>
    <cellStyle name="Normal 3 7" xfId="68" xr:uid="{00000000-0005-0000-0000-00006C020000}"/>
    <cellStyle name="Normal 3 7 2" xfId="245" xr:uid="{00000000-0005-0000-0000-00006D020000}"/>
    <cellStyle name="Normal 3 7 2 2" xfId="336" xr:uid="{00000000-0005-0000-0000-00006E020000}"/>
    <cellStyle name="Normal 3 7 2 2 2" xfId="602" xr:uid="{00000000-0005-0000-0000-00006F020000}"/>
    <cellStyle name="Normal 3 7 2 3" xfId="519" xr:uid="{00000000-0005-0000-0000-000070020000}"/>
    <cellStyle name="Normal 3 7 3" xfId="307" xr:uid="{00000000-0005-0000-0000-000071020000}"/>
    <cellStyle name="Normal 3 7 3 2" xfId="573" xr:uid="{00000000-0005-0000-0000-000072020000}"/>
    <cellStyle name="Normal 3 7 4" xfId="413" xr:uid="{00000000-0005-0000-0000-000073020000}"/>
    <cellStyle name="Normal 3 7 4 2" xfId="633" xr:uid="{00000000-0005-0000-0000-000074020000}"/>
    <cellStyle name="Normal 3 7 5" xfId="216" xr:uid="{00000000-0005-0000-0000-000075020000}"/>
    <cellStyle name="Normal 3 7 6" xfId="490" xr:uid="{00000000-0005-0000-0000-000076020000}"/>
    <cellStyle name="Normal 3 8" xfId="94" xr:uid="{00000000-0005-0000-0000-000077020000}"/>
    <cellStyle name="Normal 3 8 2" xfId="290" xr:uid="{00000000-0005-0000-0000-000078020000}"/>
    <cellStyle name="Normal 3 8 2 2" xfId="556" xr:uid="{00000000-0005-0000-0000-000079020000}"/>
    <cellStyle name="Normal 3 8 3" xfId="198" xr:uid="{00000000-0005-0000-0000-00007A020000}"/>
    <cellStyle name="Normal 3 8 4" xfId="473" xr:uid="{00000000-0005-0000-0000-00007B020000}"/>
    <cellStyle name="Normal 3 9" xfId="121" xr:uid="{00000000-0005-0000-0000-00007C020000}"/>
    <cellStyle name="Normal 3 9 2" xfId="319" xr:uid="{00000000-0005-0000-0000-00007D020000}"/>
    <cellStyle name="Normal 3 9 2 2" xfId="585" xr:uid="{00000000-0005-0000-0000-00007E020000}"/>
    <cellStyle name="Normal 3 9 3" xfId="228" xr:uid="{00000000-0005-0000-0000-00007F020000}"/>
    <cellStyle name="Normal 3 9 4" xfId="502" xr:uid="{00000000-0005-0000-0000-000080020000}"/>
    <cellStyle name="Normal 4" xfId="15" xr:uid="{00000000-0005-0000-0000-000081020000}"/>
    <cellStyle name="Normal 4 2" xfId="28" xr:uid="{00000000-0005-0000-0000-000082020000}"/>
    <cellStyle name="Normal 5" xfId="18" xr:uid="{00000000-0005-0000-0000-000083020000}"/>
    <cellStyle name="Normal 6" xfId="83" xr:uid="{00000000-0005-0000-0000-000084020000}"/>
    <cellStyle name="Normal 7" xfId="117" xr:uid="{00000000-0005-0000-0000-000085020000}"/>
    <cellStyle name="Normal 7 2" xfId="256" xr:uid="{00000000-0005-0000-0000-000086020000}"/>
    <cellStyle name="Normal 8" xfId="119" xr:uid="{00000000-0005-0000-0000-000087020000}"/>
    <cellStyle name="Normal 8 2" xfId="347" xr:uid="{00000000-0005-0000-0000-000088020000}"/>
    <cellStyle name="Normal 8 3" xfId="257" xr:uid="{00000000-0005-0000-0000-000089020000}"/>
    <cellStyle name="Normal 9" xfId="137" xr:uid="{00000000-0005-0000-0000-00008A020000}"/>
    <cellStyle name="Normal 9 2" xfId="261" xr:uid="{00000000-0005-0000-0000-00008B020000}"/>
    <cellStyle name="Normal_3crit_2002-03.xls" xfId="11" xr:uid="{00000000-0005-0000-0000-00008C020000}"/>
    <cellStyle name="Pourcentage" xfId="12" builtinId="5"/>
    <cellStyle name="Pourcentage 2" xfId="13" xr:uid="{00000000-0005-0000-0000-000091020000}"/>
    <cellStyle name="Pourcentage 3" xfId="138" xr:uid="{00000000-0005-0000-0000-000092020000}"/>
    <cellStyle name="Pourcentage 3 2" xfId="265" xr:uid="{00000000-0005-0000-0000-000093020000}"/>
    <cellStyle name="Pourcentage 4" xfId="259" xr:uid="{00000000-0005-0000-0000-000094020000}"/>
    <cellStyle name="Satisfaisant 2" xfId="381" xr:uid="{00000000-0005-0000-0000-000095020000}"/>
    <cellStyle name="Sortie 2" xfId="382" xr:uid="{00000000-0005-0000-0000-000096020000}"/>
    <cellStyle name="Texte explicatif 2" xfId="383" xr:uid="{00000000-0005-0000-0000-000097020000}"/>
    <cellStyle name="Titre 2" xfId="384" xr:uid="{00000000-0005-0000-0000-000098020000}"/>
    <cellStyle name="Titre 1 2" xfId="385" xr:uid="{00000000-0005-0000-0000-000099020000}"/>
    <cellStyle name="Titre 2 2" xfId="386" xr:uid="{00000000-0005-0000-0000-00009A020000}"/>
    <cellStyle name="Titre 3 2" xfId="387" xr:uid="{00000000-0005-0000-0000-00009B020000}"/>
    <cellStyle name="Titre 4 2" xfId="388" xr:uid="{00000000-0005-0000-0000-00009C020000}"/>
    <cellStyle name="Total 2" xfId="389" xr:uid="{00000000-0005-0000-0000-00009D020000}"/>
    <cellStyle name="Vérification 2" xfId="390" xr:uid="{00000000-0005-0000-0000-00009E02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rgb="FF00B0F0"/>
  </sheetPr>
  <dimension ref="A1:L543"/>
  <sheetViews>
    <sheetView zoomScaleNormal="100" workbookViewId="0">
      <selection activeCell="C36" sqref="C36"/>
    </sheetView>
  </sheetViews>
  <sheetFormatPr baseColWidth="10" defaultColWidth="10.75" defaultRowHeight="15" x14ac:dyDescent="0.25"/>
  <cols>
    <col min="1" max="1" width="48" style="158" bestFit="1" customWidth="1"/>
    <col min="2" max="2" width="13.75" style="158" customWidth="1"/>
    <col min="3" max="3" width="16.625" style="158" customWidth="1"/>
    <col min="4" max="4" width="12.25" style="158" customWidth="1"/>
    <col min="5" max="5" width="11" style="158" bestFit="1" customWidth="1"/>
    <col min="6" max="6" width="12.125" style="158" bestFit="1" customWidth="1"/>
    <col min="7" max="7" width="12.5" style="158" bestFit="1" customWidth="1"/>
    <col min="8" max="8" width="12" style="158" bestFit="1" customWidth="1"/>
    <col min="9" max="10" width="12.125" style="158" bestFit="1" customWidth="1"/>
    <col min="11" max="11" width="14.375" style="158" bestFit="1" customWidth="1"/>
    <col min="12" max="16384" width="10.75" style="158"/>
  </cols>
  <sheetData>
    <row r="1" spans="1:11" ht="31.5" x14ac:dyDescent="0.5">
      <c r="A1" s="197" t="s">
        <v>376</v>
      </c>
    </row>
    <row r="4" spans="1:11" ht="21" x14ac:dyDescent="0.35">
      <c r="A4" s="177" t="s">
        <v>457</v>
      </c>
    </row>
    <row r="5" spans="1:11" x14ac:dyDescent="0.25">
      <c r="A5" s="158" t="s">
        <v>449</v>
      </c>
      <c r="B5" s="346">
        <v>2020</v>
      </c>
    </row>
    <row r="6" spans="1:11" x14ac:dyDescent="0.25">
      <c r="A6" s="158" t="s">
        <v>497</v>
      </c>
      <c r="B6" s="346" t="s">
        <v>544</v>
      </c>
    </row>
    <row r="7" spans="1:11" x14ac:dyDescent="0.25">
      <c r="A7" s="158" t="s">
        <v>493</v>
      </c>
      <c r="B7" s="178">
        <v>42734</v>
      </c>
    </row>
    <row r="8" spans="1:11" x14ac:dyDescent="0.25">
      <c r="A8" s="158" t="s">
        <v>494</v>
      </c>
      <c r="B8" s="239">
        <v>2020</v>
      </c>
    </row>
    <row r="10" spans="1:11" ht="21" x14ac:dyDescent="0.35">
      <c r="A10" s="177" t="s">
        <v>458</v>
      </c>
      <c r="C10" s="160"/>
      <c r="D10" s="160"/>
    </row>
    <row r="11" spans="1:11" x14ac:dyDescent="0.25">
      <c r="A11" s="158" t="s">
        <v>443</v>
      </c>
      <c r="B11" s="179">
        <v>0.5</v>
      </c>
      <c r="C11" s="168"/>
      <c r="D11" s="168"/>
    </row>
    <row r="12" spans="1:11" x14ac:dyDescent="0.25">
      <c r="A12" s="158" t="s">
        <v>502</v>
      </c>
      <c r="B12" s="179">
        <v>0.3</v>
      </c>
      <c r="C12" s="169"/>
      <c r="D12" s="169"/>
      <c r="F12" s="165"/>
    </row>
    <row r="14" spans="1:11" ht="21" x14ac:dyDescent="0.35">
      <c r="A14" s="177" t="s">
        <v>459</v>
      </c>
      <c r="H14" s="417"/>
      <c r="I14" s="417"/>
      <c r="J14" s="417"/>
      <c r="K14" s="417"/>
    </row>
    <row r="15" spans="1:11" x14ac:dyDescent="0.25">
      <c r="B15" s="170" t="s">
        <v>291</v>
      </c>
      <c r="C15" s="170" t="s">
        <v>292</v>
      </c>
      <c r="D15" s="170" t="s">
        <v>408</v>
      </c>
      <c r="E15" s="170" t="s">
        <v>527</v>
      </c>
      <c r="F15" s="170" t="s">
        <v>528</v>
      </c>
      <c r="H15" s="417"/>
      <c r="I15" s="417"/>
      <c r="J15" s="417"/>
      <c r="K15" s="417"/>
    </row>
    <row r="16" spans="1:11" x14ac:dyDescent="0.25">
      <c r="A16" s="158" t="s">
        <v>501</v>
      </c>
      <c r="B16" s="180">
        <v>0.2</v>
      </c>
      <c r="C16" s="180">
        <v>0.3</v>
      </c>
      <c r="D16" s="180">
        <v>0.4</v>
      </c>
      <c r="E16" s="180">
        <v>0.5</v>
      </c>
      <c r="F16" s="180">
        <v>0.6</v>
      </c>
      <c r="G16" s="364"/>
      <c r="H16" s="417"/>
      <c r="I16" s="417"/>
      <c r="J16" s="417"/>
      <c r="K16" s="417"/>
    </row>
    <row r="17" spans="1:12" x14ac:dyDescent="0.25">
      <c r="A17" s="158" t="s">
        <v>460</v>
      </c>
      <c r="B17" s="180">
        <v>1</v>
      </c>
      <c r="C17" s="180">
        <v>1.2</v>
      </c>
      <c r="D17" s="180">
        <v>1.5</v>
      </c>
      <c r="E17" s="270">
        <v>2</v>
      </c>
      <c r="F17" s="419">
        <v>3</v>
      </c>
      <c r="G17" s="364"/>
      <c r="H17" s="417"/>
      <c r="I17" s="417"/>
      <c r="J17" s="417"/>
      <c r="K17" s="417"/>
    </row>
    <row r="18" spans="1:12" x14ac:dyDescent="0.25">
      <c r="F18" s="160"/>
      <c r="I18" s="160"/>
      <c r="J18" s="160"/>
      <c r="K18" s="160"/>
      <c r="L18" s="160"/>
    </row>
    <row r="19" spans="1:12" x14ac:dyDescent="0.25">
      <c r="B19" s="170" t="s">
        <v>539</v>
      </c>
      <c r="D19" s="271"/>
      <c r="E19" s="271"/>
      <c r="F19" s="271"/>
      <c r="I19" s="160"/>
      <c r="J19" s="160"/>
      <c r="K19" s="160"/>
      <c r="L19" s="160"/>
    </row>
    <row r="20" spans="1:12" x14ac:dyDescent="0.25">
      <c r="A20" s="158" t="s">
        <v>513</v>
      </c>
      <c r="B20" s="180">
        <v>0</v>
      </c>
      <c r="D20" s="417"/>
      <c r="E20" s="417"/>
      <c r="I20" s="160"/>
      <c r="J20" s="160"/>
      <c r="K20" s="160"/>
      <c r="L20" s="160"/>
    </row>
    <row r="21" spans="1:12" x14ac:dyDescent="0.25">
      <c r="B21" s="417" t="s">
        <v>612</v>
      </c>
      <c r="F21" s="160"/>
      <c r="I21" s="160"/>
      <c r="J21" s="160"/>
      <c r="K21" s="160"/>
      <c r="L21" s="160"/>
    </row>
    <row r="22" spans="1:12" x14ac:dyDescent="0.25">
      <c r="F22" s="160"/>
      <c r="I22" s="160"/>
      <c r="J22" s="160"/>
      <c r="K22" s="160"/>
      <c r="L22" s="160"/>
    </row>
    <row r="23" spans="1:12" ht="21" x14ac:dyDescent="0.35">
      <c r="A23" s="177" t="s">
        <v>461</v>
      </c>
      <c r="B23" s="160"/>
      <c r="C23" s="160"/>
      <c r="D23" s="160"/>
      <c r="E23" s="171"/>
      <c r="F23" s="161"/>
      <c r="I23" s="160"/>
      <c r="J23" s="418"/>
      <c r="K23" s="418"/>
      <c r="L23" s="162"/>
    </row>
    <row r="24" spans="1:12" x14ac:dyDescent="0.25">
      <c r="A24" s="182" t="s">
        <v>498</v>
      </c>
      <c r="B24" s="186">
        <v>0</v>
      </c>
      <c r="C24" s="186">
        <v>1000</v>
      </c>
      <c r="D24" s="186">
        <v>3000</v>
      </c>
      <c r="E24" s="186">
        <v>5000</v>
      </c>
      <c r="F24" s="186">
        <v>9000</v>
      </c>
      <c r="G24" s="186">
        <v>12000</v>
      </c>
      <c r="H24" s="186">
        <v>15000</v>
      </c>
      <c r="I24" s="172"/>
      <c r="J24" s="418"/>
      <c r="K24" s="418"/>
      <c r="L24" s="160"/>
    </row>
    <row r="25" spans="1:12" ht="15" customHeight="1" x14ac:dyDescent="0.25">
      <c r="A25" s="182"/>
      <c r="B25" s="186">
        <v>1000</v>
      </c>
      <c r="C25" s="186">
        <v>3000</v>
      </c>
      <c r="D25" s="186">
        <v>5000</v>
      </c>
      <c r="E25" s="186">
        <v>9000</v>
      </c>
      <c r="F25" s="186">
        <v>12000</v>
      </c>
      <c r="G25" s="186">
        <v>15000</v>
      </c>
      <c r="H25" s="186"/>
      <c r="I25" s="172"/>
      <c r="J25" s="418"/>
      <c r="K25" s="418"/>
      <c r="L25" s="160"/>
    </row>
    <row r="26" spans="1:12" x14ac:dyDescent="0.25">
      <c r="A26" s="183" t="s">
        <v>462</v>
      </c>
      <c r="B26" s="246">
        <v>125</v>
      </c>
      <c r="C26" s="246">
        <v>350</v>
      </c>
      <c r="D26" s="246">
        <v>500</v>
      </c>
      <c r="E26" s="246">
        <v>600</v>
      </c>
      <c r="F26" s="246">
        <v>850</v>
      </c>
      <c r="G26" s="246">
        <v>1000</v>
      </c>
      <c r="H26" s="246">
        <v>1050</v>
      </c>
      <c r="I26" s="173"/>
      <c r="J26" s="418"/>
      <c r="K26" s="418"/>
      <c r="L26" s="160"/>
    </row>
    <row r="27" spans="1:12" x14ac:dyDescent="0.25">
      <c r="A27" s="160" t="s">
        <v>444</v>
      </c>
      <c r="B27" s="262">
        <v>99.4</v>
      </c>
      <c r="C27" s="181"/>
      <c r="D27" s="181"/>
      <c r="E27" s="181"/>
      <c r="F27" s="181"/>
      <c r="G27" s="181"/>
      <c r="H27" s="181"/>
      <c r="I27" s="160"/>
      <c r="J27" s="418"/>
      <c r="K27" s="418"/>
      <c r="L27" s="160"/>
    </row>
    <row r="28" spans="1:12" x14ac:dyDescent="0.25">
      <c r="A28" s="160" t="s">
        <v>445</v>
      </c>
      <c r="B28" s="263">
        <v>98.6</v>
      </c>
      <c r="C28" s="181"/>
      <c r="D28" s="181"/>
      <c r="E28" s="181"/>
      <c r="F28" s="181"/>
      <c r="G28" s="181"/>
      <c r="H28" s="181"/>
      <c r="I28" s="160"/>
      <c r="J28" s="160"/>
      <c r="K28" s="160"/>
      <c r="L28" s="160"/>
    </row>
    <row r="29" spans="1:12" x14ac:dyDescent="0.25">
      <c r="A29" s="160" t="s">
        <v>446</v>
      </c>
      <c r="B29" s="264">
        <f>+B26/$B$27*$B$28</f>
        <v>123.99396378269616</v>
      </c>
      <c r="C29" s="175">
        <f t="shared" ref="C29:H29" si="0">+C26/$B$27*$B$28</f>
        <v>347.18309859154925</v>
      </c>
      <c r="D29" s="175">
        <f t="shared" si="0"/>
        <v>495.97585513078462</v>
      </c>
      <c r="E29" s="175">
        <f t="shared" si="0"/>
        <v>595.17102615694159</v>
      </c>
      <c r="F29" s="175">
        <f t="shared" si="0"/>
        <v>843.15895372233388</v>
      </c>
      <c r="G29" s="175">
        <f t="shared" si="0"/>
        <v>991.95171026156925</v>
      </c>
      <c r="H29" s="175">
        <f t="shared" si="0"/>
        <v>1041.5492957746478</v>
      </c>
      <c r="I29" s="160"/>
      <c r="J29" s="160"/>
      <c r="K29" s="160"/>
      <c r="L29" s="160"/>
    </row>
    <row r="31" spans="1:12" ht="21" x14ac:dyDescent="0.35">
      <c r="A31" s="177" t="s">
        <v>463</v>
      </c>
    </row>
    <row r="32" spans="1:12" x14ac:dyDescent="0.25">
      <c r="A32" s="158" t="s">
        <v>499</v>
      </c>
      <c r="B32" s="187">
        <v>0.27</v>
      </c>
    </row>
    <row r="34" spans="1:12" ht="21" x14ac:dyDescent="0.35">
      <c r="A34" s="177" t="s">
        <v>464</v>
      </c>
    </row>
    <row r="35" spans="1:12" x14ac:dyDescent="0.25">
      <c r="A35" s="158" t="s">
        <v>378</v>
      </c>
      <c r="C35" s="163"/>
    </row>
    <row r="36" spans="1:12" x14ac:dyDescent="0.25">
      <c r="A36" s="158" t="s">
        <v>419</v>
      </c>
      <c r="B36" s="238">
        <v>-14621195.270666298</v>
      </c>
      <c r="C36" s="99">
        <f>Synthèse!L315-Synthèse!F315</f>
        <v>449999.99999940395</v>
      </c>
      <c r="D36" s="185">
        <f>+'J) Plafonnement effort'!J314+'K) Plafonnement aide'!J314+'L) Plafonnement taux'!Q315</f>
        <v>-14621195.270667026</v>
      </c>
      <c r="L36" s="165"/>
    </row>
    <row r="37" spans="1:12" x14ac:dyDescent="0.25">
      <c r="A37" s="158" t="s">
        <v>500</v>
      </c>
      <c r="B37" s="238">
        <v>-450000</v>
      </c>
      <c r="C37" s="164"/>
      <c r="D37" s="165"/>
      <c r="L37" s="165"/>
    </row>
    <row r="38" spans="1:12" x14ac:dyDescent="0.25">
      <c r="G38" s="165"/>
      <c r="H38" s="166"/>
      <c r="L38" s="165"/>
    </row>
    <row r="39" spans="1:12" ht="21" x14ac:dyDescent="0.35">
      <c r="A39" s="177" t="s">
        <v>465</v>
      </c>
      <c r="G39" s="165"/>
      <c r="H39" s="166"/>
      <c r="L39" s="165"/>
    </row>
    <row r="40" spans="1:12" x14ac:dyDescent="0.25">
      <c r="A40" s="176"/>
      <c r="B40" s="189" t="s">
        <v>379</v>
      </c>
      <c r="C40" s="189" t="s">
        <v>377</v>
      </c>
      <c r="E40" s="174" t="s">
        <v>530</v>
      </c>
      <c r="F40" s="174"/>
      <c r="G40" s="191">
        <f>+'D) Ecrêtage'!C314</f>
        <v>39272473.833379671</v>
      </c>
      <c r="H40" s="193"/>
      <c r="I40" s="192" t="s">
        <v>442</v>
      </c>
      <c r="J40" s="174"/>
      <c r="K40" s="99">
        <f>+'I) Dépenses thématiques'!L314</f>
        <v>204443254.61157709</v>
      </c>
    </row>
    <row r="41" spans="1:12" x14ac:dyDescent="0.25">
      <c r="A41" s="158" t="s">
        <v>466</v>
      </c>
      <c r="B41" s="188">
        <v>8</v>
      </c>
      <c r="C41" s="170">
        <f>+H42</f>
        <v>0.75</v>
      </c>
      <c r="E41" s="174" t="s">
        <v>514</v>
      </c>
      <c r="F41" s="174"/>
      <c r="G41" s="320">
        <v>4.5</v>
      </c>
      <c r="H41" s="290">
        <v>0.75</v>
      </c>
      <c r="I41" s="192" t="s">
        <v>214</v>
      </c>
      <c r="J41" s="174"/>
      <c r="K41" s="99">
        <f>+'I) Dépenses thématiques'!R314</f>
        <v>9152083.7170864604</v>
      </c>
    </row>
    <row r="42" spans="1:12" x14ac:dyDescent="0.25">
      <c r="A42" s="158" t="s">
        <v>503</v>
      </c>
      <c r="B42" s="188">
        <v>1</v>
      </c>
      <c r="C42" s="170">
        <f>+H42</f>
        <v>0.75</v>
      </c>
      <c r="E42" s="174" t="s">
        <v>467</v>
      </c>
      <c r="F42" s="174"/>
      <c r="G42" s="190">
        <f>+G40*G41</f>
        <v>176726132.25020853</v>
      </c>
      <c r="H42" s="261">
        <f>IF((G42/K42)&gt;H41,H41,(G42/K42))</f>
        <v>0.75</v>
      </c>
      <c r="I42" s="174" t="s">
        <v>138</v>
      </c>
      <c r="J42" s="174"/>
      <c r="K42" s="99">
        <f>SUM(K40:K41)</f>
        <v>213595338.32866356</v>
      </c>
    </row>
    <row r="43" spans="1:12" x14ac:dyDescent="0.25">
      <c r="E43" s="158" t="s">
        <v>538</v>
      </c>
    </row>
    <row r="44" spans="1:12" ht="21" x14ac:dyDescent="0.35">
      <c r="A44" s="177" t="s">
        <v>468</v>
      </c>
      <c r="H44" s="291"/>
      <c r="K44" s="381"/>
    </row>
    <row r="45" spans="1:12" x14ac:dyDescent="0.25">
      <c r="A45" s="158" t="s">
        <v>520</v>
      </c>
      <c r="B45" s="474">
        <v>45</v>
      </c>
      <c r="H45" s="358"/>
    </row>
    <row r="46" spans="1:12" x14ac:dyDescent="0.25">
      <c r="A46" s="158" t="s">
        <v>504</v>
      </c>
      <c r="B46" s="405">
        <v>48</v>
      </c>
      <c r="C46" s="272" t="s">
        <v>516</v>
      </c>
      <c r="D46" s="321">
        <v>45</v>
      </c>
      <c r="E46" s="272" t="s">
        <v>519</v>
      </c>
      <c r="F46" s="321">
        <v>45</v>
      </c>
      <c r="G46" s="272" t="s">
        <v>539</v>
      </c>
      <c r="H46" s="321">
        <v>48</v>
      </c>
    </row>
    <row r="47" spans="1:12" x14ac:dyDescent="0.25">
      <c r="A47" s="158" t="s">
        <v>505</v>
      </c>
      <c r="B47" s="406">
        <v>-8</v>
      </c>
      <c r="C47" s="272" t="s">
        <v>516</v>
      </c>
      <c r="D47" s="321">
        <v>-6.5</v>
      </c>
      <c r="E47" s="272" t="s">
        <v>517</v>
      </c>
      <c r="F47" s="321">
        <v>8</v>
      </c>
      <c r="G47" s="272" t="s">
        <v>540</v>
      </c>
      <c r="H47" s="321">
        <v>8</v>
      </c>
    </row>
    <row r="48" spans="1:12" x14ac:dyDescent="0.25">
      <c r="A48" s="158" t="s">
        <v>521</v>
      </c>
      <c r="B48" s="475">
        <v>93.407859588714757</v>
      </c>
      <c r="C48" s="386"/>
      <c r="E48" s="318"/>
    </row>
    <row r="49" spans="1:9" x14ac:dyDescent="0.25">
      <c r="A49" s="158" t="s">
        <v>526</v>
      </c>
      <c r="B49" s="269">
        <f>+B48+B61</f>
        <v>93.881913911826331</v>
      </c>
    </row>
    <row r="50" spans="1:9" x14ac:dyDescent="0.25">
      <c r="A50" s="158" t="s">
        <v>511</v>
      </c>
      <c r="B50" s="268">
        <v>48</v>
      </c>
      <c r="I50" s="164"/>
    </row>
    <row r="51" spans="1:9" x14ac:dyDescent="0.25">
      <c r="A51" s="158" t="s">
        <v>512</v>
      </c>
      <c r="B51" s="268">
        <v>85</v>
      </c>
    </row>
    <row r="53" spans="1:9" x14ac:dyDescent="0.25">
      <c r="A53" s="167"/>
      <c r="B53" s="159"/>
    </row>
    <row r="54" spans="1:9" ht="21" x14ac:dyDescent="0.35">
      <c r="A54" s="198" t="s">
        <v>613</v>
      </c>
      <c r="B54" s="160"/>
      <c r="E54" s="385"/>
    </row>
    <row r="55" spans="1:9" x14ac:dyDescent="0.25">
      <c r="A55" s="160" t="s">
        <v>545</v>
      </c>
      <c r="B55" s="184">
        <v>825655960</v>
      </c>
      <c r="C55" s="160"/>
      <c r="D55" s="160"/>
      <c r="E55" s="160"/>
    </row>
    <row r="56" spans="1:9" x14ac:dyDescent="0.25">
      <c r="A56" s="160" t="s">
        <v>546</v>
      </c>
      <c r="B56" s="184">
        <v>844273246</v>
      </c>
      <c r="C56" s="172"/>
      <c r="D56" s="160"/>
      <c r="E56" s="160"/>
    </row>
    <row r="57" spans="1:9" x14ac:dyDescent="0.25">
      <c r="A57" s="160" t="s">
        <v>547</v>
      </c>
      <c r="B57" s="184">
        <f>'L) Plafonnement taux'!I315</f>
        <v>37986675.400474928</v>
      </c>
      <c r="C57" s="417"/>
      <c r="D57" s="417"/>
      <c r="E57" s="160"/>
    </row>
    <row r="58" spans="1:9" x14ac:dyDescent="0.25">
      <c r="A58" s="160" t="s">
        <v>548</v>
      </c>
      <c r="B58" s="184">
        <f>'D) Ecrêtage'!C314</f>
        <v>39272473.833379671</v>
      </c>
      <c r="C58" s="417"/>
      <c r="D58" s="417"/>
      <c r="E58" s="160"/>
    </row>
    <row r="59" spans="1:9" x14ac:dyDescent="0.25">
      <c r="A59" s="160" t="s">
        <v>435</v>
      </c>
      <c r="B59" s="195">
        <f>(B56-B55)*100/B55</f>
        <v>2.2548478908818148</v>
      </c>
      <c r="C59" s="160"/>
      <c r="D59" s="160"/>
      <c r="E59" s="160"/>
    </row>
    <row r="60" spans="1:9" x14ac:dyDescent="0.25">
      <c r="A60" s="160" t="s">
        <v>436</v>
      </c>
      <c r="B60" s="195">
        <f>(B58-B57)*100/B57</f>
        <v>3.3848669812485537</v>
      </c>
      <c r="C60" s="172"/>
      <c r="D60" s="160"/>
      <c r="E60" s="160"/>
    </row>
    <row r="61" spans="1:9" x14ac:dyDescent="0.25">
      <c r="A61" s="160" t="s">
        <v>437</v>
      </c>
      <c r="B61" s="196">
        <f>(B56-B55)/B58</f>
        <v>0.47405432311157902</v>
      </c>
      <c r="C61" s="194"/>
      <c r="D61" s="160"/>
      <c r="E61" s="160"/>
    </row>
    <row r="62" spans="1:9" x14ac:dyDescent="0.25">
      <c r="A62" s="160"/>
      <c r="B62" s="160"/>
      <c r="C62" s="160"/>
      <c r="D62" s="160"/>
      <c r="E62" s="160"/>
    </row>
    <row r="63" spans="1:9" ht="21" x14ac:dyDescent="0.35">
      <c r="A63" s="198" t="s">
        <v>488</v>
      </c>
      <c r="B63" s="160"/>
      <c r="C63" s="160"/>
      <c r="D63" s="160"/>
      <c r="E63" s="160"/>
    </row>
    <row r="64" spans="1:9" x14ac:dyDescent="0.25">
      <c r="A64" s="160" t="s">
        <v>489</v>
      </c>
      <c r="B64" s="229">
        <v>2</v>
      </c>
      <c r="C64" s="160">
        <v>2013</v>
      </c>
      <c r="D64" s="245">
        <v>62118300</v>
      </c>
      <c r="E64" s="158">
        <v>2016</v>
      </c>
      <c r="F64" s="245">
        <f>D66*101.5%</f>
        <v>64955763.00176248</v>
      </c>
      <c r="G64" s="380" t="s">
        <v>529</v>
      </c>
      <c r="H64" s="202">
        <f>+F66*101.5/100</f>
        <v>67922836.702568099</v>
      </c>
    </row>
    <row r="65" spans="1:8" x14ac:dyDescent="0.25">
      <c r="A65" s="160" t="s">
        <v>492</v>
      </c>
      <c r="B65" s="238">
        <f>+H65</f>
        <v>68941679.253106624</v>
      </c>
      <c r="C65" s="160">
        <v>2014</v>
      </c>
      <c r="D65" s="245">
        <f>D64*101.5%</f>
        <v>63050074.499999993</v>
      </c>
      <c r="E65" s="160">
        <v>2017</v>
      </c>
      <c r="F65" s="202">
        <f>+F64*1.015</f>
        <v>65930099.446788907</v>
      </c>
      <c r="G65" s="380" t="s">
        <v>543</v>
      </c>
      <c r="H65" s="202">
        <f>+H64*101.5/100</f>
        <v>68941679.253106624</v>
      </c>
    </row>
    <row r="66" spans="1:8" x14ac:dyDescent="0.25">
      <c r="A66" s="160"/>
      <c r="B66" s="160"/>
      <c r="C66" s="160">
        <v>2015</v>
      </c>
      <c r="D66" s="245">
        <f>D65*101.5%</f>
        <v>63995825.617499985</v>
      </c>
      <c r="E66" s="160">
        <v>2018</v>
      </c>
      <c r="F66" s="202">
        <f>+F65*101.5/100</f>
        <v>66919050.938490741</v>
      </c>
    </row>
    <row r="67" spans="1:8" ht="21" x14ac:dyDescent="0.35">
      <c r="A67" s="198" t="s">
        <v>472</v>
      </c>
    </row>
    <row r="68" spans="1:8" x14ac:dyDescent="0.25">
      <c r="A68" s="158" t="s">
        <v>403</v>
      </c>
      <c r="B68" s="158">
        <v>5621</v>
      </c>
    </row>
    <row r="69" spans="1:8" x14ac:dyDescent="0.25">
      <c r="A69" s="158" t="s">
        <v>326</v>
      </c>
      <c r="B69" s="158">
        <v>5742</v>
      </c>
    </row>
    <row r="70" spans="1:8" x14ac:dyDescent="0.25">
      <c r="A70" s="158" t="s">
        <v>260</v>
      </c>
      <c r="B70" s="158">
        <v>5401</v>
      </c>
    </row>
    <row r="71" spans="1:8" x14ac:dyDescent="0.25">
      <c r="A71" s="158" t="s">
        <v>16</v>
      </c>
      <c r="B71" s="158">
        <v>5851</v>
      </c>
    </row>
    <row r="72" spans="1:8" x14ac:dyDescent="0.25">
      <c r="A72" s="158" t="s">
        <v>73</v>
      </c>
      <c r="B72" s="158">
        <v>5421</v>
      </c>
    </row>
    <row r="73" spans="1:8" x14ac:dyDescent="0.25">
      <c r="A73" s="158" t="s">
        <v>110</v>
      </c>
      <c r="B73" s="158">
        <v>5701</v>
      </c>
    </row>
    <row r="74" spans="1:8" x14ac:dyDescent="0.25">
      <c r="A74" s="158" t="s">
        <v>264</v>
      </c>
      <c r="B74" s="158">
        <v>5743</v>
      </c>
    </row>
    <row r="75" spans="1:8" x14ac:dyDescent="0.25">
      <c r="A75" s="158" t="s">
        <v>440</v>
      </c>
      <c r="B75" s="158">
        <v>5702</v>
      </c>
    </row>
    <row r="76" spans="1:8" x14ac:dyDescent="0.25">
      <c r="A76" s="158" t="s">
        <v>176</v>
      </c>
      <c r="B76" s="158">
        <v>5511</v>
      </c>
    </row>
    <row r="77" spans="1:8" x14ac:dyDescent="0.25">
      <c r="A77" s="158" t="s">
        <v>74</v>
      </c>
      <c r="B77" s="158">
        <v>5422</v>
      </c>
    </row>
    <row r="78" spans="1:8" x14ac:dyDescent="0.25">
      <c r="A78" s="158" t="s">
        <v>345</v>
      </c>
      <c r="B78" s="158">
        <v>5451</v>
      </c>
    </row>
    <row r="79" spans="1:8" x14ac:dyDescent="0.25">
      <c r="A79" s="158" t="s">
        <v>265</v>
      </c>
      <c r="B79" s="158">
        <v>5744</v>
      </c>
    </row>
    <row r="80" spans="1:8" x14ac:dyDescent="0.25">
      <c r="A80" s="158" t="s">
        <v>75</v>
      </c>
      <c r="B80" s="158">
        <v>5423</v>
      </c>
    </row>
    <row r="81" spans="1:2" x14ac:dyDescent="0.25">
      <c r="A81" s="158" t="s">
        <v>111</v>
      </c>
      <c r="B81" s="158">
        <v>5703</v>
      </c>
    </row>
    <row r="82" spans="1:2" x14ac:dyDescent="0.25">
      <c r="A82" s="158" t="s">
        <v>266</v>
      </c>
      <c r="B82" s="158">
        <v>5745</v>
      </c>
    </row>
    <row r="83" spans="1:2" x14ac:dyDescent="0.25">
      <c r="A83" s="158" t="s">
        <v>267</v>
      </c>
      <c r="B83" s="158">
        <v>5746</v>
      </c>
    </row>
    <row r="84" spans="1:2" x14ac:dyDescent="0.25">
      <c r="A84" s="158" t="s">
        <v>220</v>
      </c>
      <c r="B84" s="158">
        <v>5704</v>
      </c>
    </row>
    <row r="85" spans="1:2" x14ac:dyDescent="0.25">
      <c r="A85" s="158" t="s">
        <v>387</v>
      </c>
      <c r="B85" s="158">
        <v>5581</v>
      </c>
    </row>
    <row r="86" spans="1:2" x14ac:dyDescent="0.25">
      <c r="A86" s="158" t="s">
        <v>55</v>
      </c>
      <c r="B86" s="158">
        <v>5902</v>
      </c>
    </row>
    <row r="87" spans="1:2" x14ac:dyDescent="0.25">
      <c r="A87" s="158" t="s">
        <v>177</v>
      </c>
      <c r="B87" s="158">
        <v>5512</v>
      </c>
    </row>
    <row r="88" spans="1:2" x14ac:dyDescent="0.25">
      <c r="A88" s="158" t="s">
        <v>76</v>
      </c>
      <c r="B88" s="158">
        <v>5424</v>
      </c>
    </row>
    <row r="89" spans="1:2" x14ac:dyDescent="0.25">
      <c r="A89" s="158" t="s">
        <v>348</v>
      </c>
      <c r="B89" s="158">
        <v>5471</v>
      </c>
    </row>
    <row r="90" spans="1:2" x14ac:dyDescent="0.25">
      <c r="A90" s="158" t="s">
        <v>261</v>
      </c>
      <c r="B90" s="158">
        <v>5402</v>
      </c>
    </row>
    <row r="91" spans="1:2" x14ac:dyDescent="0.25">
      <c r="A91" s="158" t="s">
        <v>77</v>
      </c>
      <c r="B91" s="158">
        <v>5425</v>
      </c>
    </row>
    <row r="92" spans="1:2" x14ac:dyDescent="0.25">
      <c r="A92" s="158" t="s">
        <v>56</v>
      </c>
      <c r="B92" s="158">
        <v>5903</v>
      </c>
    </row>
    <row r="93" spans="1:2" x14ac:dyDescent="0.25">
      <c r="A93" s="158" t="s">
        <v>178</v>
      </c>
      <c r="B93" s="158">
        <v>5513</v>
      </c>
    </row>
    <row r="94" spans="1:2" x14ac:dyDescent="0.25">
      <c r="A94" s="158" t="s">
        <v>206</v>
      </c>
      <c r="B94" s="158">
        <v>5881</v>
      </c>
    </row>
    <row r="95" spans="1:2" x14ac:dyDescent="0.25">
      <c r="A95" s="158" t="s">
        <v>268</v>
      </c>
      <c r="B95" s="158">
        <v>5747</v>
      </c>
    </row>
    <row r="96" spans="1:2" x14ac:dyDescent="0.25">
      <c r="A96" s="158" t="s">
        <v>221</v>
      </c>
      <c r="B96" s="158">
        <v>5705</v>
      </c>
    </row>
    <row r="97" spans="1:2" x14ac:dyDescent="0.25">
      <c r="A97" s="158" t="s">
        <v>33</v>
      </c>
      <c r="B97" s="158">
        <v>5551</v>
      </c>
    </row>
    <row r="98" spans="1:2" x14ac:dyDescent="0.25">
      <c r="A98" s="158" t="s">
        <v>222</v>
      </c>
      <c r="B98" s="158">
        <v>5706</v>
      </c>
    </row>
    <row r="99" spans="1:2" x14ac:dyDescent="0.25">
      <c r="A99" s="158" t="s">
        <v>179</v>
      </c>
      <c r="B99" s="158">
        <v>5514</v>
      </c>
    </row>
    <row r="100" spans="1:2" x14ac:dyDescent="0.25">
      <c r="A100" s="158" t="s">
        <v>71</v>
      </c>
      <c r="B100" s="158">
        <v>5426</v>
      </c>
    </row>
    <row r="101" spans="1:2" x14ac:dyDescent="0.25">
      <c r="A101" s="158" t="s">
        <v>202</v>
      </c>
      <c r="B101" s="158">
        <v>5661</v>
      </c>
    </row>
    <row r="102" spans="1:2" x14ac:dyDescent="0.25">
      <c r="A102" s="158" t="s">
        <v>426</v>
      </c>
      <c r="B102" s="158">
        <v>5613</v>
      </c>
    </row>
    <row r="103" spans="1:2" x14ac:dyDescent="0.25">
      <c r="A103" s="158" t="s">
        <v>349</v>
      </c>
      <c r="B103" s="158">
        <v>5472</v>
      </c>
    </row>
    <row r="104" spans="1:2" x14ac:dyDescent="0.25">
      <c r="A104" s="158" t="s">
        <v>209</v>
      </c>
      <c r="B104" s="158">
        <v>5473</v>
      </c>
    </row>
    <row r="105" spans="1:2" x14ac:dyDescent="0.25">
      <c r="A105" s="158" t="s">
        <v>147</v>
      </c>
      <c r="B105" s="158">
        <v>5622</v>
      </c>
    </row>
    <row r="106" spans="1:2" x14ac:dyDescent="0.25">
      <c r="A106" s="158" t="s">
        <v>180</v>
      </c>
      <c r="B106" s="158">
        <v>5515</v>
      </c>
    </row>
    <row r="107" spans="1:2" x14ac:dyDescent="0.25">
      <c r="A107" s="158" t="s">
        <v>269</v>
      </c>
      <c r="B107" s="158">
        <v>5748</v>
      </c>
    </row>
    <row r="108" spans="1:2" x14ac:dyDescent="0.25">
      <c r="A108" s="158" t="s">
        <v>148</v>
      </c>
      <c r="B108" s="158">
        <v>5623</v>
      </c>
    </row>
    <row r="109" spans="1:2" x14ac:dyDescent="0.25">
      <c r="A109" s="158" t="s">
        <v>34</v>
      </c>
      <c r="B109" s="158">
        <v>5552</v>
      </c>
    </row>
    <row r="110" spans="1:2" x14ac:dyDescent="0.25">
      <c r="A110" s="158" t="s">
        <v>17</v>
      </c>
      <c r="B110" s="158">
        <v>5852</v>
      </c>
    </row>
    <row r="111" spans="1:2" x14ac:dyDescent="0.25">
      <c r="A111" s="158" t="s">
        <v>18</v>
      </c>
      <c r="B111" s="158">
        <v>5853</v>
      </c>
    </row>
    <row r="112" spans="1:2" x14ac:dyDescent="0.25">
      <c r="A112" s="158" t="s">
        <v>19</v>
      </c>
      <c r="B112" s="158">
        <v>5854</v>
      </c>
    </row>
    <row r="113" spans="1:2" x14ac:dyDescent="0.25">
      <c r="A113" s="158" t="s">
        <v>439</v>
      </c>
      <c r="B113" s="158">
        <v>5624</v>
      </c>
    </row>
    <row r="114" spans="1:2" x14ac:dyDescent="0.25">
      <c r="A114" s="158" t="s">
        <v>300</v>
      </c>
      <c r="B114" s="158">
        <v>5625</v>
      </c>
    </row>
    <row r="115" spans="1:2" x14ac:dyDescent="0.25">
      <c r="A115" s="158" t="s">
        <v>203</v>
      </c>
      <c r="B115" s="158">
        <v>5663</v>
      </c>
    </row>
    <row r="116" spans="1:2" x14ac:dyDescent="0.25">
      <c r="A116" s="158" t="s">
        <v>57</v>
      </c>
      <c r="B116" s="158">
        <v>5904</v>
      </c>
    </row>
    <row r="117" spans="1:2" x14ac:dyDescent="0.25">
      <c r="A117" s="158" t="s">
        <v>35</v>
      </c>
      <c r="B117" s="158">
        <v>5553</v>
      </c>
    </row>
    <row r="118" spans="1:2" x14ac:dyDescent="0.25">
      <c r="A118" s="158" t="s">
        <v>385</v>
      </c>
      <c r="B118" s="158">
        <v>5812</v>
      </c>
    </row>
    <row r="119" spans="1:2" x14ac:dyDescent="0.25">
      <c r="A119" s="158" t="s">
        <v>58</v>
      </c>
      <c r="B119" s="158">
        <v>5905</v>
      </c>
    </row>
    <row r="120" spans="1:2" x14ac:dyDescent="0.25">
      <c r="A120" s="158" t="s">
        <v>207</v>
      </c>
      <c r="B120" s="158">
        <v>5882</v>
      </c>
    </row>
    <row r="121" spans="1:2" x14ac:dyDescent="0.25">
      <c r="A121" s="158" t="s">
        <v>13</v>
      </c>
      <c r="B121" s="158">
        <v>5841</v>
      </c>
    </row>
    <row r="122" spans="1:2" x14ac:dyDescent="0.25">
      <c r="A122" s="158" t="s">
        <v>223</v>
      </c>
      <c r="B122" s="158">
        <v>5707</v>
      </c>
    </row>
    <row r="123" spans="1:2" x14ac:dyDescent="0.25">
      <c r="A123" s="158" t="s">
        <v>224</v>
      </c>
      <c r="B123" s="158">
        <v>5708</v>
      </c>
    </row>
    <row r="124" spans="1:2" x14ac:dyDescent="0.25">
      <c r="A124" s="158" t="s">
        <v>59</v>
      </c>
      <c r="B124" s="158">
        <v>5907</v>
      </c>
    </row>
    <row r="125" spans="1:2" x14ac:dyDescent="0.25">
      <c r="A125" s="158" t="s">
        <v>371</v>
      </c>
      <c r="B125" s="158">
        <v>5475</v>
      </c>
    </row>
    <row r="126" spans="1:2" x14ac:dyDescent="0.25">
      <c r="A126" s="158" t="s">
        <v>254</v>
      </c>
      <c r="B126" s="158">
        <v>5627</v>
      </c>
    </row>
    <row r="127" spans="1:2" x14ac:dyDescent="0.25">
      <c r="A127" s="158" t="s">
        <v>97</v>
      </c>
      <c r="B127" s="158">
        <v>5665</v>
      </c>
    </row>
    <row r="128" spans="1:2" x14ac:dyDescent="0.25">
      <c r="A128" s="158" t="s">
        <v>270</v>
      </c>
      <c r="B128" s="158">
        <v>5749</v>
      </c>
    </row>
    <row r="129" spans="1:2" x14ac:dyDescent="0.25">
      <c r="A129" s="158" t="s">
        <v>60</v>
      </c>
      <c r="B129" s="158">
        <v>5908</v>
      </c>
    </row>
    <row r="130" spans="1:2" x14ac:dyDescent="0.25">
      <c r="A130" s="158" t="s">
        <v>61</v>
      </c>
      <c r="B130" s="158">
        <v>5909</v>
      </c>
    </row>
    <row r="131" spans="1:2" x14ac:dyDescent="0.25">
      <c r="A131" s="158" t="s">
        <v>388</v>
      </c>
      <c r="B131" s="158">
        <v>5582</v>
      </c>
    </row>
    <row r="132" spans="1:2" x14ac:dyDescent="0.25">
      <c r="A132" s="158" t="s">
        <v>225</v>
      </c>
      <c r="B132" s="158">
        <v>5709</v>
      </c>
    </row>
    <row r="133" spans="1:2" x14ac:dyDescent="0.25">
      <c r="A133" s="158" t="s">
        <v>112</v>
      </c>
      <c r="B133" s="158">
        <v>5403</v>
      </c>
    </row>
    <row r="134" spans="1:2" x14ac:dyDescent="0.25">
      <c r="A134" s="158" t="s">
        <v>372</v>
      </c>
      <c r="B134" s="158">
        <v>5476</v>
      </c>
    </row>
    <row r="135" spans="1:2" x14ac:dyDescent="0.25">
      <c r="A135" s="158" t="s">
        <v>386</v>
      </c>
      <c r="B135" s="158">
        <v>5813</v>
      </c>
    </row>
    <row r="136" spans="1:2" x14ac:dyDescent="0.25">
      <c r="A136" s="158" t="s">
        <v>297</v>
      </c>
      <c r="B136" s="158">
        <v>5601</v>
      </c>
    </row>
    <row r="137" spans="1:2" x14ac:dyDescent="0.25">
      <c r="A137" s="158" t="s">
        <v>255</v>
      </c>
      <c r="B137" s="158">
        <v>5628</v>
      </c>
    </row>
    <row r="138" spans="1:2" x14ac:dyDescent="0.25">
      <c r="A138" s="158" t="s">
        <v>151</v>
      </c>
      <c r="B138" s="158">
        <v>5629</v>
      </c>
    </row>
    <row r="139" spans="1:2" x14ac:dyDescent="0.25">
      <c r="A139" s="158" t="s">
        <v>226</v>
      </c>
      <c r="B139" s="158">
        <v>5710</v>
      </c>
    </row>
    <row r="140" spans="1:2" x14ac:dyDescent="0.25">
      <c r="A140" s="158" t="s">
        <v>227</v>
      </c>
      <c r="B140" s="158">
        <v>5711</v>
      </c>
    </row>
    <row r="141" spans="1:2" x14ac:dyDescent="0.25">
      <c r="A141" s="158" t="s">
        <v>36</v>
      </c>
      <c r="B141" s="158">
        <v>5554</v>
      </c>
    </row>
    <row r="142" spans="1:2" x14ac:dyDescent="0.25">
      <c r="A142" s="158" t="s">
        <v>228</v>
      </c>
      <c r="B142" s="158">
        <v>5712</v>
      </c>
    </row>
    <row r="143" spans="1:2" x14ac:dyDescent="0.25">
      <c r="A143" s="158" t="s">
        <v>113</v>
      </c>
      <c r="B143" s="158">
        <v>5404</v>
      </c>
    </row>
    <row r="144" spans="1:2" x14ac:dyDescent="0.25">
      <c r="A144" s="158" t="s">
        <v>278</v>
      </c>
      <c r="B144" s="158">
        <v>5785</v>
      </c>
    </row>
    <row r="145" spans="1:2" x14ac:dyDescent="0.25">
      <c r="A145" s="158" t="s">
        <v>37</v>
      </c>
      <c r="B145" s="158">
        <v>5555</v>
      </c>
    </row>
    <row r="146" spans="1:2" x14ac:dyDescent="0.25">
      <c r="A146" s="158" t="s">
        <v>6</v>
      </c>
      <c r="B146" s="158">
        <v>5816</v>
      </c>
    </row>
    <row r="147" spans="1:2" x14ac:dyDescent="0.25">
      <c r="A147" s="158" t="s">
        <v>208</v>
      </c>
      <c r="B147" s="158">
        <v>5883</v>
      </c>
    </row>
    <row r="148" spans="1:2" x14ac:dyDescent="0.25">
      <c r="A148" s="158" t="s">
        <v>49</v>
      </c>
      <c r="B148" s="158">
        <v>5884</v>
      </c>
    </row>
    <row r="149" spans="1:2" x14ac:dyDescent="0.25">
      <c r="A149" s="158" t="s">
        <v>373</v>
      </c>
      <c r="B149" s="158">
        <v>5477</v>
      </c>
    </row>
    <row r="150" spans="1:2" x14ac:dyDescent="0.25">
      <c r="A150" s="158" t="s">
        <v>240</v>
      </c>
      <c r="B150" s="158">
        <v>5478</v>
      </c>
    </row>
    <row r="151" spans="1:2" x14ac:dyDescent="0.25">
      <c r="A151" s="158" t="s">
        <v>229</v>
      </c>
      <c r="B151" s="158">
        <v>5713</v>
      </c>
    </row>
    <row r="152" spans="1:2" x14ac:dyDescent="0.25">
      <c r="A152" s="158" t="s">
        <v>230</v>
      </c>
      <c r="B152" s="158">
        <v>5714</v>
      </c>
    </row>
    <row r="153" spans="1:2" x14ac:dyDescent="0.25">
      <c r="A153" s="158" t="s">
        <v>389</v>
      </c>
      <c r="B153" s="158">
        <v>5583</v>
      </c>
    </row>
    <row r="154" spans="1:2" x14ac:dyDescent="0.25">
      <c r="A154" s="158" t="s">
        <v>62</v>
      </c>
      <c r="B154" s="158">
        <v>5910</v>
      </c>
    </row>
    <row r="155" spans="1:2" x14ac:dyDescent="0.25">
      <c r="A155" s="158" t="s">
        <v>330</v>
      </c>
      <c r="B155" s="158">
        <v>5752</v>
      </c>
    </row>
    <row r="156" spans="1:2" x14ac:dyDescent="0.25">
      <c r="A156" s="158" t="s">
        <v>241</v>
      </c>
      <c r="B156" s="158">
        <v>5479</v>
      </c>
    </row>
    <row r="157" spans="1:2" x14ac:dyDescent="0.25">
      <c r="A157" s="158" t="s">
        <v>63</v>
      </c>
      <c r="B157" s="158">
        <v>5911</v>
      </c>
    </row>
    <row r="158" spans="1:2" x14ac:dyDescent="0.25">
      <c r="A158" s="158" t="s">
        <v>346</v>
      </c>
      <c r="B158" s="158">
        <v>5456</v>
      </c>
    </row>
    <row r="159" spans="1:2" x14ac:dyDescent="0.25">
      <c r="A159" s="158" t="s">
        <v>181</v>
      </c>
      <c r="B159" s="158">
        <v>5516</v>
      </c>
    </row>
    <row r="160" spans="1:2" x14ac:dyDescent="0.25">
      <c r="A160" s="158" t="s">
        <v>98</v>
      </c>
      <c r="B160" s="158">
        <v>5669</v>
      </c>
    </row>
    <row r="161" spans="1:2" x14ac:dyDescent="0.25">
      <c r="A161" s="158" t="s">
        <v>242</v>
      </c>
      <c r="B161" s="158">
        <v>5480</v>
      </c>
    </row>
    <row r="162" spans="1:2" x14ac:dyDescent="0.25">
      <c r="A162" s="158" t="s">
        <v>64</v>
      </c>
      <c r="B162" s="158">
        <v>5912</v>
      </c>
    </row>
    <row r="163" spans="1:2" x14ac:dyDescent="0.25">
      <c r="A163" s="158" t="s">
        <v>152</v>
      </c>
      <c r="B163" s="158">
        <v>5631</v>
      </c>
    </row>
    <row r="164" spans="1:2" x14ac:dyDescent="0.25">
      <c r="A164" s="158" t="s">
        <v>153</v>
      </c>
      <c r="B164" s="158">
        <v>5632</v>
      </c>
    </row>
    <row r="165" spans="1:2" x14ac:dyDescent="0.25">
      <c r="A165" s="158" t="s">
        <v>243</v>
      </c>
      <c r="B165" s="158">
        <v>5481</v>
      </c>
    </row>
    <row r="166" spans="1:2" x14ac:dyDescent="0.25">
      <c r="A166" s="158" t="s">
        <v>99</v>
      </c>
      <c r="B166" s="158">
        <v>5671</v>
      </c>
    </row>
    <row r="167" spans="1:2" x14ac:dyDescent="0.25">
      <c r="A167" s="158" t="s">
        <v>65</v>
      </c>
      <c r="B167" s="158">
        <v>5913</v>
      </c>
    </row>
    <row r="168" spans="1:2" x14ac:dyDescent="0.25">
      <c r="A168" s="158" t="s">
        <v>231</v>
      </c>
      <c r="B168" s="158">
        <v>5715</v>
      </c>
    </row>
    <row r="169" spans="1:2" x14ac:dyDescent="0.25">
      <c r="A169" s="158" t="s">
        <v>20</v>
      </c>
      <c r="B169" s="158">
        <v>5855</v>
      </c>
    </row>
    <row r="170" spans="1:2" x14ac:dyDescent="0.25">
      <c r="A170" s="158" t="s">
        <v>182</v>
      </c>
      <c r="B170" s="158">
        <v>5518</v>
      </c>
    </row>
    <row r="171" spans="1:2" x14ac:dyDescent="0.25">
      <c r="A171" s="158" t="s">
        <v>154</v>
      </c>
      <c r="B171" s="158">
        <v>5633</v>
      </c>
    </row>
    <row r="172" spans="1:2" x14ac:dyDescent="0.25">
      <c r="A172" s="158" t="s">
        <v>155</v>
      </c>
      <c r="B172" s="158">
        <v>5634</v>
      </c>
    </row>
    <row r="173" spans="1:2" x14ac:dyDescent="0.25">
      <c r="A173" s="158" t="s">
        <v>244</v>
      </c>
      <c r="B173" s="158">
        <v>5482</v>
      </c>
    </row>
    <row r="174" spans="1:2" x14ac:dyDescent="0.25">
      <c r="A174" s="158" t="s">
        <v>156</v>
      </c>
      <c r="B174" s="158">
        <v>5635</v>
      </c>
    </row>
    <row r="175" spans="1:2" x14ac:dyDescent="0.25">
      <c r="A175" s="158" t="s">
        <v>390</v>
      </c>
      <c r="B175" s="158">
        <v>5584</v>
      </c>
    </row>
    <row r="176" spans="1:2" x14ac:dyDescent="0.25">
      <c r="A176" s="158" t="s">
        <v>66</v>
      </c>
      <c r="B176" s="158">
        <v>5914</v>
      </c>
    </row>
    <row r="177" spans="1:2" x14ac:dyDescent="0.25">
      <c r="A177" s="158" t="s">
        <v>279</v>
      </c>
      <c r="B177" s="158">
        <v>5788</v>
      </c>
    </row>
    <row r="178" spans="1:2" x14ac:dyDescent="0.25">
      <c r="A178" s="158" t="s">
        <v>21</v>
      </c>
      <c r="B178" s="158">
        <v>5856</v>
      </c>
    </row>
    <row r="179" spans="1:2" x14ac:dyDescent="0.25">
      <c r="A179" s="158" t="s">
        <v>183</v>
      </c>
      <c r="B179" s="158">
        <v>5520</v>
      </c>
    </row>
    <row r="180" spans="1:2" x14ac:dyDescent="0.25">
      <c r="A180" s="158" t="s">
        <v>184</v>
      </c>
      <c r="B180" s="158">
        <v>5521</v>
      </c>
    </row>
    <row r="181" spans="1:2" x14ac:dyDescent="0.25">
      <c r="A181" s="158" t="s">
        <v>157</v>
      </c>
      <c r="B181" s="158">
        <v>5636</v>
      </c>
    </row>
    <row r="182" spans="1:2" x14ac:dyDescent="0.25">
      <c r="A182" s="158" t="s">
        <v>232</v>
      </c>
      <c r="B182" s="158">
        <v>5716</v>
      </c>
    </row>
    <row r="183" spans="1:2" x14ac:dyDescent="0.25">
      <c r="A183" s="158" t="s">
        <v>347</v>
      </c>
      <c r="B183" s="158">
        <v>5458</v>
      </c>
    </row>
    <row r="184" spans="1:2" x14ac:dyDescent="0.25">
      <c r="A184" s="158" t="s">
        <v>340</v>
      </c>
      <c r="B184" s="158">
        <v>5427</v>
      </c>
    </row>
    <row r="185" spans="1:2" x14ac:dyDescent="0.25">
      <c r="A185" s="158" t="s">
        <v>140</v>
      </c>
      <c r="B185" s="158">
        <v>5483</v>
      </c>
    </row>
    <row r="186" spans="1:2" x14ac:dyDescent="0.25">
      <c r="A186" s="158" t="s">
        <v>185</v>
      </c>
      <c r="B186" s="158">
        <v>5522</v>
      </c>
    </row>
    <row r="187" spans="1:2" x14ac:dyDescent="0.25">
      <c r="A187" s="158" t="s">
        <v>38</v>
      </c>
      <c r="B187" s="158">
        <v>5556</v>
      </c>
    </row>
    <row r="188" spans="1:2" x14ac:dyDescent="0.25">
      <c r="A188" s="158" t="s">
        <v>39</v>
      </c>
      <c r="B188" s="158">
        <v>5557</v>
      </c>
    </row>
    <row r="189" spans="1:2" x14ac:dyDescent="0.25">
      <c r="A189" s="158" t="s">
        <v>143</v>
      </c>
      <c r="B189" s="158">
        <v>5604</v>
      </c>
    </row>
    <row r="190" spans="1:2" x14ac:dyDescent="0.25">
      <c r="A190" s="158" t="s">
        <v>233</v>
      </c>
      <c r="B190" s="158">
        <v>5717</v>
      </c>
    </row>
    <row r="191" spans="1:2" x14ac:dyDescent="0.25">
      <c r="A191" s="158" t="s">
        <v>186</v>
      </c>
      <c r="B191" s="158">
        <v>5523</v>
      </c>
    </row>
    <row r="192" spans="1:2" x14ac:dyDescent="0.25">
      <c r="A192" s="158" t="s">
        <v>234</v>
      </c>
      <c r="B192" s="158">
        <v>5718</v>
      </c>
    </row>
    <row r="193" spans="1:2" x14ac:dyDescent="0.25">
      <c r="A193" s="158" t="s">
        <v>40</v>
      </c>
      <c r="B193" s="158">
        <v>5559</v>
      </c>
    </row>
    <row r="194" spans="1:2" x14ac:dyDescent="0.25">
      <c r="A194" s="158" t="s">
        <v>22</v>
      </c>
      <c r="B194" s="158">
        <v>5857</v>
      </c>
    </row>
    <row r="195" spans="1:2" x14ac:dyDescent="0.25">
      <c r="A195" s="158" t="s">
        <v>341</v>
      </c>
      <c r="B195" s="158">
        <v>5428</v>
      </c>
    </row>
    <row r="196" spans="1:2" x14ac:dyDescent="0.25">
      <c r="A196" s="158" t="s">
        <v>235</v>
      </c>
      <c r="B196" s="158">
        <v>5719</v>
      </c>
    </row>
    <row r="197" spans="1:2" x14ac:dyDescent="0.25">
      <c r="A197" s="158" t="s">
        <v>236</v>
      </c>
      <c r="B197" s="158">
        <v>5720</v>
      </c>
    </row>
    <row r="198" spans="1:2" x14ac:dyDescent="0.25">
      <c r="A198" s="158" t="s">
        <v>237</v>
      </c>
      <c r="B198" s="158">
        <v>5721</v>
      </c>
    </row>
    <row r="199" spans="1:2" x14ac:dyDescent="0.25">
      <c r="A199" s="158" t="s">
        <v>141</v>
      </c>
      <c r="B199" s="158">
        <v>5484</v>
      </c>
    </row>
    <row r="200" spans="1:2" x14ac:dyDescent="0.25">
      <c r="A200" s="158" t="s">
        <v>429</v>
      </c>
      <c r="B200" s="158">
        <v>5541</v>
      </c>
    </row>
    <row r="201" spans="1:2" x14ac:dyDescent="0.25">
      <c r="A201" s="158" t="s">
        <v>142</v>
      </c>
      <c r="B201" s="158">
        <v>5485</v>
      </c>
    </row>
    <row r="202" spans="1:2" x14ac:dyDescent="0.25">
      <c r="A202" s="158" t="s">
        <v>7</v>
      </c>
      <c r="B202" s="158">
        <v>5817</v>
      </c>
    </row>
    <row r="203" spans="1:2" x14ac:dyDescent="0.25">
      <c r="A203" s="158" t="s">
        <v>41</v>
      </c>
      <c r="B203" s="158">
        <v>5560</v>
      </c>
    </row>
    <row r="204" spans="1:2" x14ac:dyDescent="0.25">
      <c r="A204" s="158" t="s">
        <v>42</v>
      </c>
      <c r="B204" s="158">
        <v>5561</v>
      </c>
    </row>
    <row r="205" spans="1:2" x14ac:dyDescent="0.25">
      <c r="A205" s="158" t="s">
        <v>238</v>
      </c>
      <c r="B205" s="158">
        <v>5722</v>
      </c>
    </row>
    <row r="206" spans="1:2" x14ac:dyDescent="0.25">
      <c r="A206" s="158" t="s">
        <v>114</v>
      </c>
      <c r="B206" s="158">
        <v>5405</v>
      </c>
    </row>
    <row r="207" spans="1:2" x14ac:dyDescent="0.25">
      <c r="A207" s="158" t="s">
        <v>8</v>
      </c>
      <c r="B207" s="158">
        <v>5819</v>
      </c>
    </row>
    <row r="208" spans="1:2" x14ac:dyDescent="0.25">
      <c r="A208" s="158" t="s">
        <v>100</v>
      </c>
      <c r="B208" s="158">
        <v>5673</v>
      </c>
    </row>
    <row r="209" spans="1:2" x14ac:dyDescent="0.25">
      <c r="A209" s="158" t="s">
        <v>50</v>
      </c>
      <c r="B209" s="158">
        <v>5885</v>
      </c>
    </row>
    <row r="210" spans="1:2" x14ac:dyDescent="0.25">
      <c r="A210" s="158" t="s">
        <v>431</v>
      </c>
      <c r="B210" s="158">
        <v>5804</v>
      </c>
    </row>
    <row r="211" spans="1:2" x14ac:dyDescent="0.25">
      <c r="A211" s="158" t="s">
        <v>515</v>
      </c>
      <c r="B211" s="158">
        <v>5806</v>
      </c>
    </row>
    <row r="212" spans="1:2" x14ac:dyDescent="0.25">
      <c r="A212" s="158" t="s">
        <v>391</v>
      </c>
      <c r="B212" s="158">
        <v>5585</v>
      </c>
    </row>
    <row r="213" spans="1:2" x14ac:dyDescent="0.25">
      <c r="A213" s="158" t="s">
        <v>331</v>
      </c>
      <c r="B213" s="158">
        <v>5754</v>
      </c>
    </row>
    <row r="214" spans="1:2" x14ac:dyDescent="0.25">
      <c r="A214" s="158" t="s">
        <v>210</v>
      </c>
      <c r="B214" s="158">
        <v>5474</v>
      </c>
    </row>
    <row r="215" spans="1:2" x14ac:dyDescent="0.25">
      <c r="A215" s="158" t="s">
        <v>216</v>
      </c>
      <c r="B215" s="158">
        <v>5758</v>
      </c>
    </row>
    <row r="216" spans="1:2" x14ac:dyDescent="0.25">
      <c r="A216" s="158" t="s">
        <v>318</v>
      </c>
      <c r="B216" s="158">
        <v>5726</v>
      </c>
    </row>
    <row r="217" spans="1:2" x14ac:dyDescent="0.25">
      <c r="A217" s="158" t="s">
        <v>171</v>
      </c>
      <c r="B217" s="158">
        <v>5498</v>
      </c>
    </row>
    <row r="218" spans="1:2" x14ac:dyDescent="0.25">
      <c r="A218" s="158" t="s">
        <v>52</v>
      </c>
      <c r="B218" s="158">
        <v>5889</v>
      </c>
    </row>
    <row r="219" spans="1:2" x14ac:dyDescent="0.25">
      <c r="A219" s="158" t="s">
        <v>29</v>
      </c>
      <c r="B219" s="158">
        <v>5871</v>
      </c>
    </row>
    <row r="220" spans="1:2" x14ac:dyDescent="0.25">
      <c r="A220" s="158" t="s">
        <v>325</v>
      </c>
      <c r="B220" s="158">
        <v>5741</v>
      </c>
    </row>
    <row r="221" spans="1:2" x14ac:dyDescent="0.25">
      <c r="A221" s="158" t="s">
        <v>120</v>
      </c>
      <c r="B221" s="158">
        <v>5586</v>
      </c>
    </row>
    <row r="222" spans="1:2" x14ac:dyDescent="0.25">
      <c r="A222" s="158" t="s">
        <v>115</v>
      </c>
      <c r="B222" s="158">
        <v>5406</v>
      </c>
    </row>
    <row r="223" spans="1:2" x14ac:dyDescent="0.25">
      <c r="A223" s="158" t="s">
        <v>158</v>
      </c>
      <c r="B223" s="158">
        <v>5637</v>
      </c>
    </row>
    <row r="224" spans="1:2" x14ac:dyDescent="0.25">
      <c r="A224" s="158" t="s">
        <v>204</v>
      </c>
      <c r="B224" s="158">
        <v>5872</v>
      </c>
    </row>
    <row r="225" spans="1:2" x14ac:dyDescent="0.25">
      <c r="A225" s="158" t="s">
        <v>205</v>
      </c>
      <c r="B225" s="158">
        <v>5873</v>
      </c>
    </row>
    <row r="226" spans="1:2" x14ac:dyDescent="0.25">
      <c r="A226" s="158" t="s">
        <v>121</v>
      </c>
      <c r="B226" s="158">
        <v>5587</v>
      </c>
    </row>
    <row r="227" spans="1:2" x14ac:dyDescent="0.25">
      <c r="A227" s="158" t="s">
        <v>323</v>
      </c>
      <c r="B227" s="158">
        <v>5731</v>
      </c>
    </row>
    <row r="228" spans="1:2" x14ac:dyDescent="0.25">
      <c r="A228" s="158" t="s">
        <v>271</v>
      </c>
      <c r="B228" s="158">
        <v>5750</v>
      </c>
    </row>
    <row r="229" spans="1:2" x14ac:dyDescent="0.25">
      <c r="A229" s="158" t="s">
        <v>116</v>
      </c>
      <c r="B229" s="158">
        <v>5407</v>
      </c>
    </row>
    <row r="230" spans="1:2" x14ac:dyDescent="0.25">
      <c r="A230" s="158" t="s">
        <v>332</v>
      </c>
      <c r="B230" s="158">
        <v>5755</v>
      </c>
    </row>
    <row r="231" spans="1:2" x14ac:dyDescent="0.25">
      <c r="A231" s="158" t="s">
        <v>1</v>
      </c>
      <c r="B231" s="158">
        <v>5486</v>
      </c>
    </row>
    <row r="232" spans="1:2" x14ac:dyDescent="0.25">
      <c r="A232" s="158" t="s">
        <v>159</v>
      </c>
      <c r="B232" s="158">
        <v>5638</v>
      </c>
    </row>
    <row r="233" spans="1:2" x14ac:dyDescent="0.25">
      <c r="A233" s="158" t="s">
        <v>361</v>
      </c>
      <c r="B233" s="158">
        <v>5429</v>
      </c>
    </row>
    <row r="234" spans="1:2" x14ac:dyDescent="0.25">
      <c r="A234" s="158" t="s">
        <v>101</v>
      </c>
      <c r="B234" s="158">
        <v>5674</v>
      </c>
    </row>
    <row r="235" spans="1:2" x14ac:dyDescent="0.25">
      <c r="A235" s="158" t="s">
        <v>102</v>
      </c>
      <c r="B235" s="158">
        <v>5675</v>
      </c>
    </row>
    <row r="236" spans="1:2" x14ac:dyDescent="0.25">
      <c r="A236" s="158" t="s">
        <v>23</v>
      </c>
      <c r="B236" s="158">
        <v>5858</v>
      </c>
    </row>
    <row r="237" spans="1:2" x14ac:dyDescent="0.25">
      <c r="A237" s="158" t="s">
        <v>160</v>
      </c>
      <c r="B237" s="158">
        <v>5639</v>
      </c>
    </row>
    <row r="238" spans="1:2" x14ac:dyDescent="0.25">
      <c r="A238" s="158" t="s">
        <v>2</v>
      </c>
      <c r="B238" s="158">
        <v>5487</v>
      </c>
    </row>
    <row r="239" spans="1:2" x14ac:dyDescent="0.25">
      <c r="A239" s="158" t="s">
        <v>161</v>
      </c>
      <c r="B239" s="158">
        <v>5640</v>
      </c>
    </row>
    <row r="240" spans="1:2" x14ac:dyDescent="0.25">
      <c r="A240" s="158" t="s">
        <v>144</v>
      </c>
      <c r="B240" s="158">
        <v>5606</v>
      </c>
    </row>
    <row r="241" spans="1:2" x14ac:dyDescent="0.25">
      <c r="A241" s="158" t="s">
        <v>280</v>
      </c>
      <c r="B241" s="158">
        <v>5790</v>
      </c>
    </row>
    <row r="242" spans="1:2" x14ac:dyDescent="0.25">
      <c r="A242" s="158" t="s">
        <v>362</v>
      </c>
      <c r="B242" s="158">
        <v>5430</v>
      </c>
    </row>
    <row r="243" spans="1:2" x14ac:dyDescent="0.25">
      <c r="A243" s="158" t="s">
        <v>392</v>
      </c>
      <c r="B243" s="158">
        <v>5919</v>
      </c>
    </row>
    <row r="244" spans="1:2" x14ac:dyDescent="0.25">
      <c r="A244" s="158" t="s">
        <v>43</v>
      </c>
      <c r="B244" s="158">
        <v>5562</v>
      </c>
    </row>
    <row r="245" spans="1:2" x14ac:dyDescent="0.25">
      <c r="A245" s="158" t="s">
        <v>3</v>
      </c>
      <c r="B245" s="158">
        <v>5488</v>
      </c>
    </row>
    <row r="246" spans="1:2" x14ac:dyDescent="0.25">
      <c r="A246" s="158" t="s">
        <v>4</v>
      </c>
      <c r="B246" s="158">
        <v>5489</v>
      </c>
    </row>
    <row r="247" spans="1:2" x14ac:dyDescent="0.25">
      <c r="A247" s="158" t="s">
        <v>239</v>
      </c>
      <c r="B247" s="158">
        <v>5723</v>
      </c>
    </row>
    <row r="248" spans="1:2" x14ac:dyDescent="0.25">
      <c r="A248" s="158" t="s">
        <v>9</v>
      </c>
      <c r="B248" s="158">
        <v>5821</v>
      </c>
    </row>
    <row r="249" spans="1:2" x14ac:dyDescent="0.25">
      <c r="A249" s="158" t="s">
        <v>5</v>
      </c>
      <c r="B249" s="158">
        <v>5490</v>
      </c>
    </row>
    <row r="250" spans="1:2" x14ac:dyDescent="0.25">
      <c r="A250" s="158" t="s">
        <v>363</v>
      </c>
      <c r="B250" s="158">
        <v>5431</v>
      </c>
    </row>
    <row r="251" spans="1:2" x14ac:dyDescent="0.25">
      <c r="A251" s="158" t="s">
        <v>393</v>
      </c>
      <c r="B251" s="158">
        <v>5921</v>
      </c>
    </row>
    <row r="252" spans="1:2" x14ac:dyDescent="0.25">
      <c r="A252" s="158" t="s">
        <v>272</v>
      </c>
      <c r="B252" s="158">
        <v>5922</v>
      </c>
    </row>
    <row r="253" spans="1:2" x14ac:dyDescent="0.25">
      <c r="A253" s="158" t="s">
        <v>441</v>
      </c>
      <c r="B253" s="158">
        <v>5693</v>
      </c>
    </row>
    <row r="254" spans="1:2" x14ac:dyDescent="0.25">
      <c r="A254" s="158" t="s">
        <v>333</v>
      </c>
      <c r="B254" s="158">
        <v>5756</v>
      </c>
    </row>
    <row r="255" spans="1:2" x14ac:dyDescent="0.25">
      <c r="A255" s="158" t="s">
        <v>364</v>
      </c>
      <c r="B255" s="158">
        <v>5432</v>
      </c>
    </row>
    <row r="256" spans="1:2" x14ac:dyDescent="0.25">
      <c r="A256" s="158" t="s">
        <v>430</v>
      </c>
      <c r="B256" s="158">
        <v>5540</v>
      </c>
    </row>
    <row r="257" spans="1:2" x14ac:dyDescent="0.25">
      <c r="A257" s="158" t="s">
        <v>164</v>
      </c>
      <c r="B257" s="158">
        <v>5491</v>
      </c>
    </row>
    <row r="258" spans="1:2" x14ac:dyDescent="0.25">
      <c r="A258" s="158" t="s">
        <v>281</v>
      </c>
      <c r="B258" s="158">
        <v>5792</v>
      </c>
    </row>
    <row r="259" spans="1:2" x14ac:dyDescent="0.25">
      <c r="A259" s="158" t="s">
        <v>51</v>
      </c>
      <c r="B259" s="158">
        <v>5886</v>
      </c>
    </row>
    <row r="260" spans="1:2" x14ac:dyDescent="0.25">
      <c r="A260" s="158" t="s">
        <v>165</v>
      </c>
      <c r="B260" s="158">
        <v>5492</v>
      </c>
    </row>
    <row r="261" spans="1:2" x14ac:dyDescent="0.25">
      <c r="A261" s="158" t="s">
        <v>24</v>
      </c>
      <c r="B261" s="158">
        <v>5859</v>
      </c>
    </row>
    <row r="262" spans="1:2" x14ac:dyDescent="0.25">
      <c r="A262" s="158" t="s">
        <v>162</v>
      </c>
      <c r="B262" s="158">
        <v>5642</v>
      </c>
    </row>
    <row r="263" spans="1:2" x14ac:dyDescent="0.25">
      <c r="A263" s="158" t="s">
        <v>187</v>
      </c>
      <c r="B263" s="158">
        <v>5527</v>
      </c>
    </row>
    <row r="264" spans="1:2" x14ac:dyDescent="0.25">
      <c r="A264" s="158" t="s">
        <v>103</v>
      </c>
      <c r="B264" s="158">
        <v>5678</v>
      </c>
    </row>
    <row r="265" spans="1:2" x14ac:dyDescent="0.25">
      <c r="A265" s="158" t="s">
        <v>284</v>
      </c>
      <c r="B265" s="158">
        <v>5563</v>
      </c>
    </row>
    <row r="266" spans="1:2" x14ac:dyDescent="0.25">
      <c r="A266" s="158" t="s">
        <v>285</v>
      </c>
      <c r="B266" s="158">
        <v>5564</v>
      </c>
    </row>
    <row r="267" spans="1:2" x14ac:dyDescent="0.25">
      <c r="A267" s="158" t="s">
        <v>117</v>
      </c>
      <c r="B267" s="158">
        <v>5408</v>
      </c>
    </row>
    <row r="268" spans="1:2" x14ac:dyDescent="0.25">
      <c r="A268" s="158" t="s">
        <v>69</v>
      </c>
      <c r="B268" s="158">
        <v>5724</v>
      </c>
    </row>
    <row r="269" spans="1:2" x14ac:dyDescent="0.25">
      <c r="A269" s="158" t="s">
        <v>104</v>
      </c>
      <c r="B269" s="158">
        <v>5680</v>
      </c>
    </row>
    <row r="270" spans="1:2" x14ac:dyDescent="0.25">
      <c r="A270" s="158" t="s">
        <v>118</v>
      </c>
      <c r="B270" s="158">
        <v>5409</v>
      </c>
    </row>
    <row r="271" spans="1:2" x14ac:dyDescent="0.25">
      <c r="A271" s="158" t="s">
        <v>286</v>
      </c>
      <c r="B271" s="158">
        <v>5565</v>
      </c>
    </row>
    <row r="272" spans="1:2" x14ac:dyDescent="0.25">
      <c r="A272" s="158" t="s">
        <v>273</v>
      </c>
      <c r="B272" s="158">
        <v>5923</v>
      </c>
    </row>
    <row r="273" spans="1:2" x14ac:dyDescent="0.25">
      <c r="A273" s="158" t="s">
        <v>334</v>
      </c>
      <c r="B273" s="158">
        <v>5757</v>
      </c>
    </row>
    <row r="274" spans="1:2" x14ac:dyDescent="0.25">
      <c r="A274" s="158" t="s">
        <v>274</v>
      </c>
      <c r="B274" s="158">
        <v>5924</v>
      </c>
    </row>
    <row r="275" spans="1:2" x14ac:dyDescent="0.25">
      <c r="A275" s="158" t="s">
        <v>130</v>
      </c>
      <c r="B275" s="158">
        <v>5410</v>
      </c>
    </row>
    <row r="276" spans="1:2" x14ac:dyDescent="0.25">
      <c r="A276" s="158" t="s">
        <v>131</v>
      </c>
      <c r="B276" s="158">
        <v>5411</v>
      </c>
    </row>
    <row r="277" spans="1:2" x14ac:dyDescent="0.25">
      <c r="A277" s="158" t="s">
        <v>166</v>
      </c>
      <c r="B277" s="158">
        <v>5493</v>
      </c>
    </row>
    <row r="278" spans="1:2" x14ac:dyDescent="0.25">
      <c r="A278" s="158" t="s">
        <v>433</v>
      </c>
      <c r="B278" s="158">
        <v>5805</v>
      </c>
    </row>
    <row r="279" spans="1:2" x14ac:dyDescent="0.25">
      <c r="A279" s="158" t="s">
        <v>397</v>
      </c>
      <c r="B279" s="158">
        <v>5925</v>
      </c>
    </row>
    <row r="280" spans="1:2" x14ac:dyDescent="0.25">
      <c r="A280" s="158" t="s">
        <v>188</v>
      </c>
      <c r="B280" s="158">
        <v>5529</v>
      </c>
    </row>
    <row r="281" spans="1:2" x14ac:dyDescent="0.25">
      <c r="A281" s="158" t="s">
        <v>189</v>
      </c>
      <c r="B281" s="158">
        <v>5530</v>
      </c>
    </row>
    <row r="282" spans="1:2" x14ac:dyDescent="0.25">
      <c r="A282" s="158" t="s">
        <v>167</v>
      </c>
      <c r="B282" s="158">
        <v>5494</v>
      </c>
    </row>
    <row r="283" spans="1:2" x14ac:dyDescent="0.25">
      <c r="A283" s="158" t="s">
        <v>122</v>
      </c>
      <c r="B283" s="158">
        <v>5588</v>
      </c>
    </row>
    <row r="284" spans="1:2" x14ac:dyDescent="0.25">
      <c r="A284" s="158" t="s">
        <v>10</v>
      </c>
      <c r="B284" s="158">
        <v>5822</v>
      </c>
    </row>
    <row r="285" spans="1:2" x14ac:dyDescent="0.25">
      <c r="A285" s="158" t="s">
        <v>168</v>
      </c>
      <c r="B285" s="158">
        <v>5495</v>
      </c>
    </row>
    <row r="286" spans="1:2" x14ac:dyDescent="0.25">
      <c r="A286" s="158" t="s">
        <v>169</v>
      </c>
      <c r="B286" s="158">
        <v>5496</v>
      </c>
    </row>
    <row r="287" spans="1:2" x14ac:dyDescent="0.25">
      <c r="A287" s="158" t="s">
        <v>190</v>
      </c>
      <c r="B287" s="158">
        <v>5531</v>
      </c>
    </row>
    <row r="288" spans="1:2" x14ac:dyDescent="0.25">
      <c r="A288" s="158" t="s">
        <v>25</v>
      </c>
      <c r="B288" s="158">
        <v>5860</v>
      </c>
    </row>
    <row r="289" spans="1:2" x14ac:dyDescent="0.25">
      <c r="A289" s="158" t="s">
        <v>191</v>
      </c>
      <c r="B289" s="158">
        <v>5533</v>
      </c>
    </row>
    <row r="290" spans="1:2" x14ac:dyDescent="0.25">
      <c r="A290" s="158" t="s">
        <v>170</v>
      </c>
      <c r="B290" s="158">
        <v>5497</v>
      </c>
    </row>
    <row r="291" spans="1:2" x14ac:dyDescent="0.25">
      <c r="A291" s="158" t="s">
        <v>398</v>
      </c>
      <c r="B291" s="158">
        <v>5926</v>
      </c>
    </row>
    <row r="292" spans="1:2" x14ac:dyDescent="0.25">
      <c r="A292" s="158" t="s">
        <v>70</v>
      </c>
      <c r="B292" s="158">
        <v>5725</v>
      </c>
    </row>
    <row r="293" spans="1:2" x14ac:dyDescent="0.25">
      <c r="A293" s="158" t="s">
        <v>217</v>
      </c>
      <c r="B293" s="158">
        <v>5759</v>
      </c>
    </row>
    <row r="294" spans="1:2" x14ac:dyDescent="0.25">
      <c r="A294" s="158" t="s">
        <v>163</v>
      </c>
      <c r="B294" s="158">
        <v>5643</v>
      </c>
    </row>
    <row r="295" spans="1:2" x14ac:dyDescent="0.25">
      <c r="A295" s="158" t="s">
        <v>105</v>
      </c>
      <c r="B295" s="158">
        <v>5683</v>
      </c>
    </row>
    <row r="296" spans="1:2" x14ac:dyDescent="0.25">
      <c r="A296" s="158" t="s">
        <v>123</v>
      </c>
      <c r="B296" s="158">
        <v>5589</v>
      </c>
    </row>
    <row r="297" spans="1:2" x14ac:dyDescent="0.25">
      <c r="A297" s="158" t="s">
        <v>287</v>
      </c>
      <c r="B297" s="158">
        <v>5566</v>
      </c>
    </row>
    <row r="298" spans="1:2" x14ac:dyDescent="0.25">
      <c r="A298" s="158" t="s">
        <v>299</v>
      </c>
      <c r="B298" s="158">
        <v>5607</v>
      </c>
    </row>
    <row r="299" spans="1:2" x14ac:dyDescent="0.25">
      <c r="A299" s="158" t="s">
        <v>124</v>
      </c>
      <c r="B299" s="158">
        <v>5590</v>
      </c>
    </row>
    <row r="300" spans="1:2" x14ac:dyDescent="0.25">
      <c r="A300" s="158" t="s">
        <v>218</v>
      </c>
      <c r="B300" s="158">
        <v>5760</v>
      </c>
    </row>
    <row r="301" spans="1:2" x14ac:dyDescent="0.25">
      <c r="A301" s="158" t="s">
        <v>394</v>
      </c>
      <c r="B301" s="158">
        <v>5591</v>
      </c>
    </row>
    <row r="302" spans="1:2" x14ac:dyDescent="0.25">
      <c r="A302" s="158" t="s">
        <v>132</v>
      </c>
      <c r="B302" s="158">
        <v>5412</v>
      </c>
    </row>
    <row r="303" spans="1:2" x14ac:dyDescent="0.25">
      <c r="A303" s="158" t="s">
        <v>311</v>
      </c>
      <c r="B303" s="158">
        <v>5644</v>
      </c>
    </row>
    <row r="304" spans="1:2" x14ac:dyDescent="0.25">
      <c r="A304" s="158" t="s">
        <v>128</v>
      </c>
      <c r="B304" s="158">
        <v>5609</v>
      </c>
    </row>
    <row r="305" spans="1:2" x14ac:dyDescent="0.25">
      <c r="A305" s="158" t="s">
        <v>133</v>
      </c>
      <c r="B305" s="158">
        <v>5413</v>
      </c>
    </row>
    <row r="306" spans="1:2" x14ac:dyDescent="0.25">
      <c r="A306" s="158" t="s">
        <v>26</v>
      </c>
      <c r="B306" s="158">
        <v>5861</v>
      </c>
    </row>
    <row r="307" spans="1:2" x14ac:dyDescent="0.25">
      <c r="A307" s="158" t="s">
        <v>135</v>
      </c>
      <c r="B307" s="158">
        <v>5761</v>
      </c>
    </row>
    <row r="308" spans="1:2" x14ac:dyDescent="0.25">
      <c r="A308" s="158" t="s">
        <v>215</v>
      </c>
      <c r="B308" s="158">
        <v>5592</v>
      </c>
    </row>
    <row r="309" spans="1:2" x14ac:dyDescent="0.25">
      <c r="A309" s="158" t="s">
        <v>312</v>
      </c>
      <c r="B309" s="158">
        <v>5645</v>
      </c>
    </row>
    <row r="310" spans="1:2" x14ac:dyDescent="0.25">
      <c r="A310" s="158" t="s">
        <v>282</v>
      </c>
      <c r="B310" s="158">
        <v>5798</v>
      </c>
    </row>
    <row r="311" spans="1:2" x14ac:dyDescent="0.25">
      <c r="A311" s="158" t="s">
        <v>106</v>
      </c>
      <c r="B311" s="158">
        <v>5684</v>
      </c>
    </row>
    <row r="312" spans="1:2" x14ac:dyDescent="0.25">
      <c r="A312" s="158" t="s">
        <v>14</v>
      </c>
      <c r="B312" s="158">
        <v>5842</v>
      </c>
    </row>
    <row r="313" spans="1:2" x14ac:dyDescent="0.25">
      <c r="A313" s="158" t="s">
        <v>15</v>
      </c>
      <c r="B313" s="158">
        <v>5843</v>
      </c>
    </row>
    <row r="314" spans="1:2" x14ac:dyDescent="0.25">
      <c r="A314" s="158" t="s">
        <v>399</v>
      </c>
      <c r="B314" s="158">
        <v>5928</v>
      </c>
    </row>
    <row r="315" spans="1:2" x14ac:dyDescent="0.25">
      <c r="A315" s="158" t="s">
        <v>192</v>
      </c>
      <c r="B315" s="158">
        <v>5534</v>
      </c>
    </row>
    <row r="316" spans="1:2" x14ac:dyDescent="0.25">
      <c r="A316" s="158" t="s">
        <v>30</v>
      </c>
      <c r="B316" s="158">
        <v>5535</v>
      </c>
    </row>
    <row r="317" spans="1:2" x14ac:dyDescent="0.25">
      <c r="A317" s="158" t="s">
        <v>319</v>
      </c>
      <c r="B317" s="158">
        <v>5727</v>
      </c>
    </row>
    <row r="318" spans="1:2" x14ac:dyDescent="0.25">
      <c r="A318" s="158" t="s">
        <v>119</v>
      </c>
      <c r="B318" s="158">
        <v>5568</v>
      </c>
    </row>
    <row r="319" spans="1:2" x14ac:dyDescent="0.25">
      <c r="A319" s="158" t="s">
        <v>365</v>
      </c>
      <c r="B319" s="158">
        <v>5434</v>
      </c>
    </row>
    <row r="320" spans="1:2" x14ac:dyDescent="0.25">
      <c r="A320" s="158" t="s">
        <v>510</v>
      </c>
      <c r="B320" s="158">
        <v>5888</v>
      </c>
    </row>
    <row r="321" spans="1:2" x14ac:dyDescent="0.25">
      <c r="A321" s="158" t="s">
        <v>342</v>
      </c>
      <c r="B321" s="158">
        <v>5435</v>
      </c>
    </row>
    <row r="322" spans="1:2" x14ac:dyDescent="0.25">
      <c r="A322" s="158" t="s">
        <v>343</v>
      </c>
      <c r="B322" s="158">
        <v>5436</v>
      </c>
    </row>
    <row r="323" spans="1:2" x14ac:dyDescent="0.25">
      <c r="A323" s="158" t="s">
        <v>313</v>
      </c>
      <c r="B323" s="158">
        <v>5646</v>
      </c>
    </row>
    <row r="324" spans="1:2" x14ac:dyDescent="0.25">
      <c r="A324" s="158" t="s">
        <v>314</v>
      </c>
      <c r="B324" s="158">
        <v>5648</v>
      </c>
    </row>
    <row r="325" spans="1:2" x14ac:dyDescent="0.25">
      <c r="A325" s="158" t="s">
        <v>344</v>
      </c>
      <c r="B325" s="158">
        <v>5437</v>
      </c>
    </row>
    <row r="326" spans="1:2" x14ac:dyDescent="0.25">
      <c r="A326" s="158" t="s">
        <v>296</v>
      </c>
      <c r="B326" s="158">
        <v>5611</v>
      </c>
    </row>
    <row r="327" spans="1:2" x14ac:dyDescent="0.25">
      <c r="A327" s="158" t="s">
        <v>172</v>
      </c>
      <c r="B327" s="158">
        <v>5499</v>
      </c>
    </row>
    <row r="328" spans="1:2" x14ac:dyDescent="0.25">
      <c r="A328" s="158" t="s">
        <v>136</v>
      </c>
      <c r="B328" s="158">
        <v>5762</v>
      </c>
    </row>
    <row r="329" spans="1:2" x14ac:dyDescent="0.25">
      <c r="A329" s="158" t="s">
        <v>283</v>
      </c>
      <c r="B329" s="158">
        <v>5799</v>
      </c>
    </row>
    <row r="330" spans="1:2" x14ac:dyDescent="0.25">
      <c r="A330" s="158" t="s">
        <v>173</v>
      </c>
      <c r="B330" s="158">
        <v>5500</v>
      </c>
    </row>
    <row r="331" spans="1:2" x14ac:dyDescent="0.25">
      <c r="A331" s="158" t="s">
        <v>320</v>
      </c>
      <c r="B331" s="158">
        <v>5728</v>
      </c>
    </row>
    <row r="332" spans="1:2" x14ac:dyDescent="0.25">
      <c r="A332" s="158" t="s">
        <v>129</v>
      </c>
      <c r="B332" s="158">
        <v>5610</v>
      </c>
    </row>
    <row r="333" spans="1:2" x14ac:dyDescent="0.25">
      <c r="A333" s="158" t="s">
        <v>400</v>
      </c>
      <c r="B333" s="158">
        <v>5929</v>
      </c>
    </row>
    <row r="334" spans="1:2" x14ac:dyDescent="0.25">
      <c r="A334" s="158" t="s">
        <v>174</v>
      </c>
      <c r="B334" s="158">
        <v>5501</v>
      </c>
    </row>
    <row r="335" spans="1:2" x14ac:dyDescent="0.25">
      <c r="A335" s="158" t="s">
        <v>401</v>
      </c>
      <c r="B335" s="158">
        <v>5930</v>
      </c>
    </row>
    <row r="336" spans="1:2" x14ac:dyDescent="0.25">
      <c r="A336" s="158" t="s">
        <v>107</v>
      </c>
      <c r="B336" s="158">
        <v>5688</v>
      </c>
    </row>
    <row r="337" spans="1:2" x14ac:dyDescent="0.25">
      <c r="A337" s="158" t="s">
        <v>321</v>
      </c>
      <c r="B337" s="158">
        <v>5729</v>
      </c>
    </row>
    <row r="338" spans="1:2" x14ac:dyDescent="0.25">
      <c r="A338" s="158" t="s">
        <v>27</v>
      </c>
      <c r="B338" s="158">
        <v>5862</v>
      </c>
    </row>
    <row r="339" spans="1:2" x14ac:dyDescent="0.25">
      <c r="A339" s="158" t="s">
        <v>427</v>
      </c>
      <c r="B339" s="158">
        <v>5571</v>
      </c>
    </row>
    <row r="340" spans="1:2" x14ac:dyDescent="0.25">
      <c r="A340" s="158" t="s">
        <v>315</v>
      </c>
      <c r="B340" s="158">
        <v>5649</v>
      </c>
    </row>
    <row r="341" spans="1:2" x14ac:dyDescent="0.25">
      <c r="A341" s="158" t="s">
        <v>322</v>
      </c>
      <c r="B341" s="158">
        <v>5730</v>
      </c>
    </row>
    <row r="342" spans="1:2" x14ac:dyDescent="0.25">
      <c r="A342" s="158" t="s">
        <v>11</v>
      </c>
      <c r="B342" s="158">
        <v>5827</v>
      </c>
    </row>
    <row r="343" spans="1:2" x14ac:dyDescent="0.25">
      <c r="A343" s="158" t="s">
        <v>402</v>
      </c>
      <c r="B343" s="158">
        <v>5931</v>
      </c>
    </row>
    <row r="344" spans="1:2" x14ac:dyDescent="0.25">
      <c r="A344" s="158" t="s">
        <v>509</v>
      </c>
      <c r="B344" s="158">
        <v>5828</v>
      </c>
    </row>
    <row r="345" spans="1:2" x14ac:dyDescent="0.25">
      <c r="A345" s="158" t="s">
        <v>275</v>
      </c>
      <c r="B345" s="158">
        <v>5932</v>
      </c>
    </row>
    <row r="346" spans="1:2" x14ac:dyDescent="0.25">
      <c r="A346" s="158" t="s">
        <v>432</v>
      </c>
      <c r="B346" s="158">
        <v>5831</v>
      </c>
    </row>
    <row r="347" spans="1:2" x14ac:dyDescent="0.25">
      <c r="A347" s="158" t="s">
        <v>395</v>
      </c>
      <c r="B347" s="158">
        <v>5933</v>
      </c>
    </row>
    <row r="348" spans="1:2" x14ac:dyDescent="0.25">
      <c r="A348" s="158" t="s">
        <v>137</v>
      </c>
      <c r="B348" s="158">
        <v>5763</v>
      </c>
    </row>
    <row r="349" spans="1:2" x14ac:dyDescent="0.25">
      <c r="A349" s="158" t="s">
        <v>396</v>
      </c>
      <c r="B349" s="158">
        <v>5934</v>
      </c>
    </row>
    <row r="350" spans="1:2" x14ac:dyDescent="0.25">
      <c r="A350" s="158" t="s">
        <v>335</v>
      </c>
      <c r="B350" s="158">
        <v>5764</v>
      </c>
    </row>
    <row r="351" spans="1:2" x14ac:dyDescent="0.25">
      <c r="A351" s="158" t="s">
        <v>336</v>
      </c>
      <c r="B351" s="158">
        <v>5765</v>
      </c>
    </row>
    <row r="352" spans="1:2" x14ac:dyDescent="0.25">
      <c r="A352" s="158" t="s">
        <v>316</v>
      </c>
      <c r="B352" s="158">
        <v>5650</v>
      </c>
    </row>
    <row r="353" spans="1:2" x14ac:dyDescent="0.25">
      <c r="A353" s="158" t="s">
        <v>53</v>
      </c>
      <c r="B353" s="158">
        <v>5890</v>
      </c>
    </row>
    <row r="354" spans="1:2" x14ac:dyDescent="0.25">
      <c r="A354" s="158" t="s">
        <v>54</v>
      </c>
      <c r="B354" s="158">
        <v>5891</v>
      </c>
    </row>
    <row r="355" spans="1:2" x14ac:dyDescent="0.25">
      <c r="A355" s="158" t="s">
        <v>324</v>
      </c>
      <c r="B355" s="158">
        <v>5732</v>
      </c>
    </row>
    <row r="356" spans="1:2" x14ac:dyDescent="0.25">
      <c r="A356" s="158" t="s">
        <v>298</v>
      </c>
      <c r="B356" s="158">
        <v>5935</v>
      </c>
    </row>
    <row r="357" spans="1:2" x14ac:dyDescent="0.25">
      <c r="A357" s="158" t="s">
        <v>108</v>
      </c>
      <c r="B357" s="158">
        <v>5690</v>
      </c>
    </row>
    <row r="358" spans="1:2" x14ac:dyDescent="0.25">
      <c r="A358" s="158" t="s">
        <v>31</v>
      </c>
      <c r="B358" s="158">
        <v>5537</v>
      </c>
    </row>
    <row r="359" spans="1:2" x14ac:dyDescent="0.25">
      <c r="A359" s="158" t="s">
        <v>317</v>
      </c>
      <c r="B359" s="158">
        <v>5651</v>
      </c>
    </row>
    <row r="360" spans="1:2" x14ac:dyDescent="0.25">
      <c r="A360" s="158" t="s">
        <v>198</v>
      </c>
      <c r="B360" s="158">
        <v>5652</v>
      </c>
    </row>
    <row r="361" spans="1:2" x14ac:dyDescent="0.25">
      <c r="A361" s="158" t="s">
        <v>12</v>
      </c>
      <c r="B361" s="158">
        <v>5830</v>
      </c>
    </row>
    <row r="362" spans="1:2" x14ac:dyDescent="0.25">
      <c r="A362" s="158" t="s">
        <v>134</v>
      </c>
      <c r="B362" s="158">
        <v>5414</v>
      </c>
    </row>
    <row r="363" spans="1:2" x14ac:dyDescent="0.25">
      <c r="A363" s="158" t="s">
        <v>28</v>
      </c>
      <c r="B363" s="158">
        <v>5863</v>
      </c>
    </row>
    <row r="364" spans="1:2" x14ac:dyDescent="0.25">
      <c r="A364" s="158" t="s">
        <v>32</v>
      </c>
      <c r="B364" s="158">
        <v>5539</v>
      </c>
    </row>
    <row r="365" spans="1:2" x14ac:dyDescent="0.25">
      <c r="A365" s="158" t="s">
        <v>109</v>
      </c>
      <c r="B365" s="158">
        <v>5692</v>
      </c>
    </row>
    <row r="366" spans="1:2" x14ac:dyDescent="0.25">
      <c r="A366" s="158" t="s">
        <v>175</v>
      </c>
      <c r="B366" s="158">
        <v>5503</v>
      </c>
    </row>
    <row r="367" spans="1:2" x14ac:dyDescent="0.25">
      <c r="A367" s="158" t="s">
        <v>199</v>
      </c>
      <c r="B367" s="158">
        <v>5653</v>
      </c>
    </row>
    <row r="368" spans="1:2" x14ac:dyDescent="0.25">
      <c r="A368" s="158" t="s">
        <v>276</v>
      </c>
      <c r="B368" s="158">
        <v>5937</v>
      </c>
    </row>
    <row r="369" spans="1:2" x14ac:dyDescent="0.25">
      <c r="A369" s="158" t="s">
        <v>337</v>
      </c>
      <c r="B369" s="158">
        <v>5766</v>
      </c>
    </row>
    <row r="370" spans="1:2" x14ac:dyDescent="0.25">
      <c r="A370" s="158" t="s">
        <v>384</v>
      </c>
      <c r="B370" s="158">
        <v>5803</v>
      </c>
    </row>
    <row r="371" spans="1:2" x14ac:dyDescent="0.25">
      <c r="A371" s="158" t="s">
        <v>200</v>
      </c>
      <c r="B371" s="158">
        <v>5654</v>
      </c>
    </row>
    <row r="372" spans="1:2" x14ac:dyDescent="0.25">
      <c r="A372" s="158" t="s">
        <v>428</v>
      </c>
      <c r="B372" s="158">
        <v>5464</v>
      </c>
    </row>
    <row r="373" spans="1:2" x14ac:dyDescent="0.25">
      <c r="A373" s="158" t="s">
        <v>201</v>
      </c>
      <c r="B373" s="158">
        <v>5655</v>
      </c>
    </row>
    <row r="374" spans="1:2" x14ac:dyDescent="0.25">
      <c r="A374" s="158" t="s">
        <v>150</v>
      </c>
      <c r="B374" s="158">
        <v>5938</v>
      </c>
    </row>
    <row r="375" spans="1:2" x14ac:dyDescent="0.25">
      <c r="A375" s="158" t="s">
        <v>149</v>
      </c>
      <c r="B375" s="158">
        <v>5939</v>
      </c>
    </row>
    <row r="376" spans="1:2" x14ac:dyDescent="0.25">
      <c r="A376" s="158" t="s">
        <v>72</v>
      </c>
      <c r="B376" s="158">
        <v>5415</v>
      </c>
    </row>
    <row r="377" spans="1:2" x14ac:dyDescent="0.25">
      <c r="B377" s="160"/>
    </row>
    <row r="378" spans="1:2" x14ac:dyDescent="0.25">
      <c r="B378" s="160"/>
    </row>
    <row r="379" spans="1:2" x14ac:dyDescent="0.25">
      <c r="B379" s="160"/>
    </row>
    <row r="380" spans="1:2" x14ac:dyDescent="0.25">
      <c r="B380" s="160"/>
    </row>
    <row r="381" spans="1:2" x14ac:dyDescent="0.25">
      <c r="B381" s="160"/>
    </row>
    <row r="382" spans="1:2" x14ac:dyDescent="0.25">
      <c r="B382" s="160"/>
    </row>
    <row r="383" spans="1:2" x14ac:dyDescent="0.25">
      <c r="B383" s="160"/>
    </row>
    <row r="384" spans="1:2" x14ac:dyDescent="0.25">
      <c r="B384" s="160"/>
    </row>
    <row r="385" spans="2:2" x14ac:dyDescent="0.25">
      <c r="B385" s="160"/>
    </row>
    <row r="386" spans="2:2" x14ac:dyDescent="0.25">
      <c r="B386" s="160"/>
    </row>
    <row r="387" spans="2:2" x14ac:dyDescent="0.25">
      <c r="B387" s="160"/>
    </row>
    <row r="388" spans="2:2" x14ac:dyDescent="0.25">
      <c r="B388" s="160"/>
    </row>
    <row r="389" spans="2:2" x14ac:dyDescent="0.25">
      <c r="B389" s="160"/>
    </row>
    <row r="390" spans="2:2" x14ac:dyDescent="0.25">
      <c r="B390" s="160"/>
    </row>
    <row r="391" spans="2:2" x14ac:dyDescent="0.25">
      <c r="B391" s="160"/>
    </row>
    <row r="392" spans="2:2" x14ac:dyDescent="0.25">
      <c r="B392" s="160"/>
    </row>
    <row r="393" spans="2:2" x14ac:dyDescent="0.25">
      <c r="B393" s="160"/>
    </row>
    <row r="394" spans="2:2" x14ac:dyDescent="0.25">
      <c r="B394" s="160"/>
    </row>
    <row r="395" spans="2:2" x14ac:dyDescent="0.25">
      <c r="B395" s="160"/>
    </row>
    <row r="396" spans="2:2" x14ac:dyDescent="0.25">
      <c r="B396" s="160"/>
    </row>
    <row r="397" spans="2:2" x14ac:dyDescent="0.25">
      <c r="B397" s="160"/>
    </row>
    <row r="398" spans="2:2" x14ac:dyDescent="0.25">
      <c r="B398" s="160"/>
    </row>
    <row r="399" spans="2:2" x14ac:dyDescent="0.25">
      <c r="B399" s="160"/>
    </row>
    <row r="400" spans="2:2" x14ac:dyDescent="0.25">
      <c r="B400" s="160"/>
    </row>
    <row r="401" spans="2:2" x14ac:dyDescent="0.25">
      <c r="B401" s="160"/>
    </row>
    <row r="402" spans="2:2" x14ac:dyDescent="0.25">
      <c r="B402" s="160"/>
    </row>
    <row r="403" spans="2:2" x14ac:dyDescent="0.25">
      <c r="B403" s="160"/>
    </row>
    <row r="404" spans="2:2" x14ac:dyDescent="0.25">
      <c r="B404" s="160"/>
    </row>
    <row r="405" spans="2:2" x14ac:dyDescent="0.25">
      <c r="B405" s="160"/>
    </row>
    <row r="406" spans="2:2" x14ac:dyDescent="0.25">
      <c r="B406" s="160"/>
    </row>
    <row r="407" spans="2:2" x14ac:dyDescent="0.25">
      <c r="B407" s="160"/>
    </row>
    <row r="408" spans="2:2" x14ac:dyDescent="0.25">
      <c r="B408" s="160"/>
    </row>
    <row r="409" spans="2:2" x14ac:dyDescent="0.25">
      <c r="B409" s="160"/>
    </row>
    <row r="410" spans="2:2" x14ac:dyDescent="0.25">
      <c r="B410" s="160"/>
    </row>
    <row r="411" spans="2:2" x14ac:dyDescent="0.25">
      <c r="B411" s="160"/>
    </row>
    <row r="412" spans="2:2" x14ac:dyDescent="0.25">
      <c r="B412" s="160"/>
    </row>
    <row r="413" spans="2:2" x14ac:dyDescent="0.25">
      <c r="B413" s="160"/>
    </row>
    <row r="414" spans="2:2" x14ac:dyDescent="0.25">
      <c r="B414" s="160"/>
    </row>
    <row r="415" spans="2:2" x14ac:dyDescent="0.25">
      <c r="B415" s="160"/>
    </row>
    <row r="416" spans="2:2" x14ac:dyDescent="0.25">
      <c r="B416" s="160"/>
    </row>
    <row r="417" spans="2:2" x14ac:dyDescent="0.25">
      <c r="B417" s="160"/>
    </row>
    <row r="418" spans="2:2" x14ac:dyDescent="0.25">
      <c r="B418" s="160"/>
    </row>
    <row r="419" spans="2:2" x14ac:dyDescent="0.25">
      <c r="B419" s="160"/>
    </row>
    <row r="420" spans="2:2" x14ac:dyDescent="0.25">
      <c r="B420" s="160"/>
    </row>
    <row r="421" spans="2:2" x14ac:dyDescent="0.25">
      <c r="B421" s="160"/>
    </row>
    <row r="422" spans="2:2" x14ac:dyDescent="0.25">
      <c r="B422" s="160"/>
    </row>
    <row r="423" spans="2:2" x14ac:dyDescent="0.25">
      <c r="B423" s="160"/>
    </row>
    <row r="424" spans="2:2" x14ac:dyDescent="0.25">
      <c r="B424" s="160"/>
    </row>
    <row r="425" spans="2:2" x14ac:dyDescent="0.25">
      <c r="B425" s="160"/>
    </row>
    <row r="426" spans="2:2" x14ac:dyDescent="0.25">
      <c r="B426" s="160"/>
    </row>
    <row r="427" spans="2:2" x14ac:dyDescent="0.25">
      <c r="B427" s="160"/>
    </row>
    <row r="428" spans="2:2" x14ac:dyDescent="0.25">
      <c r="B428" s="160"/>
    </row>
    <row r="429" spans="2:2" x14ac:dyDescent="0.25">
      <c r="B429" s="160"/>
    </row>
    <row r="430" spans="2:2" x14ac:dyDescent="0.25">
      <c r="B430" s="160"/>
    </row>
    <row r="431" spans="2:2" x14ac:dyDescent="0.25">
      <c r="B431" s="160"/>
    </row>
    <row r="432" spans="2:2" x14ac:dyDescent="0.25">
      <c r="B432" s="160"/>
    </row>
    <row r="433" spans="2:2" x14ac:dyDescent="0.25">
      <c r="B433" s="160"/>
    </row>
    <row r="434" spans="2:2" x14ac:dyDescent="0.25">
      <c r="B434" s="160"/>
    </row>
    <row r="435" spans="2:2" x14ac:dyDescent="0.25">
      <c r="B435" s="160"/>
    </row>
    <row r="436" spans="2:2" x14ac:dyDescent="0.25">
      <c r="B436" s="160"/>
    </row>
    <row r="437" spans="2:2" x14ac:dyDescent="0.25">
      <c r="B437" s="160"/>
    </row>
    <row r="438" spans="2:2" x14ac:dyDescent="0.25">
      <c r="B438" s="160"/>
    </row>
    <row r="439" spans="2:2" x14ac:dyDescent="0.25">
      <c r="B439" s="160"/>
    </row>
    <row r="440" spans="2:2" x14ac:dyDescent="0.25">
      <c r="B440" s="160"/>
    </row>
    <row r="441" spans="2:2" x14ac:dyDescent="0.25">
      <c r="B441" s="160"/>
    </row>
    <row r="442" spans="2:2" x14ac:dyDescent="0.25">
      <c r="B442" s="160"/>
    </row>
    <row r="443" spans="2:2" x14ac:dyDescent="0.25">
      <c r="B443" s="160"/>
    </row>
    <row r="444" spans="2:2" x14ac:dyDescent="0.25">
      <c r="B444" s="160"/>
    </row>
    <row r="445" spans="2:2" x14ac:dyDescent="0.25">
      <c r="B445" s="160"/>
    </row>
    <row r="446" spans="2:2" x14ac:dyDescent="0.25">
      <c r="B446" s="160"/>
    </row>
    <row r="447" spans="2:2" x14ac:dyDescent="0.25">
      <c r="B447" s="160"/>
    </row>
    <row r="448" spans="2:2" x14ac:dyDescent="0.25">
      <c r="B448" s="160"/>
    </row>
    <row r="449" spans="2:2" x14ac:dyDescent="0.25">
      <c r="B449" s="160"/>
    </row>
    <row r="450" spans="2:2" x14ac:dyDescent="0.25">
      <c r="B450" s="160"/>
    </row>
    <row r="451" spans="2:2" x14ac:dyDescent="0.25">
      <c r="B451" s="160"/>
    </row>
    <row r="452" spans="2:2" x14ac:dyDescent="0.25">
      <c r="B452" s="160"/>
    </row>
    <row r="453" spans="2:2" x14ac:dyDescent="0.25">
      <c r="B453" s="160"/>
    </row>
    <row r="454" spans="2:2" x14ac:dyDescent="0.25">
      <c r="B454" s="160"/>
    </row>
    <row r="455" spans="2:2" x14ac:dyDescent="0.25">
      <c r="B455" s="160"/>
    </row>
    <row r="456" spans="2:2" x14ac:dyDescent="0.25">
      <c r="B456" s="160"/>
    </row>
    <row r="457" spans="2:2" x14ac:dyDescent="0.25">
      <c r="B457" s="160"/>
    </row>
    <row r="458" spans="2:2" x14ac:dyDescent="0.25">
      <c r="B458" s="160"/>
    </row>
    <row r="459" spans="2:2" x14ac:dyDescent="0.25">
      <c r="B459" s="160"/>
    </row>
    <row r="460" spans="2:2" x14ac:dyDescent="0.25">
      <c r="B460" s="160"/>
    </row>
    <row r="461" spans="2:2" x14ac:dyDescent="0.25">
      <c r="B461" s="160"/>
    </row>
    <row r="462" spans="2:2" x14ac:dyDescent="0.25">
      <c r="B462" s="160"/>
    </row>
    <row r="463" spans="2:2" x14ac:dyDescent="0.25">
      <c r="B463" s="160"/>
    </row>
    <row r="464" spans="2:2" x14ac:dyDescent="0.25">
      <c r="B464" s="160"/>
    </row>
    <row r="465" spans="2:2" x14ac:dyDescent="0.25">
      <c r="B465" s="160"/>
    </row>
    <row r="466" spans="2:2" x14ac:dyDescent="0.25">
      <c r="B466" s="160"/>
    </row>
    <row r="467" spans="2:2" x14ac:dyDescent="0.25">
      <c r="B467" s="160"/>
    </row>
    <row r="468" spans="2:2" x14ac:dyDescent="0.25">
      <c r="B468" s="160"/>
    </row>
    <row r="469" spans="2:2" x14ac:dyDescent="0.25">
      <c r="B469" s="160"/>
    </row>
    <row r="470" spans="2:2" x14ac:dyDescent="0.25">
      <c r="B470" s="160"/>
    </row>
    <row r="471" spans="2:2" x14ac:dyDescent="0.25">
      <c r="B471" s="160"/>
    </row>
    <row r="472" spans="2:2" x14ac:dyDescent="0.25">
      <c r="B472" s="160"/>
    </row>
    <row r="473" spans="2:2" x14ac:dyDescent="0.25">
      <c r="B473" s="160"/>
    </row>
    <row r="474" spans="2:2" x14ac:dyDescent="0.25">
      <c r="B474" s="160"/>
    </row>
    <row r="475" spans="2:2" x14ac:dyDescent="0.25">
      <c r="B475" s="160"/>
    </row>
    <row r="476" spans="2:2" x14ac:dyDescent="0.25">
      <c r="B476" s="160"/>
    </row>
    <row r="477" spans="2:2" x14ac:dyDescent="0.25">
      <c r="B477" s="160"/>
    </row>
    <row r="478" spans="2:2" x14ac:dyDescent="0.25">
      <c r="B478" s="160"/>
    </row>
    <row r="479" spans="2:2" x14ac:dyDescent="0.25">
      <c r="B479" s="160"/>
    </row>
    <row r="480" spans="2:2" x14ac:dyDescent="0.25">
      <c r="B480" s="160"/>
    </row>
    <row r="481" spans="2:2" x14ac:dyDescent="0.25">
      <c r="B481" s="160"/>
    </row>
    <row r="482" spans="2:2" x14ac:dyDescent="0.25">
      <c r="B482" s="160"/>
    </row>
    <row r="483" spans="2:2" x14ac:dyDescent="0.25">
      <c r="B483" s="160"/>
    </row>
    <row r="484" spans="2:2" x14ac:dyDescent="0.25">
      <c r="B484" s="160"/>
    </row>
    <row r="485" spans="2:2" x14ac:dyDescent="0.25">
      <c r="B485" s="160"/>
    </row>
    <row r="486" spans="2:2" x14ac:dyDescent="0.25">
      <c r="B486" s="160"/>
    </row>
    <row r="487" spans="2:2" x14ac:dyDescent="0.25">
      <c r="B487" s="160"/>
    </row>
    <row r="488" spans="2:2" x14ac:dyDescent="0.25">
      <c r="B488" s="160"/>
    </row>
    <row r="489" spans="2:2" x14ac:dyDescent="0.25">
      <c r="B489" s="160"/>
    </row>
    <row r="490" spans="2:2" x14ac:dyDescent="0.25">
      <c r="B490" s="160"/>
    </row>
    <row r="491" spans="2:2" x14ac:dyDescent="0.25">
      <c r="B491" s="160"/>
    </row>
    <row r="492" spans="2:2" x14ac:dyDescent="0.25">
      <c r="B492" s="160"/>
    </row>
    <row r="493" spans="2:2" x14ac:dyDescent="0.25">
      <c r="B493" s="160"/>
    </row>
    <row r="494" spans="2:2" x14ac:dyDescent="0.25">
      <c r="B494" s="160"/>
    </row>
    <row r="495" spans="2:2" x14ac:dyDescent="0.25">
      <c r="B495" s="160"/>
    </row>
    <row r="496" spans="2:2" x14ac:dyDescent="0.25">
      <c r="B496" s="160"/>
    </row>
    <row r="497" spans="2:2" x14ac:dyDescent="0.25">
      <c r="B497" s="160"/>
    </row>
    <row r="498" spans="2:2" x14ac:dyDescent="0.25">
      <c r="B498" s="160"/>
    </row>
    <row r="499" spans="2:2" x14ac:dyDescent="0.25">
      <c r="B499" s="160"/>
    </row>
    <row r="500" spans="2:2" x14ac:dyDescent="0.25">
      <c r="B500" s="160"/>
    </row>
    <row r="501" spans="2:2" x14ac:dyDescent="0.25">
      <c r="B501" s="160"/>
    </row>
    <row r="502" spans="2:2" x14ac:dyDescent="0.25">
      <c r="B502" s="160"/>
    </row>
    <row r="503" spans="2:2" x14ac:dyDescent="0.25">
      <c r="B503" s="160"/>
    </row>
    <row r="504" spans="2:2" x14ac:dyDescent="0.25">
      <c r="B504" s="160"/>
    </row>
    <row r="505" spans="2:2" x14ac:dyDescent="0.25">
      <c r="B505" s="160"/>
    </row>
    <row r="506" spans="2:2" x14ac:dyDescent="0.25">
      <c r="B506" s="160"/>
    </row>
    <row r="507" spans="2:2" x14ac:dyDescent="0.25">
      <c r="B507" s="160"/>
    </row>
    <row r="508" spans="2:2" x14ac:dyDescent="0.25">
      <c r="B508" s="160"/>
    </row>
    <row r="509" spans="2:2" x14ac:dyDescent="0.25">
      <c r="B509" s="160"/>
    </row>
    <row r="510" spans="2:2" x14ac:dyDescent="0.25">
      <c r="B510" s="160"/>
    </row>
    <row r="511" spans="2:2" x14ac:dyDescent="0.25">
      <c r="B511" s="160"/>
    </row>
    <row r="512" spans="2:2" x14ac:dyDescent="0.25">
      <c r="B512" s="160"/>
    </row>
    <row r="513" spans="2:2" x14ac:dyDescent="0.25">
      <c r="B513" s="160"/>
    </row>
    <row r="514" spans="2:2" x14ac:dyDescent="0.25">
      <c r="B514" s="160"/>
    </row>
    <row r="515" spans="2:2" x14ac:dyDescent="0.25">
      <c r="B515" s="160"/>
    </row>
    <row r="516" spans="2:2" x14ac:dyDescent="0.25">
      <c r="B516" s="160"/>
    </row>
    <row r="517" spans="2:2" x14ac:dyDescent="0.25">
      <c r="B517" s="160"/>
    </row>
    <row r="518" spans="2:2" x14ac:dyDescent="0.25">
      <c r="B518" s="160"/>
    </row>
    <row r="519" spans="2:2" x14ac:dyDescent="0.25">
      <c r="B519" s="160"/>
    </row>
    <row r="520" spans="2:2" x14ac:dyDescent="0.25">
      <c r="B520" s="160"/>
    </row>
    <row r="521" spans="2:2" x14ac:dyDescent="0.25">
      <c r="B521" s="160"/>
    </row>
    <row r="522" spans="2:2" x14ac:dyDescent="0.25">
      <c r="B522" s="160"/>
    </row>
    <row r="523" spans="2:2" x14ac:dyDescent="0.25">
      <c r="B523" s="160"/>
    </row>
    <row r="524" spans="2:2" x14ac:dyDescent="0.25">
      <c r="B524" s="160"/>
    </row>
    <row r="525" spans="2:2" x14ac:dyDescent="0.25">
      <c r="B525" s="160"/>
    </row>
    <row r="526" spans="2:2" x14ac:dyDescent="0.25">
      <c r="B526" s="160"/>
    </row>
    <row r="527" spans="2:2" x14ac:dyDescent="0.25">
      <c r="B527" s="160"/>
    </row>
    <row r="528" spans="2:2" x14ac:dyDescent="0.25">
      <c r="B528" s="160"/>
    </row>
    <row r="529" spans="2:2" x14ac:dyDescent="0.25">
      <c r="B529" s="160"/>
    </row>
    <row r="530" spans="2:2" x14ac:dyDescent="0.25">
      <c r="B530" s="160"/>
    </row>
    <row r="531" spans="2:2" x14ac:dyDescent="0.25">
      <c r="B531" s="160"/>
    </row>
    <row r="532" spans="2:2" x14ac:dyDescent="0.25">
      <c r="B532" s="160"/>
    </row>
    <row r="533" spans="2:2" x14ac:dyDescent="0.25">
      <c r="B533" s="160"/>
    </row>
    <row r="534" spans="2:2" x14ac:dyDescent="0.25">
      <c r="B534" s="160"/>
    </row>
    <row r="535" spans="2:2" x14ac:dyDescent="0.25">
      <c r="B535" s="160"/>
    </row>
    <row r="536" spans="2:2" x14ac:dyDescent="0.25">
      <c r="B536" s="160"/>
    </row>
    <row r="537" spans="2:2" x14ac:dyDescent="0.25">
      <c r="B537" s="160"/>
    </row>
    <row r="538" spans="2:2" x14ac:dyDescent="0.25">
      <c r="B538" s="160"/>
    </row>
    <row r="539" spans="2:2" x14ac:dyDescent="0.25">
      <c r="B539" s="160"/>
    </row>
    <row r="540" spans="2:2" x14ac:dyDescent="0.25">
      <c r="B540" s="160"/>
    </row>
    <row r="541" spans="2:2" x14ac:dyDescent="0.25">
      <c r="B541" s="160"/>
    </row>
    <row r="542" spans="2:2" x14ac:dyDescent="0.25">
      <c r="B542" s="160"/>
    </row>
    <row r="543" spans="2:2" x14ac:dyDescent="0.25">
      <c r="B543" s="160"/>
    </row>
  </sheetData>
  <protectedRanges>
    <protectedRange sqref="B26:H26" name="Plage2"/>
    <protectedRange sqref="A377:A406 B11:B12 B28 B32 B36:B37 B41:B42 G41 B64:B65 B20 D20:F20 B46:F48 B16:F17 B45 G46:H47" name="Plage1"/>
    <protectedRange sqref="A68:A376" name="Plage1_3"/>
    <protectedRange sqref="B68:B376" name="Plage1_4"/>
    <protectedRange sqref="B5:B8" name="Plage1_1"/>
    <protectedRange sqref="B55:B56" name="Plage1_2"/>
    <protectedRange sqref="B57" name="Plage1_5"/>
  </protectedRanges>
  <sortState xmlns:xlrd2="http://schemas.microsoft.com/office/spreadsheetml/2017/richdata2" ref="A68:B376">
    <sortCondition ref="A68:A376"/>
  </sortState>
  <phoneticPr fontId="21" type="noConversion"/>
  <printOptions horizontalCentered="1"/>
  <pageMargins left="0" right="0" top="0" bottom="0" header="0.51181102362204722" footer="0.51181102362204722"/>
  <pageSetup paperSize="9" orientation="landscape" horizontalDpi="1200" verticalDpi="12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1">
    <tabColor rgb="FF00B050"/>
  </sheetPr>
  <dimension ref="A1:I344"/>
  <sheetViews>
    <sheetView zoomScaleNormal="100" workbookViewId="0">
      <selection activeCell="A14" sqref="A14:A15"/>
    </sheetView>
  </sheetViews>
  <sheetFormatPr baseColWidth="10" defaultColWidth="11" defaultRowHeight="15" x14ac:dyDescent="0.25"/>
  <cols>
    <col min="1" max="1" width="9.375" style="13" customWidth="1"/>
    <col min="2" max="2" width="22.25" style="13" customWidth="1"/>
    <col min="3" max="3" width="13.375" style="13" customWidth="1"/>
    <col min="4" max="4" width="11.125" style="13" bestFit="1" customWidth="1"/>
    <col min="5" max="5" width="13" style="13" customWidth="1"/>
    <col min="6" max="7" width="12.375" style="13" customWidth="1"/>
    <col min="8" max="9" width="13" style="13" bestFit="1" customWidth="1"/>
    <col min="10" max="10" width="3.5" style="13" customWidth="1"/>
    <col min="11" max="16384" width="11" style="13"/>
  </cols>
  <sheetData>
    <row r="1" spans="1:9" ht="21" x14ac:dyDescent="0.25">
      <c r="A1" s="51" t="s">
        <v>327</v>
      </c>
      <c r="B1" s="42"/>
      <c r="C1" s="68"/>
      <c r="D1" s="68"/>
      <c r="E1" s="68"/>
      <c r="F1" s="68"/>
      <c r="G1" s="68"/>
      <c r="H1" s="68"/>
      <c r="I1" s="68"/>
    </row>
    <row r="3" spans="1:9" x14ac:dyDescent="0.25">
      <c r="A3" s="120" t="s">
        <v>47</v>
      </c>
      <c r="B3" s="121"/>
      <c r="C3" s="122" t="s">
        <v>453</v>
      </c>
      <c r="D3" s="122" t="s">
        <v>407</v>
      </c>
      <c r="E3" s="68"/>
      <c r="F3" s="68"/>
      <c r="G3" s="68"/>
      <c r="H3" s="68"/>
      <c r="I3" s="68"/>
    </row>
    <row r="4" spans="1:9" x14ac:dyDescent="0.25">
      <c r="A4" s="75" t="s">
        <v>94</v>
      </c>
      <c r="B4" s="76"/>
      <c r="C4" s="11">
        <f>E325</f>
        <v>752619397.77990031</v>
      </c>
      <c r="D4" s="35"/>
      <c r="E4" s="68"/>
      <c r="F4" s="68"/>
      <c r="G4" s="68"/>
      <c r="H4" s="68"/>
      <c r="I4" s="68"/>
    </row>
    <row r="5" spans="1:9" x14ac:dyDescent="0.25">
      <c r="A5" s="81" t="s">
        <v>422</v>
      </c>
      <c r="B5" s="45"/>
      <c r="C5" s="10">
        <v>0</v>
      </c>
      <c r="D5" s="33">
        <f>C5/$C$325</f>
        <v>0</v>
      </c>
      <c r="E5" s="68"/>
      <c r="F5" s="68"/>
      <c r="G5" s="68"/>
      <c r="H5" s="68"/>
      <c r="I5" s="68"/>
    </row>
    <row r="6" spans="1:9" x14ac:dyDescent="0.25">
      <c r="A6" s="81" t="s">
        <v>421</v>
      </c>
      <c r="B6" s="45"/>
      <c r="C6" s="10">
        <f>Paramètres!B36</f>
        <v>-14621195.270666298</v>
      </c>
      <c r="D6" s="266">
        <f>C6/$C$325</f>
        <v>-0.37230135622979271</v>
      </c>
      <c r="E6" s="68"/>
      <c r="F6" s="68"/>
      <c r="G6" s="68"/>
      <c r="H6" s="68"/>
      <c r="I6" s="68"/>
    </row>
    <row r="7" spans="1:9" x14ac:dyDescent="0.25">
      <c r="A7" s="81" t="s">
        <v>95</v>
      </c>
      <c r="B7" s="45"/>
      <c r="C7" s="10">
        <f>'I) Dépenses thématiques'!T314</f>
        <v>-160196503.74649748</v>
      </c>
      <c r="D7" s="266">
        <f>C7/$C$325</f>
        <v>-4.0791039654430508</v>
      </c>
      <c r="E7" s="68"/>
      <c r="F7" s="68"/>
      <c r="G7" s="68"/>
      <c r="H7" s="68"/>
      <c r="I7" s="68"/>
    </row>
    <row r="8" spans="1:9" x14ac:dyDescent="0.25">
      <c r="A8" s="83" t="s">
        <v>277</v>
      </c>
      <c r="B8" s="111"/>
      <c r="C8" s="18">
        <f>Paramètres!B37</f>
        <v>-450000</v>
      </c>
      <c r="D8" s="266">
        <f>C8/$C$325</f>
        <v>-1.145840727806462E-2</v>
      </c>
      <c r="E8" s="68"/>
      <c r="F8" s="68"/>
      <c r="G8" s="68"/>
      <c r="H8" s="68"/>
      <c r="I8" s="68"/>
    </row>
    <row r="9" spans="1:9" x14ac:dyDescent="0.25">
      <c r="A9" s="83" t="s">
        <v>355</v>
      </c>
      <c r="B9" s="111"/>
      <c r="C9" s="18">
        <f>SUM(C5:C8)</f>
        <v>-175267699.01716378</v>
      </c>
      <c r="D9" s="98">
        <f>SUM(D5:D8)</f>
        <v>-4.4628637289509081</v>
      </c>
      <c r="E9" s="68"/>
      <c r="F9" s="68"/>
      <c r="G9" s="68"/>
      <c r="H9" s="68"/>
      <c r="I9" s="68"/>
    </row>
    <row r="10" spans="1:9" x14ac:dyDescent="0.25">
      <c r="A10" s="75" t="s">
        <v>425</v>
      </c>
      <c r="B10" s="76"/>
      <c r="C10" s="18">
        <f>-SUM(C4:C8)</f>
        <v>-577351698.76273656</v>
      </c>
      <c r="D10" s="98">
        <f>C10/$C$325</f>
        <v>-14.701179793568695</v>
      </c>
      <c r="E10" s="68"/>
      <c r="F10" s="68"/>
      <c r="G10" s="68"/>
      <c r="H10" s="68"/>
      <c r="I10" s="68"/>
    </row>
    <row r="11" spans="1:9" x14ac:dyDescent="0.25">
      <c r="A11" s="75" t="s">
        <v>354</v>
      </c>
      <c r="B11" s="77"/>
      <c r="C11" s="422">
        <f>C9+C10</f>
        <v>-752619397.77990031</v>
      </c>
      <c r="D11" s="98">
        <f>D10+D9</f>
        <v>-19.164043522519602</v>
      </c>
      <c r="E11" s="68"/>
      <c r="F11" s="68"/>
      <c r="G11" s="68"/>
      <c r="H11" s="68"/>
      <c r="I11" s="68"/>
    </row>
    <row r="14" spans="1:9" ht="60" customHeight="1" x14ac:dyDescent="0.25">
      <c r="A14" s="572" t="s">
        <v>46</v>
      </c>
      <c r="B14" s="572" t="s">
        <v>96</v>
      </c>
      <c r="C14" s="595" t="s">
        <v>532</v>
      </c>
      <c r="D14" s="595" t="s">
        <v>303</v>
      </c>
      <c r="E14" s="64" t="s">
        <v>94</v>
      </c>
      <c r="F14" s="64" t="s">
        <v>353</v>
      </c>
      <c r="G14" s="64" t="s">
        <v>424</v>
      </c>
      <c r="H14" s="64" t="s">
        <v>295</v>
      </c>
      <c r="I14" s="430" t="s">
        <v>406</v>
      </c>
    </row>
    <row r="15" spans="1:9" x14ac:dyDescent="0.25">
      <c r="A15" s="573"/>
      <c r="B15" s="573"/>
      <c r="C15" s="595"/>
      <c r="D15" s="595"/>
      <c r="E15" s="382">
        <f>-D9+F15+G15</f>
        <v>19.164043522519599</v>
      </c>
      <c r="F15" s="383">
        <f>F325/C325</f>
        <v>10.928583456901816</v>
      </c>
      <c r="G15" s="383">
        <f>G325/C325</f>
        <v>3.7725963366668767</v>
      </c>
      <c r="H15" s="383"/>
      <c r="I15" s="116"/>
    </row>
    <row r="16" spans="1:9" x14ac:dyDescent="0.25">
      <c r="A16" s="46">
        <f>'A) Base RI'!A7</f>
        <v>5401</v>
      </c>
      <c r="B16" s="297" t="str">
        <f>'A) Base RI'!B7</f>
        <v>Aigle</v>
      </c>
      <c r="C16" s="31">
        <f>'D) Ecrêtage'!C5</f>
        <v>284723.80196969694</v>
      </c>
      <c r="D16" s="14">
        <f>'A) Base RI'!AO7</f>
        <v>10518</v>
      </c>
      <c r="E16" s="10">
        <f>C16*E$15</f>
        <v>5456459.3328445237</v>
      </c>
      <c r="F16" s="14">
        <f>'F) Population'!K8</f>
        <v>5470911.2676056325</v>
      </c>
      <c r="G16" s="10">
        <f>'G) Solidarité'!I5</f>
        <v>3878403.716029373</v>
      </c>
      <c r="H16" s="14">
        <f>F16+G16</f>
        <v>9349314.9836350046</v>
      </c>
      <c r="I16" s="55">
        <f>E16-H16</f>
        <v>-3892855.6507904809</v>
      </c>
    </row>
    <row r="17" spans="1:9" x14ac:dyDescent="0.25">
      <c r="A17" s="49">
        <f>'A) Base RI'!A8</f>
        <v>5402</v>
      </c>
      <c r="B17" s="32" t="str">
        <f>'A) Base RI'!B8</f>
        <v>Bex</v>
      </c>
      <c r="C17" s="31">
        <f>'D) Ecrêtage'!C6</f>
        <v>179259.20338028169</v>
      </c>
      <c r="D17" s="14">
        <f>'A) Base RI'!AO8</f>
        <v>7828</v>
      </c>
      <c r="E17" s="10">
        <f t="shared" ref="E17:E80" si="0">C17*E$15</f>
        <v>3435331.1753919106</v>
      </c>
      <c r="F17" s="14">
        <f>'F) Population'!K9</f>
        <v>3493455.5331991948</v>
      </c>
      <c r="G17" s="10">
        <f>'G) Solidarité'!I6</f>
        <v>4000662.1294048848</v>
      </c>
      <c r="H17" s="14">
        <f t="shared" ref="H17:H80" si="1">F17+G17</f>
        <v>7494117.6626040796</v>
      </c>
      <c r="I17" s="55">
        <f t="shared" ref="I17:I80" si="2">E17-H17</f>
        <v>-4058786.487212169</v>
      </c>
    </row>
    <row r="18" spans="1:9" x14ac:dyDescent="0.25">
      <c r="A18" s="49">
        <f>'A) Base RI'!A9</f>
        <v>5403</v>
      </c>
      <c r="B18" s="32" t="str">
        <f>'A) Base RI'!B9</f>
        <v>Chessel</v>
      </c>
      <c r="C18" s="31">
        <f>'D) Ecrêtage'!C7</f>
        <v>10797.740270270273</v>
      </c>
      <c r="D18" s="14">
        <f>'A) Base RI'!AO9</f>
        <v>444</v>
      </c>
      <c r="E18" s="10">
        <f t="shared" si="0"/>
        <v>206928.36448432205</v>
      </c>
      <c r="F18" s="14">
        <f>'F) Population'!K10</f>
        <v>55053.319919517096</v>
      </c>
      <c r="G18" s="10">
        <f>'G) Solidarité'!I7</f>
        <v>232649.86225322512</v>
      </c>
      <c r="H18" s="14">
        <f t="shared" si="1"/>
        <v>287703.18217274221</v>
      </c>
      <c r="I18" s="55">
        <f t="shared" si="2"/>
        <v>-80774.817688420153</v>
      </c>
    </row>
    <row r="19" spans="1:9" x14ac:dyDescent="0.25">
      <c r="A19" s="49">
        <f>'A) Base RI'!A10</f>
        <v>5404</v>
      </c>
      <c r="B19" s="32" t="str">
        <f>'A) Base RI'!B10</f>
        <v>Corbeyrier</v>
      </c>
      <c r="C19" s="31">
        <f>'D) Ecrêtage'!C8</f>
        <v>11267.87027027027</v>
      </c>
      <c r="D19" s="14">
        <f>'A) Base RI'!AO10</f>
        <v>445</v>
      </c>
      <c r="E19" s="10">
        <f t="shared" si="0"/>
        <v>215937.95626556413</v>
      </c>
      <c r="F19" s="14">
        <f>'F) Population'!K11</f>
        <v>55177.313883299787</v>
      </c>
      <c r="G19" s="10">
        <f>'G) Solidarité'!I8</f>
        <v>223379.40327697506</v>
      </c>
      <c r="H19" s="14">
        <f t="shared" si="1"/>
        <v>278556.71716027486</v>
      </c>
      <c r="I19" s="55">
        <f t="shared" si="2"/>
        <v>-62618.760894710722</v>
      </c>
    </row>
    <row r="20" spans="1:9" x14ac:dyDescent="0.25">
      <c r="A20" s="49">
        <f>'A) Base RI'!A11</f>
        <v>5405</v>
      </c>
      <c r="B20" s="32" t="str">
        <f>'A) Base RI'!B11</f>
        <v>Gryon</v>
      </c>
      <c r="C20" s="31">
        <f>'D) Ecrêtage'!C9</f>
        <v>68185.794013605453</v>
      </c>
      <c r="D20" s="14">
        <f>'A) Base RI'!AO11</f>
        <v>1378</v>
      </c>
      <c r="E20" s="10">
        <f t="shared" si="0"/>
        <v>1306715.5240942913</v>
      </c>
      <c r="F20" s="14">
        <f>'F) Population'!K12</f>
        <v>255229.17505030177</v>
      </c>
      <c r="G20" s="10">
        <f>'G) Solidarité'!I9</f>
        <v>0</v>
      </c>
      <c r="H20" s="14">
        <f t="shared" si="1"/>
        <v>255229.17505030177</v>
      </c>
      <c r="I20" s="55">
        <f t="shared" si="2"/>
        <v>1051486.3490439896</v>
      </c>
    </row>
    <row r="21" spans="1:9" x14ac:dyDescent="0.25">
      <c r="A21" s="49">
        <f>'A) Base RI'!A12</f>
        <v>5406</v>
      </c>
      <c r="B21" s="32" t="str">
        <f>'A) Base RI'!B12</f>
        <v>Lavey-Morcles</v>
      </c>
      <c r="C21" s="31">
        <f>'D) Ecrêtage'!C10</f>
        <v>21842.545067240455</v>
      </c>
      <c r="D21" s="14">
        <f>'A) Base RI'!AO12</f>
        <v>944</v>
      </c>
      <c r="E21" s="10">
        <f t="shared" si="0"/>
        <v>418591.48431119183</v>
      </c>
      <c r="F21" s="14">
        <f>'F) Population'!K13</f>
        <v>117050.30181086517</v>
      </c>
      <c r="G21" s="10">
        <f>'G) Solidarité'!I10</f>
        <v>484651.14017612586</v>
      </c>
      <c r="H21" s="14">
        <f t="shared" si="1"/>
        <v>601701.44198699109</v>
      </c>
      <c r="I21" s="55">
        <f t="shared" si="2"/>
        <v>-183109.95767579926</v>
      </c>
    </row>
    <row r="22" spans="1:9" x14ac:dyDescent="0.25">
      <c r="A22" s="49">
        <f>'A) Base RI'!A13</f>
        <v>5407</v>
      </c>
      <c r="B22" s="32" t="str">
        <f>'A) Base RI'!B13</f>
        <v>Leysin</v>
      </c>
      <c r="C22" s="31">
        <f>'D) Ecrêtage'!C11</f>
        <v>90822.200982905983</v>
      </c>
      <c r="D22" s="14">
        <f>'A) Base RI'!AO13</f>
        <v>3645</v>
      </c>
      <c r="E22" s="10">
        <f t="shared" si="0"/>
        <v>1740520.6124474325</v>
      </c>
      <c r="F22" s="14">
        <f>'F) Population'!K14</f>
        <v>1138264.5875251507</v>
      </c>
      <c r="G22" s="10">
        <f>'G) Solidarité'!I11</f>
        <v>2068811.1765107422</v>
      </c>
      <c r="H22" s="14">
        <f t="shared" si="1"/>
        <v>3207075.7640358927</v>
      </c>
      <c r="I22" s="55">
        <f t="shared" si="2"/>
        <v>-1466555.1515884602</v>
      </c>
    </row>
    <row r="23" spans="1:9" x14ac:dyDescent="0.25">
      <c r="A23" s="49">
        <f>'A) Base RI'!A14</f>
        <v>5408</v>
      </c>
      <c r="B23" s="32" t="str">
        <f>'A) Base RI'!B14</f>
        <v>Noville</v>
      </c>
      <c r="C23" s="31">
        <f>'D) Ecrêtage'!C12</f>
        <v>43840.045520169842</v>
      </c>
      <c r="D23" s="14">
        <f>'A) Base RI'!AO14</f>
        <v>1170</v>
      </c>
      <c r="E23" s="10">
        <f t="shared" si="0"/>
        <v>840152.54037777521</v>
      </c>
      <c r="F23" s="14">
        <f>'F) Population'!K15</f>
        <v>183015.09054325952</v>
      </c>
      <c r="G23" s="10">
        <f>'G) Solidarité'!I12</f>
        <v>309487.78111039562</v>
      </c>
      <c r="H23" s="14">
        <f t="shared" si="1"/>
        <v>492502.87165365514</v>
      </c>
      <c r="I23" s="55">
        <f t="shared" si="2"/>
        <v>347649.66872412007</v>
      </c>
    </row>
    <row r="24" spans="1:9" x14ac:dyDescent="0.25">
      <c r="A24" s="49">
        <f>'A) Base RI'!A15</f>
        <v>5409</v>
      </c>
      <c r="B24" s="32" t="str">
        <f>'A) Base RI'!B15</f>
        <v>Ollon</v>
      </c>
      <c r="C24" s="31">
        <f>'D) Ecrêtage'!C13</f>
        <v>389186.78990950214</v>
      </c>
      <c r="D24" s="14">
        <f>'A) Base RI'!AO15</f>
        <v>7634</v>
      </c>
      <c r="E24" s="10">
        <f t="shared" si="0"/>
        <v>7458392.5802153908</v>
      </c>
      <c r="F24" s="14">
        <f>'F) Population'!K16</f>
        <v>3377992.3541247481</v>
      </c>
      <c r="G24" s="10">
        <f>'G) Solidarité'!I13</f>
        <v>0</v>
      </c>
      <c r="H24" s="14">
        <f t="shared" si="1"/>
        <v>3377992.3541247481</v>
      </c>
      <c r="I24" s="55">
        <f t="shared" si="2"/>
        <v>4080400.2260906426</v>
      </c>
    </row>
    <row r="25" spans="1:9" x14ac:dyDescent="0.25">
      <c r="A25" s="49">
        <f>'A) Base RI'!A16</f>
        <v>5410</v>
      </c>
      <c r="B25" s="32" t="str">
        <f>'A) Base RI'!B16</f>
        <v>Ormont-Dessous</v>
      </c>
      <c r="C25" s="31">
        <f>'D) Ecrêtage'!C14</f>
        <v>39522.545108225109</v>
      </c>
      <c r="D25" s="14">
        <f>'A) Base RI'!AO16</f>
        <v>1180</v>
      </c>
      <c r="E25" s="10">
        <f t="shared" si="0"/>
        <v>757411.77457477001</v>
      </c>
      <c r="F25" s="14">
        <f>'F) Population'!K17</f>
        <v>186486.92152917502</v>
      </c>
      <c r="G25" s="10">
        <f>'G) Solidarité'!I14</f>
        <v>411933.65561145858</v>
      </c>
      <c r="H25" s="14">
        <f t="shared" si="1"/>
        <v>598420.5771406336</v>
      </c>
      <c r="I25" s="55">
        <f t="shared" si="2"/>
        <v>158991.19743413641</v>
      </c>
    </row>
    <row r="26" spans="1:9" x14ac:dyDescent="0.25">
      <c r="A26" s="49">
        <f>'A) Base RI'!A17</f>
        <v>5411</v>
      </c>
      <c r="B26" s="32" t="str">
        <f>'A) Base RI'!B17</f>
        <v>Ormont-Dessus</v>
      </c>
      <c r="C26" s="31">
        <f>'D) Ecrêtage'!C15</f>
        <v>68049.385526315804</v>
      </c>
      <c r="D26" s="14">
        <f>'A) Base RI'!AO17</f>
        <v>1466</v>
      </c>
      <c r="E26" s="10">
        <f t="shared" si="0"/>
        <v>1304101.3859070314</v>
      </c>
      <c r="F26" s="14">
        <f>'F) Population'!K18</f>
        <v>285781.2877263581</v>
      </c>
      <c r="G26" s="10">
        <f>'G) Solidarité'!I15</f>
        <v>59483.937688415193</v>
      </c>
      <c r="H26" s="14">
        <f t="shared" si="1"/>
        <v>345265.22541477327</v>
      </c>
      <c r="I26" s="55">
        <f t="shared" si="2"/>
        <v>958836.16049225815</v>
      </c>
    </row>
    <row r="27" spans="1:9" x14ac:dyDescent="0.25">
      <c r="A27" s="49">
        <f>'A) Base RI'!A18</f>
        <v>5412</v>
      </c>
      <c r="B27" s="32" t="str">
        <f>'A) Base RI'!B18</f>
        <v>Rennaz</v>
      </c>
      <c r="C27" s="31">
        <f>'D) Ecrêtage'!C16</f>
        <v>24274.281449275361</v>
      </c>
      <c r="D27" s="14">
        <f>'A) Base RI'!AO18</f>
        <v>889</v>
      </c>
      <c r="E27" s="10">
        <f t="shared" si="0"/>
        <v>465193.38617180311</v>
      </c>
      <c r="F27" s="14">
        <f>'F) Population'!K19</f>
        <v>110230.63380281688</v>
      </c>
      <c r="G27" s="10">
        <f>'G) Solidarité'!I16</f>
        <v>354297.04141002835</v>
      </c>
      <c r="H27" s="14">
        <f t="shared" si="1"/>
        <v>464527.67521284521</v>
      </c>
      <c r="I27" s="55">
        <f t="shared" si="2"/>
        <v>665.71095895790495</v>
      </c>
    </row>
    <row r="28" spans="1:9" x14ac:dyDescent="0.25">
      <c r="A28" s="49">
        <f>'A) Base RI'!A19</f>
        <v>5413</v>
      </c>
      <c r="B28" s="32" t="str">
        <f>'A) Base RI'!B19</f>
        <v>Roche</v>
      </c>
      <c r="C28" s="31">
        <f>'D) Ecrêtage'!C17</f>
        <v>48007.468357843129</v>
      </c>
      <c r="D28" s="14">
        <f>'A) Base RI'!AO19</f>
        <v>1868</v>
      </c>
      <c r="E28" s="10">
        <f t="shared" si="0"/>
        <v>920017.21301568823</v>
      </c>
      <c r="F28" s="14">
        <f>'F) Population'!K20</f>
        <v>425348.89336016093</v>
      </c>
      <c r="G28" s="10">
        <f>'G) Solidarité'!I17</f>
        <v>778668.27772221121</v>
      </c>
      <c r="H28" s="14">
        <f t="shared" si="1"/>
        <v>1204017.1710823721</v>
      </c>
      <c r="I28" s="55">
        <f t="shared" si="2"/>
        <v>-283999.95806668384</v>
      </c>
    </row>
    <row r="29" spans="1:9" x14ac:dyDescent="0.25">
      <c r="A29" s="49">
        <f>'A) Base RI'!A20</f>
        <v>5414</v>
      </c>
      <c r="B29" s="32" t="str">
        <f>'A) Base RI'!B20</f>
        <v>Villeneuve</v>
      </c>
      <c r="C29" s="31">
        <f>'D) Ecrêtage'!C18</f>
        <v>159468.65911111108</v>
      </c>
      <c r="D29" s="14">
        <f>'A) Base RI'!AO20</f>
        <v>5837</v>
      </c>
      <c r="E29" s="10">
        <f t="shared" si="0"/>
        <v>3056064.3236831743</v>
      </c>
      <c r="F29" s="14">
        <f>'F) Population'!K21</f>
        <v>2308470.0201207241</v>
      </c>
      <c r="G29" s="10">
        <f>'G) Solidarité'!I18</f>
        <v>2224585.9290679521</v>
      </c>
      <c r="H29" s="14">
        <f t="shared" si="1"/>
        <v>4533055.9491886757</v>
      </c>
      <c r="I29" s="55">
        <f t="shared" si="2"/>
        <v>-1476991.6255055014</v>
      </c>
    </row>
    <row r="30" spans="1:9" x14ac:dyDescent="0.25">
      <c r="A30" s="49">
        <f>'A) Base RI'!A21</f>
        <v>5415</v>
      </c>
      <c r="B30" s="32" t="str">
        <f>'A) Base RI'!B21</f>
        <v>Yvorne</v>
      </c>
      <c r="C30" s="31">
        <f>'D) Ecrêtage'!C19</f>
        <v>38155.020093240091</v>
      </c>
      <c r="D30" s="14">
        <f>'A) Base RI'!AO21</f>
        <v>1070</v>
      </c>
      <c r="E30" s="10">
        <f t="shared" si="0"/>
        <v>731204.46566946292</v>
      </c>
      <c r="F30" s="14">
        <f>'F) Population'!K22</f>
        <v>148296.7806841046</v>
      </c>
      <c r="G30" s="10">
        <f>'G) Solidarité'!I19</f>
        <v>274558.4745301592</v>
      </c>
      <c r="H30" s="14">
        <f t="shared" si="1"/>
        <v>422855.2552142638</v>
      </c>
      <c r="I30" s="55">
        <f t="shared" si="2"/>
        <v>308349.21045519912</v>
      </c>
    </row>
    <row r="31" spans="1:9" x14ac:dyDescent="0.25">
      <c r="A31" s="49">
        <f>'A) Base RI'!A22</f>
        <v>5421</v>
      </c>
      <c r="B31" s="32" t="str">
        <f>'A) Base RI'!B22</f>
        <v>Apples</v>
      </c>
      <c r="C31" s="31">
        <f>'D) Ecrêtage'!C20</f>
        <v>66313.601621621623</v>
      </c>
      <c r="D31" s="14">
        <f>'A) Base RI'!AO22</f>
        <v>1457</v>
      </c>
      <c r="E31" s="10">
        <f t="shared" si="0"/>
        <v>1270836.747611783</v>
      </c>
      <c r="F31" s="14">
        <f>'F) Population'!K23</f>
        <v>282656.63983903418</v>
      </c>
      <c r="G31" s="10">
        <f>'G) Solidarité'!I20</f>
        <v>85004.993420798724</v>
      </c>
      <c r="H31" s="14">
        <f t="shared" si="1"/>
        <v>367661.63325983292</v>
      </c>
      <c r="I31" s="55">
        <f t="shared" si="2"/>
        <v>903175.11435195012</v>
      </c>
    </row>
    <row r="32" spans="1:9" x14ac:dyDescent="0.25">
      <c r="A32" s="49">
        <f>'A) Base RI'!A23</f>
        <v>5422</v>
      </c>
      <c r="B32" s="32" t="str">
        <f>'A) Base RI'!B23</f>
        <v>Aubonne</v>
      </c>
      <c r="C32" s="31">
        <f>'D) Ecrêtage'!C21</f>
        <v>242388.1994160584</v>
      </c>
      <c r="D32" s="14">
        <f>'A) Base RI'!AO23</f>
        <v>3241</v>
      </c>
      <c r="E32" s="10">
        <f t="shared" si="0"/>
        <v>4645138.0029545026</v>
      </c>
      <c r="F32" s="14">
        <f>'F) Population'!K24</f>
        <v>937890.34205231373</v>
      </c>
      <c r="G32" s="10">
        <f>'G) Solidarité'!I21</f>
        <v>0</v>
      </c>
      <c r="H32" s="14">
        <f t="shared" si="1"/>
        <v>937890.34205231373</v>
      </c>
      <c r="I32" s="55">
        <f t="shared" si="2"/>
        <v>3707247.6609021891</v>
      </c>
    </row>
    <row r="33" spans="1:9" x14ac:dyDescent="0.25">
      <c r="A33" s="49">
        <f>'A) Base RI'!A24</f>
        <v>5423</v>
      </c>
      <c r="B33" s="32" t="str">
        <f>'A) Base RI'!B24</f>
        <v>Ballens</v>
      </c>
      <c r="C33" s="31">
        <f>'D) Ecrêtage'!C22</f>
        <v>17114.745479452053</v>
      </c>
      <c r="D33" s="14">
        <f>'A) Base RI'!AO24</f>
        <v>562</v>
      </c>
      <c r="E33" s="10">
        <f t="shared" si="0"/>
        <v>327987.72724506469</v>
      </c>
      <c r="F33" s="14">
        <f>'F) Population'!K25</f>
        <v>69684.607645875236</v>
      </c>
      <c r="G33" s="10">
        <f>'G) Solidarité'!I22</f>
        <v>212870.39316944446</v>
      </c>
      <c r="H33" s="14">
        <f t="shared" si="1"/>
        <v>282555.00081531971</v>
      </c>
      <c r="I33" s="55">
        <f t="shared" si="2"/>
        <v>45432.726429744973</v>
      </c>
    </row>
    <row r="34" spans="1:9" x14ac:dyDescent="0.25">
      <c r="A34" s="49">
        <f>'A) Base RI'!A25</f>
        <v>5424</v>
      </c>
      <c r="B34" s="32" t="str">
        <f>'A) Base RI'!B25</f>
        <v>Berolle</v>
      </c>
      <c r="C34" s="31">
        <f>'D) Ecrêtage'!C23</f>
        <v>9114.9769536423846</v>
      </c>
      <c r="D34" s="14">
        <f>'A) Base RI'!AO25</f>
        <v>313</v>
      </c>
      <c r="E34" s="10">
        <f t="shared" si="0"/>
        <v>174679.81504636575</v>
      </c>
      <c r="F34" s="14">
        <f>'F) Population'!K26</f>
        <v>38810.110663983898</v>
      </c>
      <c r="G34" s="10">
        <f>'G) Solidarité'!I23</f>
        <v>136349.62766873933</v>
      </c>
      <c r="H34" s="14">
        <f t="shared" si="1"/>
        <v>175159.73833272321</v>
      </c>
      <c r="I34" s="55">
        <f t="shared" si="2"/>
        <v>-479.92328635745798</v>
      </c>
    </row>
    <row r="35" spans="1:9" x14ac:dyDescent="0.25">
      <c r="A35" s="49">
        <f>'A) Base RI'!A26</f>
        <v>5425</v>
      </c>
      <c r="B35" s="32" t="str">
        <f>'A) Base RI'!B26</f>
        <v>Bière</v>
      </c>
      <c r="C35" s="31">
        <f>'D) Ecrêtage'!C24</f>
        <v>40211.969135432286</v>
      </c>
      <c r="D35" s="14">
        <f>'A) Base RI'!AO26</f>
        <v>1627</v>
      </c>
      <c r="E35" s="10">
        <f t="shared" si="0"/>
        <v>770623.92663763918</v>
      </c>
      <c r="F35" s="14">
        <f>'F) Population'!K27</f>
        <v>341677.76659959753</v>
      </c>
      <c r="G35" s="10">
        <f>'G) Solidarité'!I24</f>
        <v>728899.22506324353</v>
      </c>
      <c r="H35" s="14">
        <f t="shared" si="1"/>
        <v>1070576.9916628411</v>
      </c>
      <c r="I35" s="55">
        <f t="shared" si="2"/>
        <v>-299953.06502520188</v>
      </c>
    </row>
    <row r="36" spans="1:9" x14ac:dyDescent="0.25">
      <c r="A36" s="49">
        <f>'A) Base RI'!A27</f>
        <v>5426</v>
      </c>
      <c r="B36" s="32" t="str">
        <f>'A) Base RI'!B27</f>
        <v>Bougy-Villars</v>
      </c>
      <c r="C36" s="31">
        <f>'D) Ecrêtage'!C25</f>
        <v>55602.775012919898</v>
      </c>
      <c r="D36" s="14">
        <f>'A) Base RI'!AO27</f>
        <v>477</v>
      </c>
      <c r="E36" s="10">
        <f t="shared" si="0"/>
        <v>1065574.000320462</v>
      </c>
      <c r="F36" s="14">
        <f>'F) Population'!K28</f>
        <v>59145.120724346067</v>
      </c>
      <c r="G36" s="10">
        <f>'G) Solidarité'!I25</f>
        <v>0</v>
      </c>
      <c r="H36" s="14">
        <f t="shared" si="1"/>
        <v>59145.120724346067</v>
      </c>
      <c r="I36" s="55">
        <f t="shared" si="2"/>
        <v>1006428.879596116</v>
      </c>
    </row>
    <row r="37" spans="1:9" x14ac:dyDescent="0.25">
      <c r="A37" s="49">
        <f>'A) Base RI'!A28</f>
        <v>5427</v>
      </c>
      <c r="B37" s="32" t="str">
        <f>'A) Base RI'!B28</f>
        <v>Féchy</v>
      </c>
      <c r="C37" s="31">
        <f>'D) Ecrêtage'!C26</f>
        <v>77020.028293269235</v>
      </c>
      <c r="D37" s="14">
        <f>'A) Base RI'!AO28</f>
        <v>869</v>
      </c>
      <c r="E37" s="10">
        <f t="shared" si="0"/>
        <v>1476015.1743179024</v>
      </c>
      <c r="F37" s="14">
        <f>'F) Population'!K29</f>
        <v>107750.75452716296</v>
      </c>
      <c r="G37" s="10">
        <f>'G) Solidarité'!I26</f>
        <v>0</v>
      </c>
      <c r="H37" s="14">
        <f t="shared" si="1"/>
        <v>107750.75452716296</v>
      </c>
      <c r="I37" s="55">
        <f t="shared" si="2"/>
        <v>1368264.4197907394</v>
      </c>
    </row>
    <row r="38" spans="1:9" x14ac:dyDescent="0.25">
      <c r="A38" s="49">
        <f>'A) Base RI'!A29</f>
        <v>5428</v>
      </c>
      <c r="B38" s="32" t="str">
        <f>'A) Base RI'!B29</f>
        <v>Gimel</v>
      </c>
      <c r="C38" s="31">
        <f>'D) Ecrêtage'!C27</f>
        <v>70193.222975391502</v>
      </c>
      <c r="D38" s="14">
        <f>'A) Base RI'!AO29</f>
        <v>2307</v>
      </c>
      <c r="E38" s="10">
        <f t="shared" si="0"/>
        <v>1345185.9800863254</v>
      </c>
      <c r="F38" s="14">
        <f>'F) Population'!K30</f>
        <v>577762.27364185103</v>
      </c>
      <c r="G38" s="10">
        <f>'G) Solidarité'!I27</f>
        <v>911500.71150068671</v>
      </c>
      <c r="H38" s="14">
        <f t="shared" si="1"/>
        <v>1489262.9851425379</v>
      </c>
      <c r="I38" s="55">
        <f t="shared" si="2"/>
        <v>-144077.00505621242</v>
      </c>
    </row>
    <row r="39" spans="1:9" x14ac:dyDescent="0.25">
      <c r="A39" s="49">
        <f>'A) Base RI'!A30</f>
        <v>5429</v>
      </c>
      <c r="B39" s="32" t="str">
        <f>'A) Base RI'!B30</f>
        <v>Longirod</v>
      </c>
      <c r="C39" s="31">
        <f>'D) Ecrêtage'!C28</f>
        <v>16140.77393548387</v>
      </c>
      <c r="D39" s="14">
        <f>'A) Base RI'!AO30</f>
        <v>494</v>
      </c>
      <c r="E39" s="10">
        <f t="shared" si="0"/>
        <v>309322.49418676284</v>
      </c>
      <c r="F39" s="14">
        <f>'F) Population'!K31</f>
        <v>61253.018108651901</v>
      </c>
      <c r="G39" s="10">
        <f>'G) Solidarité'!I28</f>
        <v>184462.46884587492</v>
      </c>
      <c r="H39" s="14">
        <f t="shared" si="1"/>
        <v>245715.4869545268</v>
      </c>
      <c r="I39" s="55">
        <f t="shared" si="2"/>
        <v>63607.007232236036</v>
      </c>
    </row>
    <row r="40" spans="1:9" x14ac:dyDescent="0.25">
      <c r="A40" s="49">
        <f>'A) Base RI'!A31</f>
        <v>5430</v>
      </c>
      <c r="B40" s="32" t="str">
        <f>'A) Base RI'!B31</f>
        <v>Marchissy</v>
      </c>
      <c r="C40" s="31">
        <f>'D) Ecrêtage'!C29</f>
        <v>14848.450709677421</v>
      </c>
      <c r="D40" s="14">
        <f>'A) Base RI'!AO31</f>
        <v>481</v>
      </c>
      <c r="E40" s="10">
        <f t="shared" si="0"/>
        <v>284556.35564224515</v>
      </c>
      <c r="F40" s="14">
        <f>'F) Population'!K32</f>
        <v>59641.096579476849</v>
      </c>
      <c r="G40" s="10">
        <f>'G) Solidarité'!I29</f>
        <v>200514.23373146675</v>
      </c>
      <c r="H40" s="14">
        <f t="shared" si="1"/>
        <v>260155.33031094359</v>
      </c>
      <c r="I40" s="55">
        <f t="shared" si="2"/>
        <v>24401.025331301556</v>
      </c>
    </row>
    <row r="41" spans="1:9" x14ac:dyDescent="0.25">
      <c r="A41" s="49">
        <f>'A) Base RI'!A32</f>
        <v>5431</v>
      </c>
      <c r="B41" s="32" t="str">
        <f>'A) Base RI'!B32</f>
        <v>Mollens</v>
      </c>
      <c r="C41" s="31">
        <f>'D) Ecrêtage'!C30</f>
        <v>9333.4747297297308</v>
      </c>
      <c r="D41" s="14">
        <f>'A) Base RI'!AO32</f>
        <v>330</v>
      </c>
      <c r="E41" s="10">
        <f t="shared" si="0"/>
        <v>178867.11593687741</v>
      </c>
      <c r="F41" s="14">
        <f>'F) Population'!K33</f>
        <v>40918.008048289732</v>
      </c>
      <c r="G41" s="10">
        <f>'G) Solidarité'!I30</f>
        <v>144175.93381689439</v>
      </c>
      <c r="H41" s="14">
        <f t="shared" si="1"/>
        <v>185093.94186518411</v>
      </c>
      <c r="I41" s="55">
        <f t="shared" si="2"/>
        <v>-6226.8259283067018</v>
      </c>
    </row>
    <row r="42" spans="1:9" x14ac:dyDescent="0.25">
      <c r="A42" s="49">
        <f>'A) Base RI'!A33</f>
        <v>5432</v>
      </c>
      <c r="B42" s="32" t="str">
        <f>'A) Base RI'!B33</f>
        <v>Montherod</v>
      </c>
      <c r="C42" s="31">
        <f>'D) Ecrêtage'!C31</f>
        <v>16429.509999999998</v>
      </c>
      <c r="D42" s="14">
        <f>'A) Base RI'!AO33</f>
        <v>523</v>
      </c>
      <c r="E42" s="10">
        <f t="shared" si="0"/>
        <v>314855.84469367092</v>
      </c>
      <c r="F42" s="14">
        <f>'F) Population'!K34</f>
        <v>64848.843058350089</v>
      </c>
      <c r="G42" s="10">
        <f>'G) Solidarité'!I31</f>
        <v>197762.63985165721</v>
      </c>
      <c r="H42" s="14">
        <f t="shared" si="1"/>
        <v>262611.4829100073</v>
      </c>
      <c r="I42" s="55">
        <f t="shared" si="2"/>
        <v>52244.361783663626</v>
      </c>
    </row>
    <row r="43" spans="1:9" x14ac:dyDescent="0.25">
      <c r="A43" s="49">
        <f>'A) Base RI'!A34</f>
        <v>5434</v>
      </c>
      <c r="B43" s="32" t="str">
        <f>'A) Base RI'!B34</f>
        <v>Saint-George</v>
      </c>
      <c r="C43" s="31">
        <f>'D) Ecrêtage'!C32</f>
        <v>40796.774220623498</v>
      </c>
      <c r="D43" s="14">
        <f>'A) Base RI'!AO34</f>
        <v>1074</v>
      </c>
      <c r="E43" s="10">
        <f t="shared" si="0"/>
        <v>781831.15674243425</v>
      </c>
      <c r="F43" s="14">
        <f>'F) Population'!K35</f>
        <v>149685.5130784708</v>
      </c>
      <c r="G43" s="10">
        <f>'G) Solidarité'!I32</f>
        <v>211952.27878586674</v>
      </c>
      <c r="H43" s="14">
        <f t="shared" si="1"/>
        <v>361637.79186433752</v>
      </c>
      <c r="I43" s="55">
        <f t="shared" si="2"/>
        <v>420193.36487809673</v>
      </c>
    </row>
    <row r="44" spans="1:9" x14ac:dyDescent="0.25">
      <c r="A44" s="49">
        <f>'A) Base RI'!A35</f>
        <v>5435</v>
      </c>
      <c r="B44" s="32" t="str">
        <f>'A) Base RI'!B35</f>
        <v>Saint-Livres</v>
      </c>
      <c r="C44" s="31">
        <f>'D) Ecrêtage'!C33</f>
        <v>26346.510144927532</v>
      </c>
      <c r="D44" s="14">
        <f>'A) Base RI'!AO35</f>
        <v>683</v>
      </c>
      <c r="E44" s="10">
        <f t="shared" si="0"/>
        <v>504905.66708389536</v>
      </c>
      <c r="F44" s="14">
        <f>'F) Population'!K36</f>
        <v>84687.877263581468</v>
      </c>
      <c r="G44" s="10">
        <f>'G) Solidarité'!I33</f>
        <v>125174.15946446445</v>
      </c>
      <c r="H44" s="14">
        <f t="shared" si="1"/>
        <v>209862.0367280459</v>
      </c>
      <c r="I44" s="55">
        <f t="shared" si="2"/>
        <v>295043.63035584945</v>
      </c>
    </row>
    <row r="45" spans="1:9" x14ac:dyDescent="0.25">
      <c r="A45" s="49">
        <f>'A) Base RI'!A36</f>
        <v>5436</v>
      </c>
      <c r="B45" s="32" t="str">
        <f>'A) Base RI'!B36</f>
        <v>Saint-Oyens</v>
      </c>
      <c r="C45" s="31">
        <f>'D) Ecrêtage'!C34</f>
        <v>16755.63848765432</v>
      </c>
      <c r="D45" s="14">
        <f>'A) Base RI'!AO36</f>
        <v>461</v>
      </c>
      <c r="E45" s="10">
        <f t="shared" si="0"/>
        <v>321105.78522501187</v>
      </c>
      <c r="F45" s="14">
        <f>'F) Population'!K37</f>
        <v>57161.21730382293</v>
      </c>
      <c r="G45" s="10">
        <f>'G) Solidarité'!I34</f>
        <v>143471.92503043025</v>
      </c>
      <c r="H45" s="14">
        <f t="shared" si="1"/>
        <v>200633.14233425318</v>
      </c>
      <c r="I45" s="55">
        <f t="shared" si="2"/>
        <v>120472.6428907587</v>
      </c>
    </row>
    <row r="46" spans="1:9" x14ac:dyDescent="0.25">
      <c r="A46" s="49">
        <f>'A) Base RI'!A37</f>
        <v>5437</v>
      </c>
      <c r="B46" s="32" t="str">
        <f>'A) Base RI'!B37</f>
        <v>Saubraz</v>
      </c>
      <c r="C46" s="31">
        <f>'D) Ecrêtage'!C35</f>
        <v>13391.905875</v>
      </c>
      <c r="D46" s="14">
        <f>'A) Base RI'!AO37</f>
        <v>423</v>
      </c>
      <c r="E46" s="10">
        <f t="shared" si="0"/>
        <v>256643.06703798592</v>
      </c>
      <c r="F46" s="14">
        <f>'F) Population'!K38</f>
        <v>52449.446680080473</v>
      </c>
      <c r="G46" s="10">
        <f>'G) Solidarité'!I35</f>
        <v>179321.88719038339</v>
      </c>
      <c r="H46" s="14">
        <f t="shared" si="1"/>
        <v>231771.33387046386</v>
      </c>
      <c r="I46" s="55">
        <f t="shared" si="2"/>
        <v>24871.733167522063</v>
      </c>
    </row>
    <row r="47" spans="1:9" x14ac:dyDescent="0.25">
      <c r="A47" s="49">
        <f>'A) Base RI'!A38</f>
        <v>5451</v>
      </c>
      <c r="B47" s="32" t="str">
        <f>'A) Base RI'!B38</f>
        <v>Avenches</v>
      </c>
      <c r="C47" s="31">
        <f>'D) Ecrêtage'!C36</f>
        <v>129500.81187969925</v>
      </c>
      <c r="D47" s="14">
        <f>'A) Base RI'!AO38</f>
        <v>4482</v>
      </c>
      <c r="E47" s="10">
        <f t="shared" si="0"/>
        <v>2481759.1950641796</v>
      </c>
      <c r="F47" s="14">
        <f>'F) Population'!K39</f>
        <v>1553396.3782696174</v>
      </c>
      <c r="G47" s="10">
        <f>'G) Solidarité'!I36</f>
        <v>1532829.5957852756</v>
      </c>
      <c r="H47" s="14">
        <f t="shared" si="1"/>
        <v>3086225.974054893</v>
      </c>
      <c r="I47" s="55">
        <f t="shared" si="2"/>
        <v>-604466.77899071341</v>
      </c>
    </row>
    <row r="48" spans="1:9" x14ac:dyDescent="0.25">
      <c r="A48" s="49">
        <f>'A) Base RI'!A39</f>
        <v>5456</v>
      </c>
      <c r="B48" s="32" t="str">
        <f>'A) Base RI'!B39</f>
        <v>Cudrefin</v>
      </c>
      <c r="C48" s="31">
        <f>'D) Ecrêtage'!C37</f>
        <v>64226.933276836171</v>
      </c>
      <c r="D48" s="14">
        <f>'A) Base RI'!AO39</f>
        <v>1780</v>
      </c>
      <c r="E48" s="10">
        <f t="shared" si="0"/>
        <v>1230847.7446352507</v>
      </c>
      <c r="F48" s="14">
        <f>'F) Population'!K40</f>
        <v>394796.7806841046</v>
      </c>
      <c r="G48" s="10">
        <f>'G) Solidarité'!I37</f>
        <v>300470.22850457835</v>
      </c>
      <c r="H48" s="14">
        <f t="shared" si="1"/>
        <v>695267.00918868301</v>
      </c>
      <c r="I48" s="55">
        <f t="shared" si="2"/>
        <v>535580.73544656765</v>
      </c>
    </row>
    <row r="49" spans="1:9" x14ac:dyDescent="0.25">
      <c r="A49" s="49">
        <f>'A) Base RI'!A40</f>
        <v>5458</v>
      </c>
      <c r="B49" s="32" t="str">
        <f>'A) Base RI'!B40</f>
        <v>Faoug</v>
      </c>
      <c r="C49" s="31">
        <f>'D) Ecrêtage'!C38</f>
        <v>32198.404090909091</v>
      </c>
      <c r="D49" s="14">
        <f>'A) Base RI'!AO40</f>
        <v>881</v>
      </c>
      <c r="E49" s="10">
        <f t="shared" si="0"/>
        <v>617051.61735385493</v>
      </c>
      <c r="F49" s="14">
        <f>'F) Population'!K41</f>
        <v>109238.68209255532</v>
      </c>
      <c r="G49" s="10">
        <f>'G) Solidarité'!I38</f>
        <v>178938.01696103628</v>
      </c>
      <c r="H49" s="14">
        <f t="shared" si="1"/>
        <v>288176.69905359158</v>
      </c>
      <c r="I49" s="55">
        <f t="shared" si="2"/>
        <v>328874.91830026335</v>
      </c>
    </row>
    <row r="50" spans="1:9" x14ac:dyDescent="0.25">
      <c r="A50" s="49">
        <f>'A) Base RI'!A41</f>
        <v>5464</v>
      </c>
      <c r="B50" s="32" t="str">
        <f>'A) Base RI'!B41</f>
        <v>Vully-les-Lacs</v>
      </c>
      <c r="C50" s="31">
        <f>'D) Ecrêtage'!C39</f>
        <v>111597.31895522389</v>
      </c>
      <c r="D50" s="14">
        <f>'A) Base RI'!AO41</f>
        <v>3360</v>
      </c>
      <c r="E50" s="10">
        <f t="shared" si="0"/>
        <v>2138655.8774544122</v>
      </c>
      <c r="F50" s="14">
        <f>'F) Population'!K42</f>
        <v>996911.4688128772</v>
      </c>
      <c r="G50" s="10">
        <f>'G) Solidarité'!I39</f>
        <v>905036.89679097431</v>
      </c>
      <c r="H50" s="14">
        <f t="shared" si="1"/>
        <v>1901948.3656038516</v>
      </c>
      <c r="I50" s="55">
        <f t="shared" si="2"/>
        <v>236707.51185056055</v>
      </c>
    </row>
    <row r="51" spans="1:9" x14ac:dyDescent="0.25">
      <c r="A51" s="49">
        <f>'A) Base RI'!A42</f>
        <v>5471</v>
      </c>
      <c r="B51" s="32" t="str">
        <f>'A) Base RI'!B42</f>
        <v>Bettens</v>
      </c>
      <c r="C51" s="31">
        <f>'D) Ecrêtage'!C40</f>
        <v>20385.282730158731</v>
      </c>
      <c r="D51" s="14">
        <f>'A) Base RI'!AO42</f>
        <v>636</v>
      </c>
      <c r="E51" s="10">
        <f t="shared" si="0"/>
        <v>390664.44545962906</v>
      </c>
      <c r="F51" s="14">
        <f>'F) Population'!K43</f>
        <v>78860.160965794756</v>
      </c>
      <c r="G51" s="10">
        <f>'G) Solidarité'!I40</f>
        <v>201513.35985217176</v>
      </c>
      <c r="H51" s="14">
        <f t="shared" si="1"/>
        <v>280373.52081796655</v>
      </c>
      <c r="I51" s="55">
        <f t="shared" si="2"/>
        <v>110290.92464166251</v>
      </c>
    </row>
    <row r="52" spans="1:9" x14ac:dyDescent="0.25">
      <c r="A52" s="49">
        <f>'A) Base RI'!A43</f>
        <v>5472</v>
      </c>
      <c r="B52" s="32" t="str">
        <f>'A) Base RI'!B43</f>
        <v>Bournens</v>
      </c>
      <c r="C52" s="31">
        <f>'D) Ecrêtage'!C41</f>
        <v>20143.161388888886</v>
      </c>
      <c r="D52" s="14">
        <f>'A) Base RI'!AO43</f>
        <v>490</v>
      </c>
      <c r="E52" s="10">
        <f t="shared" si="0"/>
        <v>386024.42153780296</v>
      </c>
      <c r="F52" s="14">
        <f>'F) Population'!K44</f>
        <v>60757.042253521118</v>
      </c>
      <c r="G52" s="10">
        <f>'G) Solidarité'!I41</f>
        <v>71958.908810598485</v>
      </c>
      <c r="H52" s="14">
        <f t="shared" si="1"/>
        <v>132715.95106411961</v>
      </c>
      <c r="I52" s="55">
        <f t="shared" si="2"/>
        <v>253308.47047368335</v>
      </c>
    </row>
    <row r="53" spans="1:9" x14ac:dyDescent="0.25">
      <c r="A53" s="49">
        <f>'A) Base RI'!A44</f>
        <v>5473</v>
      </c>
      <c r="B53" s="32" t="str">
        <f>'A) Base RI'!B44</f>
        <v>Boussens</v>
      </c>
      <c r="C53" s="31">
        <f>'D) Ecrêtage'!C42</f>
        <v>37775.140592592586</v>
      </c>
      <c r="D53" s="14">
        <f>'A) Base RI'!AO44</f>
        <v>999</v>
      </c>
      <c r="E53" s="10">
        <f t="shared" si="0"/>
        <v>723924.43838574109</v>
      </c>
      <c r="F53" s="14">
        <f>'F) Population'!K45</f>
        <v>123869.96981891347</v>
      </c>
      <c r="G53" s="10">
        <f>'G) Solidarité'!I42</f>
        <v>189124.45604181761</v>
      </c>
      <c r="H53" s="14">
        <f t="shared" si="1"/>
        <v>312994.42586073105</v>
      </c>
      <c r="I53" s="55">
        <f t="shared" si="2"/>
        <v>410930.01252501004</v>
      </c>
    </row>
    <row r="54" spans="1:9" x14ac:dyDescent="0.25">
      <c r="A54" s="49">
        <f>'A) Base RI'!A45</f>
        <v>5474</v>
      </c>
      <c r="B54" s="32" t="str">
        <f>'A) Base RI'!B45</f>
        <v>La Chaux (Cossonay)</v>
      </c>
      <c r="C54" s="31">
        <f>'D) Ecrêtage'!C43</f>
        <v>13182.521580086577</v>
      </c>
      <c r="D54" s="14">
        <f>'A) Base RI'!AO45</f>
        <v>391</v>
      </c>
      <c r="E54" s="10">
        <f t="shared" si="0"/>
        <v>252630.41729733298</v>
      </c>
      <c r="F54" s="14">
        <f>'F) Population'!K46</f>
        <v>48481.6398390342</v>
      </c>
      <c r="G54" s="10">
        <f>'G) Solidarité'!I43</f>
        <v>134439.24382540525</v>
      </c>
      <c r="H54" s="14">
        <f t="shared" si="1"/>
        <v>182920.88366443946</v>
      </c>
      <c r="I54" s="55">
        <f t="shared" si="2"/>
        <v>69709.533632893523</v>
      </c>
    </row>
    <row r="55" spans="1:9" x14ac:dyDescent="0.25">
      <c r="A55" s="49">
        <f>'A) Base RI'!A46</f>
        <v>5475</v>
      </c>
      <c r="B55" s="32" t="str">
        <f>'A) Base RI'!B46</f>
        <v>Chavannes-le-Veyron</v>
      </c>
      <c r="C55" s="31">
        <f>'D) Ecrêtage'!C44</f>
        <v>3874.6645454545451</v>
      </c>
      <c r="D55" s="14">
        <f>'A) Base RI'!AO46</f>
        <v>152</v>
      </c>
      <c r="E55" s="10">
        <f t="shared" si="0"/>
        <v>74254.239984254513</v>
      </c>
      <c r="F55" s="14">
        <f>'F) Population'!K47</f>
        <v>18847.082494969814</v>
      </c>
      <c r="G55" s="10">
        <f>'G) Solidarité'!I44</f>
        <v>81997.064436575267</v>
      </c>
      <c r="H55" s="14">
        <f t="shared" si="1"/>
        <v>100844.14693154508</v>
      </c>
      <c r="I55" s="55">
        <f t="shared" si="2"/>
        <v>-26589.906947290568</v>
      </c>
    </row>
    <row r="56" spans="1:9" x14ac:dyDescent="0.25">
      <c r="A56" s="49">
        <f>'A) Base RI'!A47</f>
        <v>5476</v>
      </c>
      <c r="B56" s="32" t="str">
        <f>'A) Base RI'!B47</f>
        <v>Chevilly</v>
      </c>
      <c r="C56" s="31">
        <f>'D) Ecrêtage'!C45</f>
        <v>11839.396756756756</v>
      </c>
      <c r="D56" s="14">
        <f>'A) Base RI'!AO47</f>
        <v>317</v>
      </c>
      <c r="E56" s="10">
        <f t="shared" si="0"/>
        <v>226890.71472686387</v>
      </c>
      <c r="F56" s="14">
        <f>'F) Population'!K48</f>
        <v>39306.08651911468</v>
      </c>
      <c r="G56" s="10">
        <f>'G) Solidarité'!I45</f>
        <v>75363.299808085911</v>
      </c>
      <c r="H56" s="14">
        <f t="shared" si="1"/>
        <v>114669.3863272006</v>
      </c>
      <c r="I56" s="55">
        <f t="shared" si="2"/>
        <v>112221.32839966327</v>
      </c>
    </row>
    <row r="57" spans="1:9" x14ac:dyDescent="0.25">
      <c r="A57" s="49">
        <f>'A) Base RI'!A48</f>
        <v>5477</v>
      </c>
      <c r="B57" s="32" t="str">
        <f>'A) Base RI'!B48</f>
        <v>Cossonay</v>
      </c>
      <c r="C57" s="31">
        <f>'D) Ecrêtage'!C46</f>
        <v>119154.03251798562</v>
      </c>
      <c r="D57" s="14">
        <f>'A) Base RI'!AO48</f>
        <v>4222</v>
      </c>
      <c r="E57" s="10">
        <f t="shared" si="0"/>
        <v>2283473.065058392</v>
      </c>
      <c r="F57" s="14">
        <f>'F) Population'!K49</f>
        <v>1424442.6559356134</v>
      </c>
      <c r="G57" s="10">
        <f>'G) Solidarité'!I46</f>
        <v>1632056.1942290992</v>
      </c>
      <c r="H57" s="14">
        <f t="shared" si="1"/>
        <v>3056498.8501647124</v>
      </c>
      <c r="I57" s="55">
        <f t="shared" si="2"/>
        <v>-773025.7851063204</v>
      </c>
    </row>
    <row r="58" spans="1:9" x14ac:dyDescent="0.25">
      <c r="A58" s="49">
        <f>'A) Base RI'!A49</f>
        <v>5478</v>
      </c>
      <c r="B58" s="32" t="str">
        <f>'A) Base RI'!B49</f>
        <v>Cottens</v>
      </c>
      <c r="C58" s="31">
        <f>'D) Ecrêtage'!C47</f>
        <v>16291.497837837833</v>
      </c>
      <c r="D58" s="14">
        <f>'A) Base RI'!AO49</f>
        <v>491</v>
      </c>
      <c r="E58" s="10">
        <f t="shared" si="0"/>
        <v>312210.97361135815</v>
      </c>
      <c r="F58" s="14">
        <f>'F) Population'!K50</f>
        <v>60881.036217303816</v>
      </c>
      <c r="G58" s="10">
        <f>'G) Solidarité'!I47</f>
        <v>161691.32688393316</v>
      </c>
      <c r="H58" s="14">
        <f t="shared" si="1"/>
        <v>222572.36310123699</v>
      </c>
      <c r="I58" s="55">
        <f t="shared" si="2"/>
        <v>89638.610510121158</v>
      </c>
    </row>
    <row r="59" spans="1:9" x14ac:dyDescent="0.25">
      <c r="A59" s="49">
        <f>'A) Base RI'!A50</f>
        <v>5479</v>
      </c>
      <c r="B59" s="32" t="str">
        <f>'A) Base RI'!B50</f>
        <v>Cuarnens</v>
      </c>
      <c r="C59" s="31">
        <f>'D) Ecrêtage'!C48</f>
        <v>18068.978311688308</v>
      </c>
      <c r="D59" s="14">
        <f>'A) Base RI'!AO50</f>
        <v>527</v>
      </c>
      <c r="E59" s="10">
        <f t="shared" si="0"/>
        <v>346274.68677265744</v>
      </c>
      <c r="F59" s="14">
        <f>'F) Population'!K51</f>
        <v>65344.818913480871</v>
      </c>
      <c r="G59" s="10">
        <f>'G) Solidarité'!I48</f>
        <v>174035.19248406679</v>
      </c>
      <c r="H59" s="14">
        <f t="shared" si="1"/>
        <v>239380.01139754767</v>
      </c>
      <c r="I59" s="55">
        <f t="shared" si="2"/>
        <v>106894.67537510977</v>
      </c>
    </row>
    <row r="60" spans="1:9" x14ac:dyDescent="0.25">
      <c r="A60" s="49">
        <f>'A) Base RI'!A51</f>
        <v>5480</v>
      </c>
      <c r="B60" s="32" t="str">
        <f>'A) Base RI'!B51</f>
        <v>Daillens</v>
      </c>
      <c r="C60" s="31">
        <f>'D) Ecrêtage'!C49</f>
        <v>40977.441060606063</v>
      </c>
      <c r="D60" s="14">
        <f>'A) Base RI'!AO51</f>
        <v>1048</v>
      </c>
      <c r="E60" s="10">
        <f t="shared" si="0"/>
        <v>785293.46392693627</v>
      </c>
      <c r="F60" s="14">
        <f>'F) Population'!K52</f>
        <v>140658.75251509051</v>
      </c>
      <c r="G60" s="10">
        <f>'G) Solidarité'!I49</f>
        <v>166097.09401897303</v>
      </c>
      <c r="H60" s="14">
        <f t="shared" si="1"/>
        <v>306755.84653406357</v>
      </c>
      <c r="I60" s="55">
        <f t="shared" si="2"/>
        <v>478537.61739287269</v>
      </c>
    </row>
    <row r="61" spans="1:9" x14ac:dyDescent="0.25">
      <c r="A61" s="49">
        <f>'A) Base RI'!A52</f>
        <v>5481</v>
      </c>
      <c r="B61" s="32" t="str">
        <f>'A) Base RI'!B52</f>
        <v>Dizy</v>
      </c>
      <c r="C61" s="31">
        <f>'D) Ecrêtage'!C50</f>
        <v>8124.1672000000008</v>
      </c>
      <c r="D61" s="14">
        <f>'A) Base RI'!AO52</f>
        <v>224</v>
      </c>
      <c r="E61" s="10">
        <f t="shared" si="0"/>
        <v>155691.89380502619</v>
      </c>
      <c r="F61" s="14">
        <f>'F) Population'!K53</f>
        <v>27774.647887323939</v>
      </c>
      <c r="G61" s="10">
        <f>'G) Solidarité'!I50</f>
        <v>60160.400525941877</v>
      </c>
      <c r="H61" s="14">
        <f t="shared" si="1"/>
        <v>87935.048413265817</v>
      </c>
      <c r="I61" s="55">
        <f t="shared" si="2"/>
        <v>67756.845391760377</v>
      </c>
    </row>
    <row r="62" spans="1:9" x14ac:dyDescent="0.25">
      <c r="A62" s="49">
        <f>'A) Base RI'!A53</f>
        <v>5482</v>
      </c>
      <c r="B62" s="32" t="str">
        <f>'A) Base RI'!B53</f>
        <v>Eclépens</v>
      </c>
      <c r="C62" s="31">
        <f>'D) Ecrêtage'!C51</f>
        <v>70911.930217391302</v>
      </c>
      <c r="D62" s="14">
        <f>'A) Base RI'!AO53</f>
        <v>1220</v>
      </c>
      <c r="E62" s="10">
        <f t="shared" si="0"/>
        <v>1358959.3169519596</v>
      </c>
      <c r="F62" s="14">
        <f>'F) Population'!K54</f>
        <v>200374.24547283701</v>
      </c>
      <c r="G62" s="10">
        <f>'G) Solidarité'!I51</f>
        <v>0</v>
      </c>
      <c r="H62" s="14">
        <f t="shared" si="1"/>
        <v>200374.24547283701</v>
      </c>
      <c r="I62" s="55">
        <f t="shared" si="2"/>
        <v>1158585.0714791226</v>
      </c>
    </row>
    <row r="63" spans="1:9" x14ac:dyDescent="0.25">
      <c r="A63" s="49">
        <f>'A) Base RI'!A54</f>
        <v>5483</v>
      </c>
      <c r="B63" s="32" t="str">
        <f>'A) Base RI'!B54</f>
        <v>Ferreyres</v>
      </c>
      <c r="C63" s="31">
        <f>'D) Ecrêtage'!C52</f>
        <v>10820.315000000001</v>
      </c>
      <c r="D63" s="14">
        <f>'A) Base RI'!AO54</f>
        <v>319</v>
      </c>
      <c r="E63" s="10">
        <f t="shared" si="0"/>
        <v>207360.98758737167</v>
      </c>
      <c r="F63" s="14">
        <f>'F) Population'!K55</f>
        <v>39554.074446680075</v>
      </c>
      <c r="G63" s="10">
        <f>'G) Solidarité'!I52</f>
        <v>105340.32102449017</v>
      </c>
      <c r="H63" s="14">
        <f t="shared" si="1"/>
        <v>144894.39547117025</v>
      </c>
      <c r="I63" s="55">
        <f t="shared" si="2"/>
        <v>62466.592116201413</v>
      </c>
    </row>
    <row r="64" spans="1:9" x14ac:dyDescent="0.25">
      <c r="A64" s="49">
        <f>'A) Base RI'!A55</f>
        <v>5484</v>
      </c>
      <c r="B64" s="32" t="str">
        <f>'A) Base RI'!B55</f>
        <v>Gollion</v>
      </c>
      <c r="C64" s="31">
        <f>'D) Ecrêtage'!C53</f>
        <v>34996.98554054054</v>
      </c>
      <c r="D64" s="14">
        <f>'A) Base RI'!AO55</f>
        <v>996</v>
      </c>
      <c r="E64" s="10">
        <f t="shared" si="0"/>
        <v>670683.75405590795</v>
      </c>
      <c r="F64" s="14">
        <f>'F) Population'!K56</f>
        <v>123497.98792756537</v>
      </c>
      <c r="G64" s="10">
        <f>'G) Solidarité'!I53</f>
        <v>285163.29389143182</v>
      </c>
      <c r="H64" s="14">
        <f t="shared" si="1"/>
        <v>408661.28181899717</v>
      </c>
      <c r="I64" s="55">
        <f t="shared" si="2"/>
        <v>262022.47223691078</v>
      </c>
    </row>
    <row r="65" spans="1:9" x14ac:dyDescent="0.25">
      <c r="A65" s="49">
        <f>'A) Base RI'!A56</f>
        <v>5485</v>
      </c>
      <c r="B65" s="32" t="str">
        <f>'A) Base RI'!B56</f>
        <v>Grancy</v>
      </c>
      <c r="C65" s="31">
        <f>'D) Ecrêtage'!C54</f>
        <v>14542.352714285715</v>
      </c>
      <c r="D65" s="14">
        <f>'A) Base RI'!AO56</f>
        <v>406</v>
      </c>
      <c r="E65" s="10">
        <f t="shared" si="0"/>
        <v>278690.28033640247</v>
      </c>
      <c r="F65" s="14">
        <f>'F) Population'!K57</f>
        <v>50341.549295774639</v>
      </c>
      <c r="G65" s="10">
        <f>'G) Solidarité'!I54</f>
        <v>98578.298018958099</v>
      </c>
      <c r="H65" s="14">
        <f t="shared" si="1"/>
        <v>148919.84731473273</v>
      </c>
      <c r="I65" s="55">
        <f t="shared" si="2"/>
        <v>129770.43302166974</v>
      </c>
    </row>
    <row r="66" spans="1:9" x14ac:dyDescent="0.25">
      <c r="A66" s="49">
        <f>'A) Base RI'!A57</f>
        <v>5486</v>
      </c>
      <c r="B66" s="32" t="str">
        <f>'A) Base RI'!B57</f>
        <v>L'Isle</v>
      </c>
      <c r="C66" s="31">
        <f>'D) Ecrêtage'!C55</f>
        <v>37459.560399999995</v>
      </c>
      <c r="D66" s="14">
        <f>'A) Base RI'!AO57</f>
        <v>1065</v>
      </c>
      <c r="E66" s="10">
        <f t="shared" si="0"/>
        <v>717876.64584005158</v>
      </c>
      <c r="F66" s="14">
        <f>'F) Population'!K58</f>
        <v>146560.86519114685</v>
      </c>
      <c r="G66" s="10">
        <f>'G) Solidarité'!I55</f>
        <v>312355.81714675529</v>
      </c>
      <c r="H66" s="14">
        <f t="shared" si="1"/>
        <v>458916.68233790214</v>
      </c>
      <c r="I66" s="55">
        <f t="shared" si="2"/>
        <v>258959.96350214945</v>
      </c>
    </row>
    <row r="67" spans="1:9" x14ac:dyDescent="0.25">
      <c r="A67" s="49">
        <f>'A) Base RI'!A58</f>
        <v>5487</v>
      </c>
      <c r="B67" s="32" t="str">
        <f>'A) Base RI'!B58</f>
        <v>Lussery-Villars</v>
      </c>
      <c r="C67" s="31">
        <f>'D) Ecrêtage'!C56</f>
        <v>12889.865466666668</v>
      </c>
      <c r="D67" s="14">
        <f>'A) Base RI'!AO58</f>
        <v>459</v>
      </c>
      <c r="E67" s="10">
        <f t="shared" si="0"/>
        <v>247021.94280262242</v>
      </c>
      <c r="F67" s="14">
        <f>'F) Population'!K59</f>
        <v>56913.229376257535</v>
      </c>
      <c r="G67" s="10">
        <f>'G) Solidarité'!I56</f>
        <v>208071.72421344675</v>
      </c>
      <c r="H67" s="14">
        <f t="shared" si="1"/>
        <v>264984.9535897043</v>
      </c>
      <c r="I67" s="55">
        <f t="shared" si="2"/>
        <v>-17963.010787081876</v>
      </c>
    </row>
    <row r="68" spans="1:9" x14ac:dyDescent="0.25">
      <c r="A68" s="49">
        <f>'A) Base RI'!A59</f>
        <v>5488</v>
      </c>
      <c r="B68" s="32" t="str">
        <f>'A) Base RI'!B59</f>
        <v>Mauraz</v>
      </c>
      <c r="C68" s="31">
        <f>'D) Ecrêtage'!C57</f>
        <v>1632.1631168831173</v>
      </c>
      <c r="D68" s="14">
        <f>'A) Base RI'!AO59</f>
        <v>58</v>
      </c>
      <c r="E68" s="10">
        <f t="shared" si="0"/>
        <v>31278.8450077993</v>
      </c>
      <c r="F68" s="14">
        <f>'F) Population'!K60</f>
        <v>7191.6498993963769</v>
      </c>
      <c r="G68" s="10">
        <f>'G) Solidarité'!I57</f>
        <v>27632.876878225186</v>
      </c>
      <c r="H68" s="14">
        <f t="shared" si="1"/>
        <v>34824.526777621562</v>
      </c>
      <c r="I68" s="55">
        <f t="shared" si="2"/>
        <v>-3545.6817698222621</v>
      </c>
    </row>
    <row r="69" spans="1:9" x14ac:dyDescent="0.25">
      <c r="A69" s="49">
        <f>'A) Base RI'!A60</f>
        <v>5489</v>
      </c>
      <c r="B69" s="32" t="str">
        <f>'A) Base RI'!B60</f>
        <v>Mex</v>
      </c>
      <c r="C69" s="31">
        <f>'D) Ecrêtage'!C58</f>
        <v>58521.207563025193</v>
      </c>
      <c r="D69" s="14">
        <f>'A) Base RI'!AO60</f>
        <v>791</v>
      </c>
      <c r="E69" s="10">
        <f t="shared" si="0"/>
        <v>1121502.968728218</v>
      </c>
      <c r="F69" s="14">
        <f>'F) Population'!K61</f>
        <v>98079.225352112655</v>
      </c>
      <c r="G69" s="10">
        <f>'G) Solidarité'!I58</f>
        <v>0</v>
      </c>
      <c r="H69" s="14">
        <f t="shared" si="1"/>
        <v>98079.225352112655</v>
      </c>
      <c r="I69" s="55">
        <f t="shared" si="2"/>
        <v>1023423.7433761053</v>
      </c>
    </row>
    <row r="70" spans="1:9" x14ac:dyDescent="0.25">
      <c r="A70" s="49">
        <f>'A) Base RI'!A61</f>
        <v>5490</v>
      </c>
      <c r="B70" s="32" t="str">
        <f>'A) Base RI'!B61</f>
        <v>Moiry</v>
      </c>
      <c r="C70" s="31">
        <f>'D) Ecrêtage'!C59</f>
        <v>8655.909290322581</v>
      </c>
      <c r="D70" s="14">
        <f>'A) Base RI'!AO61</f>
        <v>311</v>
      </c>
      <c r="E70" s="10">
        <f t="shared" si="0"/>
        <v>165882.22236672367</v>
      </c>
      <c r="F70" s="14">
        <f>'F) Population'!K62</f>
        <v>38562.122736418503</v>
      </c>
      <c r="G70" s="10">
        <f>'G) Solidarité'!I59</f>
        <v>152409.93471532952</v>
      </c>
      <c r="H70" s="14">
        <f t="shared" si="1"/>
        <v>190972.05745174803</v>
      </c>
      <c r="I70" s="55">
        <f t="shared" si="2"/>
        <v>-25089.835085024359</v>
      </c>
    </row>
    <row r="71" spans="1:9" x14ac:dyDescent="0.25">
      <c r="A71" s="49">
        <f>'A) Base RI'!A62</f>
        <v>5491</v>
      </c>
      <c r="B71" s="32" t="str">
        <f>'A) Base RI'!B62</f>
        <v>Mont-la-Ville</v>
      </c>
      <c r="C71" s="31">
        <f>'D) Ecrêtage'!C60</f>
        <v>14323.284736842104</v>
      </c>
      <c r="D71" s="14">
        <f>'A) Base RI'!AO62</f>
        <v>490</v>
      </c>
      <c r="E71" s="10">
        <f t="shared" si="0"/>
        <v>274492.05208228278</v>
      </c>
      <c r="F71" s="14">
        <f>'F) Population'!K63</f>
        <v>60757.042253521118</v>
      </c>
      <c r="G71" s="10">
        <f>'G) Solidarité'!I60</f>
        <v>215043.78491410302</v>
      </c>
      <c r="H71" s="14">
        <f t="shared" si="1"/>
        <v>275800.82716762414</v>
      </c>
      <c r="I71" s="55">
        <f t="shared" si="2"/>
        <v>-1308.77508534136</v>
      </c>
    </row>
    <row r="72" spans="1:9" x14ac:dyDescent="0.25">
      <c r="A72" s="49">
        <f>'A) Base RI'!A63</f>
        <v>5492</v>
      </c>
      <c r="B72" s="32" t="str">
        <f>'A) Base RI'!B63</f>
        <v>Montricher</v>
      </c>
      <c r="C72" s="31">
        <f>'D) Ecrêtage'!C61</f>
        <v>157154.96692708335</v>
      </c>
      <c r="D72" s="14">
        <f>'A) Base RI'!AO63</f>
        <v>964</v>
      </c>
      <c r="E72" s="10">
        <f t="shared" si="0"/>
        <v>3011724.6259707534</v>
      </c>
      <c r="F72" s="14">
        <f>'F) Population'!K64</f>
        <v>119530.18108651909</v>
      </c>
      <c r="G72" s="10">
        <f>'G) Solidarité'!I61</f>
        <v>0</v>
      </c>
      <c r="H72" s="14">
        <f t="shared" si="1"/>
        <v>119530.18108651909</v>
      </c>
      <c r="I72" s="55">
        <f t="shared" si="2"/>
        <v>2892194.4448842341</v>
      </c>
    </row>
    <row r="73" spans="1:9" x14ac:dyDescent="0.25">
      <c r="A73" s="49">
        <f>'A) Base RI'!A64</f>
        <v>5493</v>
      </c>
      <c r="B73" s="32" t="str">
        <f>'A) Base RI'!B64</f>
        <v>Orny</v>
      </c>
      <c r="C73" s="31">
        <f>'D) Ecrêtage'!C62</f>
        <v>12885.017723919913</v>
      </c>
      <c r="D73" s="14">
        <f>'A) Base RI'!AO64</f>
        <v>462</v>
      </c>
      <c r="E73" s="10">
        <f t="shared" si="0"/>
        <v>246929.04044963763</v>
      </c>
      <c r="F73" s="14">
        <f>'F) Population'!K65</f>
        <v>57285.21126760562</v>
      </c>
      <c r="G73" s="10">
        <f>'G) Solidarité'!I62</f>
        <v>200315.7832053176</v>
      </c>
      <c r="H73" s="14">
        <f t="shared" si="1"/>
        <v>257600.99447292322</v>
      </c>
      <c r="I73" s="55">
        <f t="shared" si="2"/>
        <v>-10671.954023285594</v>
      </c>
    </row>
    <row r="74" spans="1:9" x14ac:dyDescent="0.25">
      <c r="A74" s="49">
        <f>'A) Base RI'!A65</f>
        <v>5494</v>
      </c>
      <c r="B74" s="32" t="str">
        <f>'A) Base RI'!B65</f>
        <v>Pampigny</v>
      </c>
      <c r="C74" s="31">
        <f>'D) Ecrêtage'!C63</f>
        <v>36607.87342465754</v>
      </c>
      <c r="D74" s="14">
        <f>'A) Base RI'!AO65</f>
        <v>1128</v>
      </c>
      <c r="E74" s="10">
        <f t="shared" si="0"/>
        <v>701554.87957702565</v>
      </c>
      <c r="F74" s="14">
        <f>'F) Population'!K66</f>
        <v>168433.40040241447</v>
      </c>
      <c r="G74" s="10">
        <f>'G) Solidarité'!I63</f>
        <v>379009.99621390854</v>
      </c>
      <c r="H74" s="14">
        <f t="shared" si="1"/>
        <v>547443.39661632304</v>
      </c>
      <c r="I74" s="55">
        <f t="shared" si="2"/>
        <v>154111.48296070262</v>
      </c>
    </row>
    <row r="75" spans="1:9" x14ac:dyDescent="0.25">
      <c r="A75" s="49">
        <f>'A) Base RI'!A66</f>
        <v>5495</v>
      </c>
      <c r="B75" s="32" t="str">
        <f>'A) Base RI'!B66</f>
        <v>Penthalaz</v>
      </c>
      <c r="C75" s="31">
        <f>'D) Ecrêtage'!C64</f>
        <v>93361.472702702697</v>
      </c>
      <c r="D75" s="14">
        <f>'A) Base RI'!AO66</f>
        <v>3207</v>
      </c>
      <c r="E75" s="10">
        <f t="shared" si="0"/>
        <v>1789183.3262011199</v>
      </c>
      <c r="F75" s="14">
        <f>'F) Population'!K67</f>
        <v>921027.16297786706</v>
      </c>
      <c r="G75" s="10">
        <f>'G) Solidarité'!I64</f>
        <v>1342752.2518991106</v>
      </c>
      <c r="H75" s="14">
        <f t="shared" si="1"/>
        <v>2263779.4148769779</v>
      </c>
      <c r="I75" s="55">
        <f t="shared" si="2"/>
        <v>-474596.08867585799</v>
      </c>
    </row>
    <row r="76" spans="1:9" x14ac:dyDescent="0.25">
      <c r="A76" s="49">
        <f>'A) Base RI'!A67</f>
        <v>5496</v>
      </c>
      <c r="B76" s="32" t="str">
        <f>'A) Base RI'!B67</f>
        <v>Penthaz</v>
      </c>
      <c r="C76" s="31">
        <f>'D) Ecrêtage'!C65</f>
        <v>60131.11913669065</v>
      </c>
      <c r="D76" s="14">
        <f>'A) Base RI'!AO67</f>
        <v>1855</v>
      </c>
      <c r="E76" s="10">
        <f t="shared" si="0"/>
        <v>1152355.3841933508</v>
      </c>
      <c r="F76" s="14">
        <f>'F) Population'!K68</f>
        <v>420835.51307847077</v>
      </c>
      <c r="G76" s="10">
        <f>'G) Solidarité'!I65</f>
        <v>566318.46503614448</v>
      </c>
      <c r="H76" s="14">
        <f t="shared" si="1"/>
        <v>987153.97811461519</v>
      </c>
      <c r="I76" s="55">
        <f t="shared" si="2"/>
        <v>165201.4060787356</v>
      </c>
    </row>
    <row r="77" spans="1:9" x14ac:dyDescent="0.25">
      <c r="A77" s="49">
        <f>'A) Base RI'!A68</f>
        <v>5497</v>
      </c>
      <c r="B77" s="32" t="str">
        <f>'A) Base RI'!B68</f>
        <v>Pompaples</v>
      </c>
      <c r="C77" s="31">
        <f>'D) Ecrêtage'!C66</f>
        <v>20396.986060606061</v>
      </c>
      <c r="D77" s="14">
        <f>'A) Base RI'!AO68</f>
        <v>847</v>
      </c>
      <c r="E77" s="10">
        <f t="shared" si="0"/>
        <v>390888.72859368013</v>
      </c>
      <c r="F77" s="14">
        <f>'F) Population'!K69</f>
        <v>105022.88732394365</v>
      </c>
      <c r="G77" s="10">
        <f>'G) Solidarité'!I66</f>
        <v>356562.91754750093</v>
      </c>
      <c r="H77" s="14">
        <f t="shared" si="1"/>
        <v>461585.80487144459</v>
      </c>
      <c r="I77" s="55">
        <f t="shared" si="2"/>
        <v>-70697.076277764456</v>
      </c>
    </row>
    <row r="78" spans="1:9" x14ac:dyDescent="0.25">
      <c r="A78" s="49">
        <f>'A) Base RI'!A69</f>
        <v>5498</v>
      </c>
      <c r="B78" s="32" t="str">
        <f>'A) Base RI'!B69</f>
        <v>La Sarraz</v>
      </c>
      <c r="C78" s="31">
        <f>'D) Ecrêtage'!C67</f>
        <v>77508.241969696974</v>
      </c>
      <c r="D78" s="14">
        <f>'A) Base RI'!AO69</f>
        <v>2598</v>
      </c>
      <c r="E78" s="10">
        <f t="shared" si="0"/>
        <v>1485371.322461253</v>
      </c>
      <c r="F78" s="14">
        <f>'F) Population'!K70</f>
        <v>678792.55533199187</v>
      </c>
      <c r="G78" s="10">
        <f>'G) Solidarité'!I67</f>
        <v>832504.55517354805</v>
      </c>
      <c r="H78" s="14">
        <f t="shared" si="1"/>
        <v>1511297.1105055399</v>
      </c>
      <c r="I78" s="55">
        <f t="shared" si="2"/>
        <v>-25925.788044286892</v>
      </c>
    </row>
    <row r="79" spans="1:9" x14ac:dyDescent="0.25">
      <c r="A79" s="49">
        <f>'A) Base RI'!A70</f>
        <v>5499</v>
      </c>
      <c r="B79" s="32" t="str">
        <f>'A) Base RI'!B70</f>
        <v>Senarclens</v>
      </c>
      <c r="C79" s="31">
        <f>'D) Ecrêtage'!C68</f>
        <v>19654.447445255475</v>
      </c>
      <c r="D79" s="14">
        <f>'A) Base RI'!AO70</f>
        <v>496</v>
      </c>
      <c r="E79" s="10">
        <f t="shared" si="0"/>
        <v>376658.68625195004</v>
      </c>
      <c r="F79" s="14">
        <f>'F) Population'!K71</f>
        <v>61501.006036217295</v>
      </c>
      <c r="G79" s="10">
        <f>'G) Solidarité'!I68</f>
        <v>79774.118776354197</v>
      </c>
      <c r="H79" s="14">
        <f t="shared" si="1"/>
        <v>141275.12481257151</v>
      </c>
      <c r="I79" s="55">
        <f t="shared" si="2"/>
        <v>235383.56143937854</v>
      </c>
    </row>
    <row r="80" spans="1:9" x14ac:dyDescent="0.25">
      <c r="A80" s="49">
        <f>'A) Base RI'!A71</f>
        <v>5500</v>
      </c>
      <c r="B80" s="32" t="str">
        <f>'A) Base RI'!B71</f>
        <v>Sévery</v>
      </c>
      <c r="C80" s="31">
        <f>'D) Ecrêtage'!C69</f>
        <v>7516.1401369863015</v>
      </c>
      <c r="D80" s="14">
        <f>'A) Base RI'!AO71</f>
        <v>214</v>
      </c>
      <c r="E80" s="10">
        <f t="shared" si="0"/>
        <v>144039.6367065619</v>
      </c>
      <c r="F80" s="14">
        <f>'F) Population'!K72</f>
        <v>26534.708249496976</v>
      </c>
      <c r="G80" s="10">
        <f>'G) Solidarité'!I69</f>
        <v>59695.661460283649</v>
      </c>
      <c r="H80" s="14">
        <f t="shared" si="1"/>
        <v>86230.369709780629</v>
      </c>
      <c r="I80" s="55">
        <f t="shared" si="2"/>
        <v>57809.266996781269</v>
      </c>
    </row>
    <row r="81" spans="1:9" x14ac:dyDescent="0.25">
      <c r="A81" s="49">
        <f>'A) Base RI'!A72</f>
        <v>5501</v>
      </c>
      <c r="B81" s="32" t="str">
        <f>'A) Base RI'!B72</f>
        <v>Sullens</v>
      </c>
      <c r="C81" s="31">
        <f>'D) Ecrêtage'!C70</f>
        <v>41921.141459854021</v>
      </c>
      <c r="D81" s="14">
        <f>'A) Base RI'!AO72</f>
        <v>1041</v>
      </c>
      <c r="E81" s="10">
        <f t="shared" ref="E81:E144" si="3">C81*E$15</f>
        <v>803378.57945034327</v>
      </c>
      <c r="F81" s="14">
        <f>'F) Population'!K73</f>
        <v>138228.47082494968</v>
      </c>
      <c r="G81" s="10">
        <f>'G) Solidarité'!I70</f>
        <v>154805.18058386433</v>
      </c>
      <c r="H81" s="14">
        <f t="shared" ref="H81:H144" si="4">F81+G81</f>
        <v>293033.65140881401</v>
      </c>
      <c r="I81" s="55">
        <f t="shared" ref="I81:I144" si="5">E81-H81</f>
        <v>510344.92804152926</v>
      </c>
    </row>
    <row r="82" spans="1:9" x14ac:dyDescent="0.25">
      <c r="A82" s="49">
        <f>'A) Base RI'!A73</f>
        <v>5503</v>
      </c>
      <c r="B82" s="32" t="str">
        <f>'A) Base RI'!B73</f>
        <v>Vufflens-la-Ville</v>
      </c>
      <c r="C82" s="31">
        <f>'D) Ecrêtage'!C71</f>
        <v>66677.882338308453</v>
      </c>
      <c r="D82" s="14">
        <f>'A) Base RI'!AO73</f>
        <v>1349</v>
      </c>
      <c r="E82" s="10">
        <f t="shared" si="3"/>
        <v>1277817.8391207841</v>
      </c>
      <c r="F82" s="14">
        <f>'F) Population'!K74</f>
        <v>245160.86519114685</v>
      </c>
      <c r="G82" s="10">
        <f>'G) Solidarité'!I71</f>
        <v>0</v>
      </c>
      <c r="H82" s="14">
        <f t="shared" si="4"/>
        <v>245160.86519114685</v>
      </c>
      <c r="I82" s="55">
        <f t="shared" si="5"/>
        <v>1032656.9739296372</v>
      </c>
    </row>
    <row r="83" spans="1:9" x14ac:dyDescent="0.25">
      <c r="A83" s="49">
        <f>'A) Base RI'!A74</f>
        <v>5511</v>
      </c>
      <c r="B83" s="32" t="str">
        <f>'A) Base RI'!B74</f>
        <v>Assens</v>
      </c>
      <c r="C83" s="31">
        <f>'D) Ecrêtage'!C72</f>
        <v>44474.742571428564</v>
      </c>
      <c r="D83" s="14">
        <f>'A) Base RI'!AO74</f>
        <v>1141</v>
      </c>
      <c r="E83" s="10">
        <f t="shared" si="3"/>
        <v>852315.90229171223</v>
      </c>
      <c r="F83" s="14">
        <f>'F) Population'!K75</f>
        <v>172946.7806841046</v>
      </c>
      <c r="G83" s="10">
        <f>'G) Solidarité'!I72</f>
        <v>206154.14014568602</v>
      </c>
      <c r="H83" s="14">
        <f t="shared" si="4"/>
        <v>379100.92082979064</v>
      </c>
      <c r="I83" s="55">
        <f t="shared" si="5"/>
        <v>473214.98146192159</v>
      </c>
    </row>
    <row r="84" spans="1:9" x14ac:dyDescent="0.25">
      <c r="A84" s="49">
        <f>'A) Base RI'!A75</f>
        <v>5512</v>
      </c>
      <c r="B84" s="32" t="str">
        <f>'A) Base RI'!B75</f>
        <v>Bercher</v>
      </c>
      <c r="C84" s="31">
        <f>'D) Ecrêtage'!C73</f>
        <v>40313.482784810127</v>
      </c>
      <c r="D84" s="14">
        <f>'A) Base RI'!AO75</f>
        <v>1323</v>
      </c>
      <c r="E84" s="10">
        <f t="shared" si="3"/>
        <v>772569.3386324459</v>
      </c>
      <c r="F84" s="14">
        <f>'F) Population'!K76</f>
        <v>236134.10462776656</v>
      </c>
      <c r="G84" s="10">
        <f>'G) Solidarité'!I73</f>
        <v>586281.58029531443</v>
      </c>
      <c r="H84" s="14">
        <f t="shared" si="4"/>
        <v>822415.68492308096</v>
      </c>
      <c r="I84" s="55">
        <f t="shared" si="5"/>
        <v>-49846.346290635061</v>
      </c>
    </row>
    <row r="85" spans="1:9" x14ac:dyDescent="0.25">
      <c r="A85" s="49">
        <f>'A) Base RI'!A76</f>
        <v>5513</v>
      </c>
      <c r="B85" s="32" t="str">
        <f>'A) Base RI'!B76</f>
        <v>Bioley-Orjulaz</v>
      </c>
      <c r="C85" s="31">
        <f>'D) Ecrêtage'!C74</f>
        <v>22644.962352941177</v>
      </c>
      <c r="D85" s="14">
        <f>'A) Base RI'!AO76</f>
        <v>525</v>
      </c>
      <c r="E85" s="10">
        <f t="shared" si="3"/>
        <v>433969.04409758252</v>
      </c>
      <c r="F85" s="14">
        <f>'F) Population'!K77</f>
        <v>65096.830985915483</v>
      </c>
      <c r="G85" s="10">
        <f>'G) Solidarité'!I74</f>
        <v>49049.729104161757</v>
      </c>
      <c r="H85" s="14">
        <f t="shared" si="4"/>
        <v>114146.56009007724</v>
      </c>
      <c r="I85" s="55">
        <f t="shared" si="5"/>
        <v>319822.48400750529</v>
      </c>
    </row>
    <row r="86" spans="1:9" x14ac:dyDescent="0.25">
      <c r="A86" s="49">
        <f>'A) Base RI'!A77</f>
        <v>5514</v>
      </c>
      <c r="B86" s="32" t="str">
        <f>'A) Base RI'!B77</f>
        <v>Bottens</v>
      </c>
      <c r="C86" s="31">
        <f>'D) Ecrêtage'!C75</f>
        <v>44190.368827586208</v>
      </c>
      <c r="D86" s="14">
        <f>'A) Base RI'!AO77</f>
        <v>1330</v>
      </c>
      <c r="E86" s="10">
        <f t="shared" si="3"/>
        <v>846866.15148805548</v>
      </c>
      <c r="F86" s="14">
        <f>'F) Population'!K78</f>
        <v>238564.38631790743</v>
      </c>
      <c r="G86" s="10">
        <f>'G) Solidarité'!I75</f>
        <v>419127.52605400869</v>
      </c>
      <c r="H86" s="14">
        <f t="shared" si="4"/>
        <v>657691.91237191611</v>
      </c>
      <c r="I86" s="55">
        <f t="shared" si="5"/>
        <v>189174.23911613936</v>
      </c>
    </row>
    <row r="87" spans="1:9" x14ac:dyDescent="0.25">
      <c r="A87" s="49">
        <f>'A) Base RI'!A78</f>
        <v>5515</v>
      </c>
      <c r="B87" s="32" t="str">
        <f>'A) Base RI'!B78</f>
        <v>Bretigny-sur-Morrens</v>
      </c>
      <c r="C87" s="31">
        <f>'D) Ecrêtage'!C76</f>
        <v>29586.483086419765</v>
      </c>
      <c r="D87" s="14">
        <f>'A) Base RI'!AO78</f>
        <v>859</v>
      </c>
      <c r="E87" s="10">
        <f t="shared" si="3"/>
        <v>566996.64954643836</v>
      </c>
      <c r="F87" s="14">
        <f>'F) Population'!K79</f>
        <v>106510.814889336</v>
      </c>
      <c r="G87" s="10">
        <f>'G) Solidarité'!I76</f>
        <v>310374.62761505938</v>
      </c>
      <c r="H87" s="14">
        <f t="shared" si="4"/>
        <v>416885.44250439538</v>
      </c>
      <c r="I87" s="55">
        <f t="shared" si="5"/>
        <v>150111.20704204298</v>
      </c>
    </row>
    <row r="88" spans="1:9" x14ac:dyDescent="0.25">
      <c r="A88" s="49">
        <f>'A) Base RI'!A79</f>
        <v>5516</v>
      </c>
      <c r="B88" s="32" t="str">
        <f>'A) Base RI'!B79</f>
        <v>Cugy</v>
      </c>
      <c r="C88" s="31">
        <f>'D) Ecrêtage'!C77</f>
        <v>107062.26318376069</v>
      </c>
      <c r="D88" s="14">
        <f>'A) Base RI'!AO79</f>
        <v>2760</v>
      </c>
      <c r="E88" s="10">
        <f t="shared" si="3"/>
        <v>2051745.8712730375</v>
      </c>
      <c r="F88" s="14">
        <f>'F) Population'!K80</f>
        <v>735036.21730382286</v>
      </c>
      <c r="G88" s="10">
        <f>'G) Solidarité'!I77</f>
        <v>631838.05054400989</v>
      </c>
      <c r="H88" s="14">
        <f t="shared" si="4"/>
        <v>1366874.2678478328</v>
      </c>
      <c r="I88" s="55">
        <f t="shared" si="5"/>
        <v>684871.60342520475</v>
      </c>
    </row>
    <row r="89" spans="1:9" x14ac:dyDescent="0.25">
      <c r="A89" s="49">
        <f>'A) Base RI'!A80</f>
        <v>5518</v>
      </c>
      <c r="B89" s="32" t="str">
        <f>'A) Base RI'!B80</f>
        <v>Echallens</v>
      </c>
      <c r="C89" s="31">
        <f>'D) Ecrêtage'!C78</f>
        <v>178756.07310344829</v>
      </c>
      <c r="D89" s="14">
        <f>'A) Base RI'!AO80</f>
        <v>5731</v>
      </c>
      <c r="E89" s="10">
        <f t="shared" si="3"/>
        <v>3425689.1648691781</v>
      </c>
      <c r="F89" s="14">
        <f>'F) Population'!K81</f>
        <v>2245381.8913480882</v>
      </c>
      <c r="G89" s="10">
        <f>'G) Solidarité'!I78</f>
        <v>2051945.4957701126</v>
      </c>
      <c r="H89" s="14">
        <f t="shared" si="4"/>
        <v>4297327.3871182008</v>
      </c>
      <c r="I89" s="55">
        <f t="shared" si="5"/>
        <v>-871638.22224902268</v>
      </c>
    </row>
    <row r="90" spans="1:9" x14ac:dyDescent="0.25">
      <c r="A90" s="49">
        <f>'A) Base RI'!A81</f>
        <v>5520</v>
      </c>
      <c r="B90" s="32" t="str">
        <f>'A) Base RI'!B81</f>
        <v>Essertines-sur-Yverdon</v>
      </c>
      <c r="C90" s="31">
        <f>'D) Ecrêtage'!C79</f>
        <v>29733.806712328769</v>
      </c>
      <c r="D90" s="14">
        <f>'A) Base RI'!AO81</f>
        <v>1036</v>
      </c>
      <c r="E90" s="10">
        <f t="shared" si="3"/>
        <v>569819.96592525393</v>
      </c>
      <c r="F90" s="14">
        <f>'F) Population'!K82</f>
        <v>136492.55533199193</v>
      </c>
      <c r="G90" s="10">
        <f>'G) Solidarité'!I79</f>
        <v>431230.81614063162</v>
      </c>
      <c r="H90" s="14">
        <f t="shared" si="4"/>
        <v>567723.37147262355</v>
      </c>
      <c r="I90" s="55">
        <f t="shared" si="5"/>
        <v>2096.5944526303792</v>
      </c>
    </row>
    <row r="91" spans="1:9" x14ac:dyDescent="0.25">
      <c r="A91" s="49">
        <f>'A) Base RI'!A82</f>
        <v>5521</v>
      </c>
      <c r="B91" s="32" t="str">
        <f>'A) Base RI'!B82</f>
        <v>Etagnières</v>
      </c>
      <c r="C91" s="31">
        <f>'D) Ecrêtage'!C80</f>
        <v>46797.314657534247</v>
      </c>
      <c r="D91" s="14">
        <f>'A) Base RI'!AO82</f>
        <v>1148</v>
      </c>
      <c r="E91" s="10">
        <f t="shared" si="3"/>
        <v>896825.77483403066</v>
      </c>
      <c r="F91" s="14">
        <f>'F) Population'!K83</f>
        <v>175377.06237424543</v>
      </c>
      <c r="G91" s="10">
        <f>'G) Solidarité'!I80</f>
        <v>181755.20173253844</v>
      </c>
      <c r="H91" s="14">
        <f t="shared" si="4"/>
        <v>357132.2641067839</v>
      </c>
      <c r="I91" s="55">
        <f t="shared" si="5"/>
        <v>539693.51072724676</v>
      </c>
    </row>
    <row r="92" spans="1:9" x14ac:dyDescent="0.25">
      <c r="A92" s="49">
        <f>'A) Base RI'!A83</f>
        <v>5522</v>
      </c>
      <c r="B92" s="32" t="str">
        <f>'A) Base RI'!B83</f>
        <v>Fey</v>
      </c>
      <c r="C92" s="31">
        <f>'D) Ecrêtage'!C81</f>
        <v>23726.940933333331</v>
      </c>
      <c r="D92" s="14">
        <f>'A) Base RI'!AO83</f>
        <v>749</v>
      </c>
      <c r="E92" s="10">
        <f t="shared" si="3"/>
        <v>454704.12870265177</v>
      </c>
      <c r="F92" s="14">
        <f>'F) Population'!K84</f>
        <v>92871.478873239423</v>
      </c>
      <c r="G92" s="10">
        <f>'G) Solidarité'!I81</f>
        <v>278754.77100220928</v>
      </c>
      <c r="H92" s="14">
        <f t="shared" si="4"/>
        <v>371626.2498754487</v>
      </c>
      <c r="I92" s="55">
        <f t="shared" si="5"/>
        <v>83077.878827203065</v>
      </c>
    </row>
    <row r="93" spans="1:9" x14ac:dyDescent="0.25">
      <c r="A93" s="49">
        <f>'A) Base RI'!A84</f>
        <v>5523</v>
      </c>
      <c r="B93" s="32" t="str">
        <f>'A) Base RI'!B84</f>
        <v>Froideville</v>
      </c>
      <c r="C93" s="31">
        <f>'D) Ecrêtage'!C82</f>
        <v>85868.846805555557</v>
      </c>
      <c r="D93" s="14">
        <f>'A) Base RI'!AO84</f>
        <v>2694</v>
      </c>
      <c r="E93" s="10">
        <f t="shared" si="3"/>
        <v>1645594.3174102346</v>
      </c>
      <c r="F93" s="14">
        <f>'F) Population'!K85</f>
        <v>712122.13279678056</v>
      </c>
      <c r="G93" s="10">
        <f>'G) Solidarité'!I82</f>
        <v>913039.02155057958</v>
      </c>
      <c r="H93" s="14">
        <f t="shared" si="4"/>
        <v>1625161.1543473601</v>
      </c>
      <c r="I93" s="55">
        <f t="shared" si="5"/>
        <v>20433.163062874461</v>
      </c>
    </row>
    <row r="94" spans="1:9" x14ac:dyDescent="0.25">
      <c r="A94" s="49">
        <f>'A) Base RI'!A85</f>
        <v>5527</v>
      </c>
      <c r="B94" s="32" t="str">
        <f>'A) Base RI'!B85</f>
        <v>Morrens</v>
      </c>
      <c r="C94" s="31">
        <f>'D) Ecrêtage'!C83</f>
        <v>40564.204594594594</v>
      </c>
      <c r="D94" s="14">
        <f>'A) Base RI'!AO85</f>
        <v>1153</v>
      </c>
      <c r="E94" s="10">
        <f t="shared" si="3"/>
        <v>777374.18230720027</v>
      </c>
      <c r="F94" s="14">
        <f>'F) Population'!K86</f>
        <v>177112.97786720318</v>
      </c>
      <c r="G94" s="10">
        <f>'G) Solidarité'!I83</f>
        <v>329001.48259852658</v>
      </c>
      <c r="H94" s="14">
        <f t="shared" si="4"/>
        <v>506114.46046572976</v>
      </c>
      <c r="I94" s="55">
        <f t="shared" si="5"/>
        <v>271259.72184147051</v>
      </c>
    </row>
    <row r="95" spans="1:9" x14ac:dyDescent="0.25">
      <c r="A95" s="49">
        <f>'A) Base RI'!A86</f>
        <v>5529</v>
      </c>
      <c r="B95" s="32" t="str">
        <f>'A) Base RI'!B86</f>
        <v>Oulens-sous-Echallens</v>
      </c>
      <c r="C95" s="31">
        <f>'D) Ecrêtage'!C84</f>
        <v>20201.245428571427</v>
      </c>
      <c r="D95" s="14">
        <f>'A) Base RI'!AO86</f>
        <v>618</v>
      </c>
      <c r="E95" s="10">
        <f t="shared" si="3"/>
        <v>387137.54660224292</v>
      </c>
      <c r="F95" s="14">
        <f>'F) Population'!K87</f>
        <v>76628.269617706217</v>
      </c>
      <c r="G95" s="10">
        <f>'G) Solidarité'!I84</f>
        <v>188086.02981071666</v>
      </c>
      <c r="H95" s="14">
        <f t="shared" si="4"/>
        <v>264714.29942842288</v>
      </c>
      <c r="I95" s="55">
        <f t="shared" si="5"/>
        <v>122423.24717382004</v>
      </c>
    </row>
    <row r="96" spans="1:9" x14ac:dyDescent="0.25">
      <c r="A96" s="49">
        <f>'A) Base RI'!A87</f>
        <v>5530</v>
      </c>
      <c r="B96" s="32" t="str">
        <f>'A) Base RI'!B87</f>
        <v>Pailly</v>
      </c>
      <c r="C96" s="31">
        <f>'D) Ecrêtage'!C85</f>
        <v>18302.009495614031</v>
      </c>
      <c r="D96" s="14">
        <f>'A) Base RI'!AO87</f>
        <v>567</v>
      </c>
      <c r="E96" s="10">
        <f t="shared" si="3"/>
        <v>350740.50652351428</v>
      </c>
      <c r="F96" s="14">
        <f>'F) Population'!K88</f>
        <v>70304.577464788716</v>
      </c>
      <c r="G96" s="10">
        <f>'G) Solidarité'!I85</f>
        <v>208794.22993089206</v>
      </c>
      <c r="H96" s="14">
        <f t="shared" si="4"/>
        <v>279098.80739568081</v>
      </c>
      <c r="I96" s="55">
        <f t="shared" si="5"/>
        <v>71641.699127833475</v>
      </c>
    </row>
    <row r="97" spans="1:9" x14ac:dyDescent="0.25">
      <c r="A97" s="49">
        <f>'A) Base RI'!A88</f>
        <v>5531</v>
      </c>
      <c r="B97" s="32" t="str">
        <f>'A) Base RI'!B88</f>
        <v>Penthéréaz</v>
      </c>
      <c r="C97" s="31">
        <f>'D) Ecrêtage'!C86</f>
        <v>13843.062702702704</v>
      </c>
      <c r="D97" s="14">
        <f>'A) Base RI'!AO88</f>
        <v>419</v>
      </c>
      <c r="E97" s="10">
        <f t="shared" si="3"/>
        <v>265289.05611956242</v>
      </c>
      <c r="F97" s="14">
        <f>'F) Population'!K89</f>
        <v>51953.470824949691</v>
      </c>
      <c r="G97" s="10">
        <f>'G) Solidarité'!I86</f>
        <v>139287.27651337502</v>
      </c>
      <c r="H97" s="14">
        <f t="shared" si="4"/>
        <v>191240.74733832473</v>
      </c>
      <c r="I97" s="55">
        <f t="shared" si="5"/>
        <v>74048.308781237691</v>
      </c>
    </row>
    <row r="98" spans="1:9" x14ac:dyDescent="0.25">
      <c r="A98" s="49">
        <f>'A) Base RI'!A89</f>
        <v>5533</v>
      </c>
      <c r="B98" s="32" t="str">
        <f>'A) Base RI'!B89</f>
        <v>Poliez-Pittet</v>
      </c>
      <c r="C98" s="31">
        <f>'D) Ecrêtage'!C87</f>
        <v>27190.167945205478</v>
      </c>
      <c r="D98" s="14">
        <f>'A) Base RI'!AO89</f>
        <v>829</v>
      </c>
      <c r="E98" s="10">
        <f t="shared" si="3"/>
        <v>521073.56188653508</v>
      </c>
      <c r="F98" s="14">
        <f>'F) Population'!K90</f>
        <v>102790.99597585511</v>
      </c>
      <c r="G98" s="10">
        <f>'G) Solidarité'!I87</f>
        <v>272431.21836056316</v>
      </c>
      <c r="H98" s="14">
        <f t="shared" si="4"/>
        <v>375222.21433641826</v>
      </c>
      <c r="I98" s="55">
        <f t="shared" si="5"/>
        <v>145851.34755011683</v>
      </c>
    </row>
    <row r="99" spans="1:9" x14ac:dyDescent="0.25">
      <c r="A99" s="49">
        <f>'A) Base RI'!A90</f>
        <v>5534</v>
      </c>
      <c r="B99" s="32" t="str">
        <f>'A) Base RI'!B90</f>
        <v>Rueyres</v>
      </c>
      <c r="C99" s="31">
        <f>'D) Ecrêtage'!C88</f>
        <v>9755.351210045661</v>
      </c>
      <c r="D99" s="14">
        <f>'A) Base RI'!AO90</f>
        <v>266</v>
      </c>
      <c r="E99" s="10">
        <f t="shared" si="3"/>
        <v>186951.97516677927</v>
      </c>
      <c r="F99" s="14">
        <f>'F) Population'!K91</f>
        <v>32982.394366197179</v>
      </c>
      <c r="G99" s="10">
        <f>'G) Solidarité'!I88</f>
        <v>65374.139626488301</v>
      </c>
      <c r="H99" s="14">
        <f t="shared" si="4"/>
        <v>98356.533992685479</v>
      </c>
      <c r="I99" s="55">
        <f t="shared" si="5"/>
        <v>88595.441174093794</v>
      </c>
    </row>
    <row r="100" spans="1:9" x14ac:dyDescent="0.25">
      <c r="A100" s="49">
        <f>'A) Base RI'!A91</f>
        <v>5535</v>
      </c>
      <c r="B100" s="32" t="str">
        <f>'A) Base RI'!B91</f>
        <v>Saint-Barthélemy</v>
      </c>
      <c r="C100" s="31">
        <f>'D) Ecrêtage'!C89</f>
        <v>22496.850133333337</v>
      </c>
      <c r="D100" s="14">
        <f>'A) Base RI'!AO91</f>
        <v>784</v>
      </c>
      <c r="E100" s="10">
        <f t="shared" si="3"/>
        <v>431130.61507480091</v>
      </c>
      <c r="F100" s="14">
        <f>'F) Population'!K92</f>
        <v>97211.26760563378</v>
      </c>
      <c r="G100" s="10">
        <f>'G) Solidarité'!I89</f>
        <v>344562.75707467657</v>
      </c>
      <c r="H100" s="14">
        <f t="shared" si="4"/>
        <v>441774.02468031034</v>
      </c>
      <c r="I100" s="55">
        <f t="shared" si="5"/>
        <v>-10643.409605509427</v>
      </c>
    </row>
    <row r="101" spans="1:9" x14ac:dyDescent="0.25">
      <c r="A101" s="49">
        <f>'A) Base RI'!A92</f>
        <v>5537</v>
      </c>
      <c r="B101" s="32" t="str">
        <f>'A) Base RI'!B92</f>
        <v>Villars-le-Terroir</v>
      </c>
      <c r="C101" s="31">
        <f>'D) Ecrêtage'!C90</f>
        <v>37963.269999999997</v>
      </c>
      <c r="D101" s="14">
        <f>'A) Base RI'!AO92</f>
        <v>1281</v>
      </c>
      <c r="E101" s="10">
        <f t="shared" si="3"/>
        <v>727529.75853716256</v>
      </c>
      <c r="F101" s="14">
        <f>'F) Population'!K93</f>
        <v>221552.41448692151</v>
      </c>
      <c r="G101" s="10">
        <f>'G) Solidarité'!I90</f>
        <v>507601.46117195959</v>
      </c>
      <c r="H101" s="14">
        <f t="shared" si="4"/>
        <v>729153.87565888115</v>
      </c>
      <c r="I101" s="55">
        <f t="shared" si="5"/>
        <v>-1624.1171217185911</v>
      </c>
    </row>
    <row r="102" spans="1:9" x14ac:dyDescent="0.25">
      <c r="A102" s="49">
        <f>'A) Base RI'!A93</f>
        <v>5539</v>
      </c>
      <c r="B102" s="32" t="str">
        <f>'A) Base RI'!B93</f>
        <v>Vuarrens</v>
      </c>
      <c r="C102" s="31">
        <f>'D) Ecrêtage'!C91</f>
        <v>35961.61534013605</v>
      </c>
      <c r="D102" s="14">
        <f>'A) Base RI'!AO93</f>
        <v>1060</v>
      </c>
      <c r="E102" s="10">
        <f t="shared" si="3"/>
        <v>689169.96151847567</v>
      </c>
      <c r="F102" s="14">
        <f>'F) Population'!K94</f>
        <v>144824.9496981891</v>
      </c>
      <c r="G102" s="10">
        <f>'G) Solidarité'!I91</f>
        <v>327232.96658982994</v>
      </c>
      <c r="H102" s="14">
        <f t="shared" si="4"/>
        <v>472057.91628801904</v>
      </c>
      <c r="I102" s="55">
        <f t="shared" si="5"/>
        <v>217112.04523045663</v>
      </c>
    </row>
    <row r="103" spans="1:9" x14ac:dyDescent="0.25">
      <c r="A103" s="49">
        <f>'A) Base RI'!A94</f>
        <v>5540</v>
      </c>
      <c r="B103" s="32" t="str">
        <f>'A) Base RI'!B94</f>
        <v>Montilliez</v>
      </c>
      <c r="C103" s="31">
        <f>'D) Ecrêtage'!C92</f>
        <v>66256.548551724132</v>
      </c>
      <c r="D103" s="14">
        <f>'A) Base RI'!AO94</f>
        <v>1857</v>
      </c>
      <c r="E103" s="10">
        <f t="shared" si="3"/>
        <v>1269743.3800971741</v>
      </c>
      <c r="F103" s="14">
        <f>'F) Population'!K95</f>
        <v>421529.87927565386</v>
      </c>
      <c r="G103" s="10">
        <f>'G) Solidarité'!I92</f>
        <v>489121.1065470879</v>
      </c>
      <c r="H103" s="14">
        <f t="shared" si="4"/>
        <v>910650.98582274176</v>
      </c>
      <c r="I103" s="55">
        <f t="shared" si="5"/>
        <v>359092.39427443233</v>
      </c>
    </row>
    <row r="104" spans="1:9" x14ac:dyDescent="0.25">
      <c r="A104" s="49">
        <f>'A) Base RI'!A95</f>
        <v>5541</v>
      </c>
      <c r="B104" s="32" t="str">
        <f>'A) Base RI'!B95</f>
        <v>Goumoëns</v>
      </c>
      <c r="C104" s="31">
        <f>'D) Ecrêtage'!C93</f>
        <v>36998.611258278142</v>
      </c>
      <c r="D104" s="14">
        <f>'A) Base RI'!AO95</f>
        <v>1153</v>
      </c>
      <c r="E104" s="10">
        <f t="shared" si="3"/>
        <v>709042.99642642599</v>
      </c>
      <c r="F104" s="14">
        <f>'F) Population'!K96</f>
        <v>177112.97786720318</v>
      </c>
      <c r="G104" s="10">
        <f>'G) Solidarité'!I93</f>
        <v>424018.47731111455</v>
      </c>
      <c r="H104" s="14">
        <f t="shared" si="4"/>
        <v>601131.45517831773</v>
      </c>
      <c r="I104" s="55">
        <f t="shared" si="5"/>
        <v>107911.54124810826</v>
      </c>
    </row>
    <row r="105" spans="1:9" x14ac:dyDescent="0.25">
      <c r="A105" s="49">
        <f>'A) Base RI'!A96</f>
        <v>5551</v>
      </c>
      <c r="B105" s="32" t="str">
        <f>'A) Base RI'!B96</f>
        <v>Bonvillars</v>
      </c>
      <c r="C105" s="31">
        <f>'D) Ecrêtage'!C94</f>
        <v>19156.634727272725</v>
      </c>
      <c r="D105" s="14">
        <f>'A) Base RI'!AO96</f>
        <v>489</v>
      </c>
      <c r="E105" s="10">
        <f t="shared" si="3"/>
        <v>367118.58165846486</v>
      </c>
      <c r="F105" s="14">
        <f>'F) Population'!K97</f>
        <v>60633.048289738421</v>
      </c>
      <c r="G105" s="10">
        <f>'G) Solidarité'!I94</f>
        <v>53378.226005998309</v>
      </c>
      <c r="H105" s="14">
        <f t="shared" si="4"/>
        <v>114011.27429573673</v>
      </c>
      <c r="I105" s="55">
        <f t="shared" si="5"/>
        <v>253107.30736272811</v>
      </c>
    </row>
    <row r="106" spans="1:9" x14ac:dyDescent="0.25">
      <c r="A106" s="49">
        <f>'A) Base RI'!A97</f>
        <v>5552</v>
      </c>
      <c r="B106" s="32" t="str">
        <f>'A) Base RI'!B97</f>
        <v>Bullet</v>
      </c>
      <c r="C106" s="31">
        <f>'D) Ecrêtage'!C95</f>
        <v>17556.417482517485</v>
      </c>
      <c r="D106" s="14">
        <f>'A) Base RI'!AO97</f>
        <v>657</v>
      </c>
      <c r="E106" s="10">
        <f t="shared" si="3"/>
        <v>336451.94873448904</v>
      </c>
      <c r="F106" s="14">
        <f>'F) Population'!K98</f>
        <v>81464.034205231379</v>
      </c>
      <c r="G106" s="10">
        <f>'G) Solidarité'!I95</f>
        <v>289011.45238358091</v>
      </c>
      <c r="H106" s="14">
        <f t="shared" si="4"/>
        <v>370475.48658881232</v>
      </c>
      <c r="I106" s="55">
        <f t="shared" si="5"/>
        <v>-34023.53785432328</v>
      </c>
    </row>
    <row r="107" spans="1:9" x14ac:dyDescent="0.25">
      <c r="A107" s="49">
        <f>'A) Base RI'!A98</f>
        <v>5553</v>
      </c>
      <c r="B107" s="32" t="str">
        <f>'A) Base RI'!B98</f>
        <v>Champagne</v>
      </c>
      <c r="C107" s="31">
        <f>'D) Ecrêtage'!C96</f>
        <v>38681.377846153839</v>
      </c>
      <c r="D107" s="14">
        <f>'A) Base RI'!AO98</f>
        <v>1061</v>
      </c>
      <c r="E107" s="10">
        <f t="shared" si="3"/>
        <v>741291.60855471762</v>
      </c>
      <c r="F107" s="14">
        <f>'F) Population'!K99</f>
        <v>145172.13279678067</v>
      </c>
      <c r="G107" s="10">
        <f>'G) Solidarité'!I96</f>
        <v>210636.97504278645</v>
      </c>
      <c r="H107" s="14">
        <f t="shared" si="4"/>
        <v>355809.10783956712</v>
      </c>
      <c r="I107" s="55">
        <f t="shared" si="5"/>
        <v>385482.5007151505</v>
      </c>
    </row>
    <row r="108" spans="1:9" x14ac:dyDescent="0.25">
      <c r="A108" s="49">
        <f>'A) Base RI'!A99</f>
        <v>5554</v>
      </c>
      <c r="B108" s="32" t="str">
        <f>'A) Base RI'!B99</f>
        <v>Concise</v>
      </c>
      <c r="C108" s="31">
        <f>'D) Ecrêtage'!C97</f>
        <v>32327.871066666674</v>
      </c>
      <c r="D108" s="14">
        <f>'A) Base RI'!AO99</f>
        <v>1001</v>
      </c>
      <c r="E108" s="10">
        <f t="shared" si="3"/>
        <v>619532.72811200225</v>
      </c>
      <c r="F108" s="14">
        <f>'F) Population'!K100</f>
        <v>124341.1468812877</v>
      </c>
      <c r="G108" s="10">
        <f>'G) Solidarité'!I97</f>
        <v>358593.77984309354</v>
      </c>
      <c r="H108" s="14">
        <f t="shared" si="4"/>
        <v>482934.92672438122</v>
      </c>
      <c r="I108" s="55">
        <f t="shared" si="5"/>
        <v>136597.80138762103</v>
      </c>
    </row>
    <row r="109" spans="1:9" x14ac:dyDescent="0.25">
      <c r="A109" s="49">
        <f>'A) Base RI'!A100</f>
        <v>5555</v>
      </c>
      <c r="B109" s="32" t="str">
        <f>'A) Base RI'!B100</f>
        <v>Corcelles-près-Concise</v>
      </c>
      <c r="C109" s="31">
        <f>'D) Ecrêtage'!C98</f>
        <v>13599.529565217395</v>
      </c>
      <c r="D109" s="14">
        <f>'A) Base RI'!AO100</f>
        <v>419</v>
      </c>
      <c r="E109" s="10">
        <f t="shared" si="3"/>
        <v>260621.97647361821</v>
      </c>
      <c r="F109" s="14">
        <f>'F) Population'!K101</f>
        <v>51953.470824949691</v>
      </c>
      <c r="G109" s="10">
        <f>'G) Solidarité'!I98</f>
        <v>125752.38173558644</v>
      </c>
      <c r="H109" s="14">
        <f t="shared" si="4"/>
        <v>177705.85256053612</v>
      </c>
      <c r="I109" s="55">
        <f t="shared" si="5"/>
        <v>82916.12391308209</v>
      </c>
    </row>
    <row r="110" spans="1:9" x14ac:dyDescent="0.25">
      <c r="A110" s="49">
        <f>'A) Base RI'!A101</f>
        <v>5556</v>
      </c>
      <c r="B110" s="32" t="str">
        <f>'A) Base RI'!B101</f>
        <v>Fiez</v>
      </c>
      <c r="C110" s="31">
        <f>'D) Ecrêtage'!C99</f>
        <v>13816.427753623188</v>
      </c>
      <c r="D110" s="14">
        <f>'A) Base RI'!AO101</f>
        <v>451</v>
      </c>
      <c r="E110" s="10">
        <f t="shared" si="3"/>
        <v>264778.62279618246</v>
      </c>
      <c r="F110" s="14">
        <f>'F) Population'!K102</f>
        <v>55921.277665995964</v>
      </c>
      <c r="G110" s="10">
        <f>'G) Solidarité'!I99</f>
        <v>151052.52131480991</v>
      </c>
      <c r="H110" s="14">
        <f t="shared" si="4"/>
        <v>206973.79898080588</v>
      </c>
      <c r="I110" s="55">
        <f t="shared" si="5"/>
        <v>57804.823815376585</v>
      </c>
    </row>
    <row r="111" spans="1:9" x14ac:dyDescent="0.25">
      <c r="A111" s="49">
        <f>'A) Base RI'!A102</f>
        <v>5557</v>
      </c>
      <c r="B111" s="32" t="str">
        <f>'A) Base RI'!B102</f>
        <v>Fontaines-sur-Grandson</v>
      </c>
      <c r="C111" s="31">
        <f>'D) Ecrêtage'!C100</f>
        <v>5880.3275362318818</v>
      </c>
      <c r="D111" s="14">
        <f>'A) Base RI'!AO102</f>
        <v>219</v>
      </c>
      <c r="E111" s="10">
        <f t="shared" si="3"/>
        <v>112690.85283101823</v>
      </c>
      <c r="F111" s="14">
        <f>'F) Population'!K103</f>
        <v>27154.67806841046</v>
      </c>
      <c r="G111" s="10">
        <f>'G) Solidarité'!I100</f>
        <v>89179.62845660976</v>
      </c>
      <c r="H111" s="14">
        <f t="shared" si="4"/>
        <v>116334.30652502022</v>
      </c>
      <c r="I111" s="55">
        <f t="shared" si="5"/>
        <v>-3643.4536940019898</v>
      </c>
    </row>
    <row r="112" spans="1:9" x14ac:dyDescent="0.25">
      <c r="A112" s="49">
        <f>'A) Base RI'!A103</f>
        <v>5559</v>
      </c>
      <c r="B112" s="32" t="str">
        <f>'A) Base RI'!B103</f>
        <v>Giez</v>
      </c>
      <c r="C112" s="31">
        <f>'D) Ecrêtage'!C101</f>
        <v>16897.618636363641</v>
      </c>
      <c r="D112" s="14">
        <f>'A) Base RI'!AO103</f>
        <v>414</v>
      </c>
      <c r="E112" s="10">
        <f t="shared" si="3"/>
        <v>323826.69897421106</v>
      </c>
      <c r="F112" s="14">
        <f>'F) Population'!K104</f>
        <v>51333.501006036211</v>
      </c>
      <c r="G112" s="10">
        <f>'G) Solidarité'!I101</f>
        <v>53207.00274260476</v>
      </c>
      <c r="H112" s="14">
        <f t="shared" si="4"/>
        <v>104540.50374864097</v>
      </c>
      <c r="I112" s="55">
        <f t="shared" si="5"/>
        <v>219286.19522557009</v>
      </c>
    </row>
    <row r="113" spans="1:9" x14ac:dyDescent="0.25">
      <c r="A113" s="49">
        <f>'A) Base RI'!A104</f>
        <v>5560</v>
      </c>
      <c r="B113" s="32" t="str">
        <f>'A) Base RI'!B104</f>
        <v>Grandevent</v>
      </c>
      <c r="C113" s="31">
        <f>'D) Ecrêtage'!C102</f>
        <v>6167.8957352941179</v>
      </c>
      <c r="D113" s="14">
        <f>'A) Base RI'!AO104</f>
        <v>226</v>
      </c>
      <c r="E113" s="10">
        <f t="shared" si="3"/>
        <v>118201.82231353949</v>
      </c>
      <c r="F113" s="14">
        <f>'F) Population'!K105</f>
        <v>28022.635814889331</v>
      </c>
      <c r="G113" s="10">
        <f>'G) Solidarité'!I102</f>
        <v>87533.927683721253</v>
      </c>
      <c r="H113" s="14">
        <f t="shared" si="4"/>
        <v>115556.56349861059</v>
      </c>
      <c r="I113" s="55">
        <f t="shared" si="5"/>
        <v>2645.2588149289077</v>
      </c>
    </row>
    <row r="114" spans="1:9" x14ac:dyDescent="0.25">
      <c r="A114" s="49">
        <f>'A) Base RI'!A105</f>
        <v>5561</v>
      </c>
      <c r="B114" s="32" t="str">
        <f>'A) Base RI'!B105</f>
        <v>Grandson</v>
      </c>
      <c r="C114" s="31">
        <f>'D) Ecrêtage'!C103</f>
        <v>114753.11985507245</v>
      </c>
      <c r="D114" s="14">
        <f>'A) Base RI'!AO105</f>
        <v>3356</v>
      </c>
      <c r="E114" s="10">
        <f t="shared" si="3"/>
        <v>2199133.7832475165</v>
      </c>
      <c r="F114" s="14">
        <f>'F) Population'!K106</f>
        <v>994927.56539235404</v>
      </c>
      <c r="G114" s="10">
        <f>'G) Solidarité'!I103</f>
        <v>895914.94753343856</v>
      </c>
      <c r="H114" s="14">
        <f t="shared" si="4"/>
        <v>1890842.5129257925</v>
      </c>
      <c r="I114" s="55">
        <f t="shared" si="5"/>
        <v>308291.27032172401</v>
      </c>
    </row>
    <row r="115" spans="1:9" x14ac:dyDescent="0.25">
      <c r="A115" s="49">
        <f>'A) Base RI'!A106</f>
        <v>5562</v>
      </c>
      <c r="B115" s="32" t="str">
        <f>'A) Base RI'!B106</f>
        <v>Mauborget</v>
      </c>
      <c r="C115" s="31">
        <f>'D) Ecrêtage'!C104</f>
        <v>6037.1574285714287</v>
      </c>
      <c r="D115" s="14">
        <f>'A) Base RI'!AO106</f>
        <v>128</v>
      </c>
      <c r="E115" s="10">
        <f t="shared" si="3"/>
        <v>115696.34771344537</v>
      </c>
      <c r="F115" s="14">
        <f>'F) Population'!K107</f>
        <v>15871.227364185108</v>
      </c>
      <c r="G115" s="10">
        <f>'G) Solidarité'!I104</f>
        <v>2526.5738368807156</v>
      </c>
      <c r="H115" s="14">
        <f t="shared" si="4"/>
        <v>18397.801201065824</v>
      </c>
      <c r="I115" s="55">
        <f t="shared" si="5"/>
        <v>97298.546512379544</v>
      </c>
    </row>
    <row r="116" spans="1:9" x14ac:dyDescent="0.25">
      <c r="A116" s="49">
        <f>'A) Base RI'!A107</f>
        <v>5563</v>
      </c>
      <c r="B116" s="32" t="str">
        <f>'A) Base RI'!B107</f>
        <v>Mutrux</v>
      </c>
      <c r="C116" s="31">
        <f>'D) Ecrêtage'!C105</f>
        <v>4073.5824999999995</v>
      </c>
      <c r="D116" s="14">
        <f>'A) Base RI'!AO107</f>
        <v>149</v>
      </c>
      <c r="E116" s="10">
        <f t="shared" si="3"/>
        <v>78066.312322574187</v>
      </c>
      <c r="F116" s="14">
        <f>'F) Population'!K108</f>
        <v>18475.100603621726</v>
      </c>
      <c r="G116" s="10">
        <f>'G) Solidarité'!I105</f>
        <v>79692.733490557468</v>
      </c>
      <c r="H116" s="14">
        <f t="shared" si="4"/>
        <v>98167.834094179198</v>
      </c>
      <c r="I116" s="55">
        <f t="shared" si="5"/>
        <v>-20101.52177160501</v>
      </c>
    </row>
    <row r="117" spans="1:9" x14ac:dyDescent="0.25">
      <c r="A117" s="49">
        <f>'A) Base RI'!A108</f>
        <v>5564</v>
      </c>
      <c r="B117" s="32" t="str">
        <f>'A) Base RI'!B108</f>
        <v>Novalles</v>
      </c>
      <c r="C117" s="31">
        <f>'D) Ecrêtage'!C106</f>
        <v>2091.5044407894734</v>
      </c>
      <c r="D117" s="14">
        <f>'A) Base RI'!AO108</f>
        <v>99</v>
      </c>
      <c r="E117" s="10">
        <f t="shared" si="3"/>
        <v>40081.68213083248</v>
      </c>
      <c r="F117" s="14">
        <f>'F) Population'!K109</f>
        <v>12275.40241448692</v>
      </c>
      <c r="G117" s="10">
        <f>'G) Solidarité'!I106</f>
        <v>62041.720465398044</v>
      </c>
      <c r="H117" s="14">
        <f t="shared" si="4"/>
        <v>74317.122879884962</v>
      </c>
      <c r="I117" s="55">
        <f t="shared" si="5"/>
        <v>-34235.440749052483</v>
      </c>
    </row>
    <row r="118" spans="1:9" x14ac:dyDescent="0.25">
      <c r="A118" s="49">
        <f>'A) Base RI'!A109</f>
        <v>5565</v>
      </c>
      <c r="B118" s="32" t="str">
        <f>'A) Base RI'!B109</f>
        <v>Onnens</v>
      </c>
      <c r="C118" s="31">
        <f>'D) Ecrêtage'!C107</f>
        <v>19690.582047244097</v>
      </c>
      <c r="D118" s="14">
        <f>'A) Base RI'!AO109</f>
        <v>505</v>
      </c>
      <c r="E118" s="10">
        <f t="shared" si="3"/>
        <v>377351.17133712897</v>
      </c>
      <c r="F118" s="14">
        <f>'F) Population'!K110</f>
        <v>62616.951710261557</v>
      </c>
      <c r="G118" s="10">
        <f>'G) Solidarité'!I107</f>
        <v>74982.091173807916</v>
      </c>
      <c r="H118" s="14">
        <f t="shared" si="4"/>
        <v>137599.04288406947</v>
      </c>
      <c r="I118" s="55">
        <f t="shared" si="5"/>
        <v>239752.1284530595</v>
      </c>
    </row>
    <row r="119" spans="1:9" x14ac:dyDescent="0.25">
      <c r="A119" s="49">
        <f>'A) Base RI'!A110</f>
        <v>5566</v>
      </c>
      <c r="B119" s="32" t="str">
        <f>'A) Base RI'!B110</f>
        <v>Provence</v>
      </c>
      <c r="C119" s="31">
        <f>'D) Ecrêtage'!C108</f>
        <v>7598.735102880657</v>
      </c>
      <c r="D119" s="14">
        <f>'A) Base RI'!AO110</f>
        <v>392</v>
      </c>
      <c r="E119" s="10">
        <f t="shared" si="3"/>
        <v>145622.49022770236</v>
      </c>
      <c r="F119" s="14">
        <f>'F) Population'!K111</f>
        <v>48605.63380281689</v>
      </c>
      <c r="G119" s="10">
        <f>'G) Solidarité'!I108</f>
        <v>297019.89984107675</v>
      </c>
      <c r="H119" s="14">
        <f t="shared" si="4"/>
        <v>345625.53364389366</v>
      </c>
      <c r="I119" s="55">
        <f t="shared" si="5"/>
        <v>-200003.0434161913</v>
      </c>
    </row>
    <row r="120" spans="1:9" x14ac:dyDescent="0.25">
      <c r="A120" s="49">
        <f>'A) Base RI'!A111</f>
        <v>5568</v>
      </c>
      <c r="B120" s="32" t="str">
        <f>'A) Base RI'!B111</f>
        <v>Sainte-Croix</v>
      </c>
      <c r="C120" s="31">
        <f>'D) Ecrêtage'!C109</f>
        <v>106515.47628571428</v>
      </c>
      <c r="D120" s="14">
        <f>'A) Base RI'!AO111</f>
        <v>4917</v>
      </c>
      <c r="E120" s="10">
        <f t="shared" si="3"/>
        <v>2041267.2233613327</v>
      </c>
      <c r="F120" s="14">
        <f>'F) Population'!K112</f>
        <v>1769145.8752515088</v>
      </c>
      <c r="G120" s="10">
        <f>'G) Solidarité'!I109</f>
        <v>2562224.0356784151</v>
      </c>
      <c r="H120" s="14">
        <f t="shared" si="4"/>
        <v>4331369.9109299239</v>
      </c>
      <c r="I120" s="55">
        <f t="shared" si="5"/>
        <v>-2290102.687568591</v>
      </c>
    </row>
    <row r="121" spans="1:9" x14ac:dyDescent="0.25">
      <c r="A121" s="49">
        <f>'A) Base RI'!A112</f>
        <v>5571</v>
      </c>
      <c r="B121" s="32" t="str">
        <f>'A) Base RI'!B112</f>
        <v>Tévenon</v>
      </c>
      <c r="C121" s="31">
        <f>'D) Ecrêtage'!C110</f>
        <v>21380.087226107229</v>
      </c>
      <c r="D121" s="14">
        <f>'A) Base RI'!AO112</f>
        <v>894</v>
      </c>
      <c r="E121" s="10">
        <f t="shared" si="3"/>
        <v>409728.92211638426</v>
      </c>
      <c r="F121" s="14">
        <f>'F) Population'!K113</f>
        <v>110850.60362173036</v>
      </c>
      <c r="G121" s="10">
        <f>'G) Solidarité'!I110</f>
        <v>444737.35082685284</v>
      </c>
      <c r="H121" s="14">
        <f t="shared" si="4"/>
        <v>555587.95444858319</v>
      </c>
      <c r="I121" s="55">
        <f t="shared" si="5"/>
        <v>-145859.03233219893</v>
      </c>
    </row>
    <row r="122" spans="1:9" x14ac:dyDescent="0.25">
      <c r="A122" s="49">
        <f>'A) Base RI'!A113</f>
        <v>5581</v>
      </c>
      <c r="B122" s="32" t="str">
        <f>'A) Base RI'!B113</f>
        <v>Belmont-sur-Lausanne</v>
      </c>
      <c r="C122" s="31">
        <f>'D) Ecrêtage'!C111</f>
        <v>212445.65069444443</v>
      </c>
      <c r="D122" s="14">
        <f>'A) Base RI'!AO113</f>
        <v>3756</v>
      </c>
      <c r="E122" s="10">
        <f t="shared" si="3"/>
        <v>4071317.6960783289</v>
      </c>
      <c r="F122" s="14">
        <f>'F) Population'!K114</f>
        <v>1193317.907444668</v>
      </c>
      <c r="G122" s="10">
        <f>'G) Solidarité'!I111</f>
        <v>0</v>
      </c>
      <c r="H122" s="14">
        <f t="shared" si="4"/>
        <v>1193317.907444668</v>
      </c>
      <c r="I122" s="55">
        <f t="shared" si="5"/>
        <v>2877999.7886336609</v>
      </c>
    </row>
    <row r="123" spans="1:9" x14ac:dyDescent="0.25">
      <c r="A123" s="49">
        <f>'A) Base RI'!A114</f>
        <v>5582</v>
      </c>
      <c r="B123" s="32" t="str">
        <f>'A) Base RI'!B114</f>
        <v>Cheseaux-sur-Lausanne</v>
      </c>
      <c r="C123" s="31">
        <f>'D) Ecrêtage'!C112</f>
        <v>163780.29383561644</v>
      </c>
      <c r="D123" s="14">
        <f>'A) Base RI'!AO114</f>
        <v>4367</v>
      </c>
      <c r="E123" s="10">
        <f t="shared" si="3"/>
        <v>3138692.679196802</v>
      </c>
      <c r="F123" s="14">
        <f>'F) Population'!K115</f>
        <v>1496359.1549295774</v>
      </c>
      <c r="G123" s="10">
        <f>'G) Solidarité'!I112</f>
        <v>995788.19288660865</v>
      </c>
      <c r="H123" s="14">
        <f t="shared" si="4"/>
        <v>2492147.347816186</v>
      </c>
      <c r="I123" s="55">
        <f t="shared" si="5"/>
        <v>646545.33138061594</v>
      </c>
    </row>
    <row r="124" spans="1:9" x14ac:dyDescent="0.25">
      <c r="A124" s="49">
        <f>'A) Base RI'!A115</f>
        <v>5583</v>
      </c>
      <c r="B124" s="32" t="str">
        <f>'A) Base RI'!B115</f>
        <v>Crissier</v>
      </c>
      <c r="C124" s="31">
        <f>'D) Ecrêtage'!C113</f>
        <v>368095.30976377946</v>
      </c>
      <c r="D124" s="14">
        <f>'A) Base RI'!AO115</f>
        <v>8700</v>
      </c>
      <c r="E124" s="10">
        <f t="shared" si="3"/>
        <v>7054194.5367484028</v>
      </c>
      <c r="F124" s="14">
        <f>'F) Population'!K116</f>
        <v>4012444.6680080481</v>
      </c>
      <c r="G124" s="10">
        <f>'G) Solidarité'!I113</f>
        <v>824701.23343119363</v>
      </c>
      <c r="H124" s="14">
        <f t="shared" si="4"/>
        <v>4837145.9014392421</v>
      </c>
      <c r="I124" s="55">
        <f t="shared" si="5"/>
        <v>2217048.6353091607</v>
      </c>
    </row>
    <row r="125" spans="1:9" x14ac:dyDescent="0.25">
      <c r="A125" s="49">
        <f>'A) Base RI'!A116</f>
        <v>5584</v>
      </c>
      <c r="B125" s="32" t="str">
        <f>'A) Base RI'!B116</f>
        <v>Epalinges</v>
      </c>
      <c r="C125" s="31">
        <f>'D) Ecrêtage'!C114</f>
        <v>482115.91751937981</v>
      </c>
      <c r="D125" s="14">
        <f>'A) Base RI'!AO116</f>
        <v>9755</v>
      </c>
      <c r="E125" s="10">
        <f t="shared" si="3"/>
        <v>9239290.4262408633</v>
      </c>
      <c r="F125" s="14">
        <f>'F) Population'!K117</f>
        <v>4827580.9859154923</v>
      </c>
      <c r="G125" s="10">
        <f>'G) Solidarité'!I114</f>
        <v>0</v>
      </c>
      <c r="H125" s="14">
        <f t="shared" si="4"/>
        <v>4827580.9859154923</v>
      </c>
      <c r="I125" s="55">
        <f t="shared" si="5"/>
        <v>4411709.440325371</v>
      </c>
    </row>
    <row r="126" spans="1:9" x14ac:dyDescent="0.25">
      <c r="A126" s="49">
        <f>'A) Base RI'!A117</f>
        <v>5585</v>
      </c>
      <c r="B126" s="32" t="str">
        <f>'A) Base RI'!B117</f>
        <v>Jouxtens-Mézery</v>
      </c>
      <c r="C126" s="31">
        <f>'D) Ecrêtage'!C115</f>
        <v>202487.97135593221</v>
      </c>
      <c r="D126" s="14">
        <f>'A) Base RI'!AO117</f>
        <v>1411</v>
      </c>
      <c r="E126" s="10">
        <f t="shared" si="3"/>
        <v>3880488.2958517866</v>
      </c>
      <c r="F126" s="14">
        <f>'F) Population'!K118</f>
        <v>266686.21730382292</v>
      </c>
      <c r="G126" s="10">
        <f>'G) Solidarité'!I115</f>
        <v>0</v>
      </c>
      <c r="H126" s="14">
        <f t="shared" si="4"/>
        <v>266686.21730382292</v>
      </c>
      <c r="I126" s="55">
        <f t="shared" si="5"/>
        <v>3613802.0785479639</v>
      </c>
    </row>
    <row r="127" spans="1:9" x14ac:dyDescent="0.25">
      <c r="A127" s="49">
        <f>'A) Base RI'!A118</f>
        <v>5586</v>
      </c>
      <c r="B127" s="32" t="str">
        <f>'A) Base RI'!B118</f>
        <v>Lausanne</v>
      </c>
      <c r="C127" s="31">
        <f>'D) Ecrêtage'!C116</f>
        <v>6272364.2800849257</v>
      </c>
      <c r="D127" s="14">
        <f>'A) Base RI'!AO118</f>
        <v>140430</v>
      </c>
      <c r="E127" s="10">
        <f t="shared" si="3"/>
        <v>120203862.05264482</v>
      </c>
      <c r="F127" s="14">
        <f>'F) Population'!K119</f>
        <v>140337856.13682091</v>
      </c>
      <c r="G127" s="10">
        <f>'G) Solidarité'!I116</f>
        <v>12165262.236431824</v>
      </c>
      <c r="H127" s="14">
        <f t="shared" si="4"/>
        <v>152503118.37325275</v>
      </c>
      <c r="I127" s="55">
        <f t="shared" si="5"/>
        <v>-32299256.32060793</v>
      </c>
    </row>
    <row r="128" spans="1:9" x14ac:dyDescent="0.25">
      <c r="A128" s="49">
        <f>'A) Base RI'!A119</f>
        <v>5587</v>
      </c>
      <c r="B128" s="32" t="str">
        <f>'A) Base RI'!B119</f>
        <v>Le Mont-sur-Lausanne</v>
      </c>
      <c r="C128" s="31">
        <f>'D) Ecrêtage'!C117</f>
        <v>442860.74013605446</v>
      </c>
      <c r="D128" s="14">
        <f>'A) Base RI'!AO119</f>
        <v>9136</v>
      </c>
      <c r="E128" s="10">
        <f t="shared" si="3"/>
        <v>8487002.4983825888</v>
      </c>
      <c r="F128" s="14">
        <f>'F) Population'!K120</f>
        <v>4305665.5935613681</v>
      </c>
      <c r="G128" s="10">
        <f>'G) Solidarité'!I117</f>
        <v>0</v>
      </c>
      <c r="H128" s="14">
        <f t="shared" si="4"/>
        <v>4305665.5935613681</v>
      </c>
      <c r="I128" s="55">
        <f t="shared" si="5"/>
        <v>4181336.9048212208</v>
      </c>
    </row>
    <row r="129" spans="1:9" x14ac:dyDescent="0.25">
      <c r="A129" s="49">
        <f>'A) Base RI'!A120</f>
        <v>5588</v>
      </c>
      <c r="B129" s="32" t="str">
        <f>'A) Base RI'!B120</f>
        <v>Paudex</v>
      </c>
      <c r="C129" s="31">
        <f>'D) Ecrêtage'!C118</f>
        <v>135448.58760472611</v>
      </c>
      <c r="D129" s="14">
        <f>'A) Base RI'!AO120</f>
        <v>1538</v>
      </c>
      <c r="E129" s="10">
        <f t="shared" si="3"/>
        <v>2595742.6279207799</v>
      </c>
      <c r="F129" s="14">
        <f>'F) Population'!K121</f>
        <v>310778.47082494968</v>
      </c>
      <c r="G129" s="10">
        <f>'G) Solidarité'!I118</f>
        <v>0</v>
      </c>
      <c r="H129" s="14">
        <f t="shared" si="4"/>
        <v>310778.47082494968</v>
      </c>
      <c r="I129" s="55">
        <f t="shared" si="5"/>
        <v>2284964.15709583</v>
      </c>
    </row>
    <row r="130" spans="1:9" x14ac:dyDescent="0.25">
      <c r="A130" s="49">
        <f>'A) Base RI'!A121</f>
        <v>5589</v>
      </c>
      <c r="B130" s="32" t="str">
        <f>'A) Base RI'!B121</f>
        <v>Prilly</v>
      </c>
      <c r="C130" s="31">
        <f>'D) Ecrêtage'!C119</f>
        <v>455017.22467904515</v>
      </c>
      <c r="D130" s="14">
        <f>'A) Base RI'!AO121</f>
        <v>12383</v>
      </c>
      <c r="E130" s="10">
        <f t="shared" si="3"/>
        <v>8719969.8972452991</v>
      </c>
      <c r="F130" s="14">
        <f>'F) Population'!K122</f>
        <v>7100390.3420523126</v>
      </c>
      <c r="G130" s="10">
        <f>'G) Solidarité'!I119</f>
        <v>2983234.7007440315</v>
      </c>
      <c r="H130" s="14">
        <f t="shared" si="4"/>
        <v>10083625.042796344</v>
      </c>
      <c r="I130" s="55">
        <f t="shared" si="5"/>
        <v>-1363655.1455510445</v>
      </c>
    </row>
    <row r="131" spans="1:9" x14ac:dyDescent="0.25">
      <c r="A131" s="49">
        <f>'A) Base RI'!A122</f>
        <v>5590</v>
      </c>
      <c r="B131" s="32" t="str">
        <f>'A) Base RI'!B122</f>
        <v>Pully</v>
      </c>
      <c r="C131" s="31">
        <f>'D) Ecrêtage'!C120</f>
        <v>1478979.5848477751</v>
      </c>
      <c r="D131" s="14">
        <f>'A) Base RI'!AO122</f>
        <v>18688</v>
      </c>
      <c r="E131" s="10">
        <f t="shared" si="3"/>
        <v>28343229.132940728</v>
      </c>
      <c r="F131" s="14">
        <f>'F) Population'!K123</f>
        <v>13537561.77062374</v>
      </c>
      <c r="G131" s="10">
        <f>'G) Solidarité'!I120</f>
        <v>0</v>
      </c>
      <c r="H131" s="14">
        <f t="shared" si="4"/>
        <v>13537561.77062374</v>
      </c>
      <c r="I131" s="55">
        <f t="shared" si="5"/>
        <v>14805667.362316988</v>
      </c>
    </row>
    <row r="132" spans="1:9" x14ac:dyDescent="0.25">
      <c r="A132" s="49">
        <f>'A) Base RI'!A123</f>
        <v>5591</v>
      </c>
      <c r="B132" s="32" t="str">
        <f>'A) Base RI'!B123</f>
        <v>Renens</v>
      </c>
      <c r="C132" s="31">
        <f>'D) Ecrêtage'!C121</f>
        <v>596748.60283858993</v>
      </c>
      <c r="D132" s="14">
        <f>'A) Base RI'!AO123</f>
        <v>20863</v>
      </c>
      <c r="E132" s="10">
        <f t="shared" si="3"/>
        <v>11436116.1968015</v>
      </c>
      <c r="F132" s="14">
        <f>'F) Population'!K124</f>
        <v>15802931.488933599</v>
      </c>
      <c r="G132" s="10">
        <f>'G) Solidarité'!I121</f>
        <v>9710228.8755607828</v>
      </c>
      <c r="H132" s="14">
        <f t="shared" si="4"/>
        <v>25513160.364494383</v>
      </c>
      <c r="I132" s="55">
        <f t="shared" si="5"/>
        <v>-14077044.167692883</v>
      </c>
    </row>
    <row r="133" spans="1:9" x14ac:dyDescent="0.25">
      <c r="A133" s="49">
        <f>'A) Base RI'!A124</f>
        <v>5592</v>
      </c>
      <c r="B133" s="32" t="str">
        <f>'A) Base RI'!B124</f>
        <v>Romanel-sur-Lausanne</v>
      </c>
      <c r="C133" s="31">
        <f>'D) Ecrêtage'!C122</f>
        <v>121292.24695035459</v>
      </c>
      <c r="D133" s="14">
        <f>'A) Base RI'!AO124</f>
        <v>3247</v>
      </c>
      <c r="E133" s="10">
        <f t="shared" si="3"/>
        <v>2324449.8995007905</v>
      </c>
      <c r="F133" s="14">
        <f>'F) Population'!K125</f>
        <v>940866.19718309853</v>
      </c>
      <c r="G133" s="10">
        <f>'G) Solidarité'!I122</f>
        <v>700196.56858774321</v>
      </c>
      <c r="H133" s="14">
        <f t="shared" si="4"/>
        <v>1641062.7657708419</v>
      </c>
      <c r="I133" s="55">
        <f t="shared" si="5"/>
        <v>683387.13372994866</v>
      </c>
    </row>
    <row r="134" spans="1:9" x14ac:dyDescent="0.25">
      <c r="A134" s="49">
        <f>'A) Base RI'!A125</f>
        <v>5601</v>
      </c>
      <c r="B134" s="32" t="str">
        <f>'A) Base RI'!B125</f>
        <v>Chexbres</v>
      </c>
      <c r="C134" s="31">
        <f>'D) Ecrêtage'!C123</f>
        <v>98072.029481481484</v>
      </c>
      <c r="D134" s="14">
        <f>'A) Base RI'!AO125</f>
        <v>2251</v>
      </c>
      <c r="E134" s="10">
        <f t="shared" si="3"/>
        <v>1879456.6413249364</v>
      </c>
      <c r="F134" s="14">
        <f>'F) Population'!K126</f>
        <v>558320.02012072422</v>
      </c>
      <c r="G134" s="10">
        <f>'G) Solidarité'!I123</f>
        <v>189328.1227696281</v>
      </c>
      <c r="H134" s="14">
        <f t="shared" si="4"/>
        <v>747648.14289035229</v>
      </c>
      <c r="I134" s="55">
        <f t="shared" si="5"/>
        <v>1131808.4984345841</v>
      </c>
    </row>
    <row r="135" spans="1:9" x14ac:dyDescent="0.25">
      <c r="A135" s="49">
        <f>'A) Base RI'!A126</f>
        <v>5604</v>
      </c>
      <c r="B135" s="32" t="str">
        <f>'A) Base RI'!B126</f>
        <v>Forel (Lavaux)</v>
      </c>
      <c r="C135" s="31">
        <f>'D) Ecrêtage'!C124</f>
        <v>71309.914782608685</v>
      </c>
      <c r="D135" s="14">
        <f>'A) Base RI'!AO126</f>
        <v>2105</v>
      </c>
      <c r="E135" s="10">
        <f t="shared" si="3"/>
        <v>1366586.3104810766</v>
      </c>
      <c r="F135" s="14">
        <f>'F) Population'!K127</f>
        <v>507631.2877263581</v>
      </c>
      <c r="G135" s="10">
        <f>'G) Solidarité'!I124</f>
        <v>574694.13915663084</v>
      </c>
      <c r="H135" s="14">
        <f t="shared" si="4"/>
        <v>1082325.426882989</v>
      </c>
      <c r="I135" s="55">
        <f t="shared" si="5"/>
        <v>284260.88359808759</v>
      </c>
    </row>
    <row r="136" spans="1:9" x14ac:dyDescent="0.25">
      <c r="A136" s="49">
        <f>'A) Base RI'!A127</f>
        <v>5606</v>
      </c>
      <c r="B136" s="32" t="str">
        <f>'A) Base RI'!B127</f>
        <v>Lutry</v>
      </c>
      <c r="C136" s="31">
        <f>'D) Ecrêtage'!C125</f>
        <v>875230.37264550268</v>
      </c>
      <c r="D136" s="14">
        <f>'A) Base RI'!AO127</f>
        <v>10455</v>
      </c>
      <c r="E136" s="10">
        <f t="shared" si="3"/>
        <v>16772952.953609461</v>
      </c>
      <c r="F136" s="14">
        <f>'F) Population'!K128</f>
        <v>5417792.2535211258</v>
      </c>
      <c r="G136" s="10">
        <f>'G) Solidarité'!I125</f>
        <v>0</v>
      </c>
      <c r="H136" s="14">
        <f t="shared" si="4"/>
        <v>5417792.2535211258</v>
      </c>
      <c r="I136" s="55">
        <f t="shared" si="5"/>
        <v>11355160.700088335</v>
      </c>
    </row>
    <row r="137" spans="1:9" x14ac:dyDescent="0.25">
      <c r="A137" s="49">
        <f>'A) Base RI'!A128</f>
        <v>5607</v>
      </c>
      <c r="B137" s="32" t="str">
        <f>'A) Base RI'!B128</f>
        <v>Puidoux</v>
      </c>
      <c r="C137" s="31">
        <f>'D) Ecrêtage'!C126</f>
        <v>102944.97501110758</v>
      </c>
      <c r="D137" s="14">
        <f>'A) Base RI'!AO128</f>
        <v>2894</v>
      </c>
      <c r="E137" s="10">
        <f t="shared" si="3"/>
        <v>1972841.9815375581</v>
      </c>
      <c r="F137" s="14">
        <f>'F) Population'!K129</f>
        <v>781558.75251509051</v>
      </c>
      <c r="G137" s="10">
        <f>'G) Solidarité'!I126</f>
        <v>686324.51577562932</v>
      </c>
      <c r="H137" s="14">
        <f t="shared" si="4"/>
        <v>1467883.2682907199</v>
      </c>
      <c r="I137" s="55">
        <f t="shared" si="5"/>
        <v>504958.71324683819</v>
      </c>
    </row>
    <row r="138" spans="1:9" x14ac:dyDescent="0.25">
      <c r="A138" s="49">
        <f>'A) Base RI'!A129</f>
        <v>5609</v>
      </c>
      <c r="B138" s="32" t="str">
        <f>'A) Base RI'!B129</f>
        <v>Rivaz</v>
      </c>
      <c r="C138" s="31">
        <f>'D) Ecrêtage'!C127</f>
        <v>16048.850483870969</v>
      </c>
      <c r="D138" s="14">
        <f>'A) Base RI'!AO129</f>
        <v>337</v>
      </c>
      <c r="E138" s="10">
        <f t="shared" si="3"/>
        <v>307560.86915931298</v>
      </c>
      <c r="F138" s="14">
        <f>'F) Population'!K130</f>
        <v>41785.965794768606</v>
      </c>
      <c r="G138" s="10">
        <f>'G) Solidarité'!I127</f>
        <v>2841.1215286737593</v>
      </c>
      <c r="H138" s="14">
        <f t="shared" si="4"/>
        <v>44627.087323442363</v>
      </c>
      <c r="I138" s="55">
        <f t="shared" si="5"/>
        <v>262933.78183587058</v>
      </c>
    </row>
    <row r="139" spans="1:9" x14ac:dyDescent="0.25">
      <c r="A139" s="49">
        <f>'A) Base RI'!A130</f>
        <v>5610</v>
      </c>
      <c r="B139" s="32" t="str">
        <f>'A) Base RI'!B130</f>
        <v>St-Saphorin (Lavaux)</v>
      </c>
      <c r="C139" s="31">
        <f>'D) Ecrêtage'!C128</f>
        <v>19213.723703703701</v>
      </c>
      <c r="D139" s="14">
        <f>'A) Base RI'!AO130</f>
        <v>388</v>
      </c>
      <c r="E139" s="10">
        <f t="shared" si="3"/>
        <v>368212.6372874442</v>
      </c>
      <c r="F139" s="14">
        <f>'F) Population'!K131</f>
        <v>48109.657947686108</v>
      </c>
      <c r="G139" s="10">
        <f>'G) Solidarité'!I128</f>
        <v>0</v>
      </c>
      <c r="H139" s="14">
        <f t="shared" si="4"/>
        <v>48109.657947686108</v>
      </c>
      <c r="I139" s="55">
        <f t="shared" si="5"/>
        <v>320102.97933975811</v>
      </c>
    </row>
    <row r="140" spans="1:9" x14ac:dyDescent="0.25">
      <c r="A140" s="49">
        <f>'A) Base RI'!A131</f>
        <v>5611</v>
      </c>
      <c r="B140" s="32" t="str">
        <f>'A) Base RI'!B131</f>
        <v>Savigny</v>
      </c>
      <c r="C140" s="31">
        <f>'D) Ecrêtage'!C129</f>
        <v>136715.33886473431</v>
      </c>
      <c r="D140" s="14">
        <f>'A) Base RI'!AO131</f>
        <v>3348</v>
      </c>
      <c r="E140" s="10">
        <f t="shared" si="3"/>
        <v>2620018.7041997835</v>
      </c>
      <c r="F140" s="14">
        <f>'F) Population'!K132</f>
        <v>990959.75855130772</v>
      </c>
      <c r="G140" s="10">
        <f>'G) Solidarité'!I129</f>
        <v>469046.15056298423</v>
      </c>
      <c r="H140" s="14">
        <f t="shared" si="4"/>
        <v>1460005.9091142919</v>
      </c>
      <c r="I140" s="55">
        <f t="shared" si="5"/>
        <v>1160012.7950854916</v>
      </c>
    </row>
    <row r="141" spans="1:9" x14ac:dyDescent="0.25">
      <c r="A141" s="49">
        <f>'A) Base RI'!A132</f>
        <v>5613</v>
      </c>
      <c r="B141" s="32" t="str">
        <f>'A) Base RI'!B132</f>
        <v>Bourg-en-Lavaux</v>
      </c>
      <c r="C141" s="31">
        <f>'D) Ecrêtage'!C130</f>
        <v>343828.17631999997</v>
      </c>
      <c r="D141" s="14">
        <f>'A) Base RI'!AO132</f>
        <v>5389</v>
      </c>
      <c r="E141" s="10">
        <f t="shared" si="3"/>
        <v>6589138.1352650216</v>
      </c>
      <c r="F141" s="14">
        <f>'F) Population'!K133</f>
        <v>2041833.4004024144</v>
      </c>
      <c r="G141" s="10">
        <f>'G) Solidarité'!I130</f>
        <v>0</v>
      </c>
      <c r="H141" s="14">
        <f t="shared" si="4"/>
        <v>2041833.4004024144</v>
      </c>
      <c r="I141" s="55">
        <f t="shared" si="5"/>
        <v>4547304.734862607</v>
      </c>
    </row>
    <row r="142" spans="1:9" x14ac:dyDescent="0.25">
      <c r="A142" s="49">
        <f>'A) Base RI'!A133</f>
        <v>5621</v>
      </c>
      <c r="B142" s="32" t="str">
        <f>'A) Base RI'!B133</f>
        <v>Aclens</v>
      </c>
      <c r="C142" s="31">
        <f>'D) Ecrêtage'!C131</f>
        <v>32411.912521994131</v>
      </c>
      <c r="D142" s="14">
        <f>'A) Base RI'!AO133</f>
        <v>528</v>
      </c>
      <c r="E142" s="10">
        <f t="shared" si="3"/>
        <v>621143.30221959343</v>
      </c>
      <c r="F142" s="14">
        <f>'F) Population'!K134</f>
        <v>65468.812877263568</v>
      </c>
      <c r="G142" s="10">
        <f>'G) Solidarité'!I131</f>
        <v>0</v>
      </c>
      <c r="H142" s="14">
        <f t="shared" si="4"/>
        <v>65468.812877263568</v>
      </c>
      <c r="I142" s="55">
        <f t="shared" si="5"/>
        <v>555674.48934232991</v>
      </c>
    </row>
    <row r="143" spans="1:9" x14ac:dyDescent="0.25">
      <c r="A143" s="49">
        <f>'A) Base RI'!A134</f>
        <v>5622</v>
      </c>
      <c r="B143" s="32" t="str">
        <f>'A) Base RI'!B134</f>
        <v>Bremblens</v>
      </c>
      <c r="C143" s="31">
        <f>'D) Ecrêtage'!C132</f>
        <v>27803.201911764703</v>
      </c>
      <c r="D143" s="14">
        <f>'A) Base RI'!AO134</f>
        <v>583</v>
      </c>
      <c r="E143" s="10">
        <f t="shared" si="3"/>
        <v>532821.77150245884</v>
      </c>
      <c r="F143" s="14">
        <f>'F) Population'!K135</f>
        <v>72288.480885311859</v>
      </c>
      <c r="G143" s="10">
        <f>'G) Solidarité'!I132</f>
        <v>5185.777099716508</v>
      </c>
      <c r="H143" s="14">
        <f t="shared" si="4"/>
        <v>77474.257985028366</v>
      </c>
      <c r="I143" s="55">
        <f t="shared" si="5"/>
        <v>455347.51351743046</v>
      </c>
    </row>
    <row r="144" spans="1:9" x14ac:dyDescent="0.25">
      <c r="A144" s="49">
        <f>'A) Base RI'!A135</f>
        <v>5623</v>
      </c>
      <c r="B144" s="32" t="str">
        <f>'A) Base RI'!B135</f>
        <v>Buchillon</v>
      </c>
      <c r="C144" s="31">
        <f>'D) Ecrêtage'!C133</f>
        <v>94394.012307692305</v>
      </c>
      <c r="D144" s="14">
        <f>'A) Base RI'!AO135</f>
        <v>686</v>
      </c>
      <c r="E144" s="10">
        <f t="shared" si="3"/>
        <v>1808970.9601298659</v>
      </c>
      <c r="F144" s="14">
        <f>'F) Population'!K136</f>
        <v>85059.859154929567</v>
      </c>
      <c r="G144" s="10">
        <f>'G) Solidarité'!I133</f>
        <v>0</v>
      </c>
      <c r="H144" s="14">
        <f t="shared" si="4"/>
        <v>85059.859154929567</v>
      </c>
      <c r="I144" s="55">
        <f t="shared" si="5"/>
        <v>1723911.1009749363</v>
      </c>
    </row>
    <row r="145" spans="1:9" x14ac:dyDescent="0.25">
      <c r="A145" s="49">
        <f>'A) Base RI'!A136</f>
        <v>5624</v>
      </c>
      <c r="B145" s="32" t="str">
        <f>'A) Base RI'!B136</f>
        <v>Bussigny</v>
      </c>
      <c r="C145" s="31">
        <f>'D) Ecrêtage'!C134</f>
        <v>351876.09247999993</v>
      </c>
      <c r="D145" s="14">
        <f>'A) Base RI'!AO136</f>
        <v>9614</v>
      </c>
      <c r="E145" s="10">
        <f t="shared" ref="E145:E208" si="6">C145*E$15</f>
        <v>6743368.75082085</v>
      </c>
      <c r="F145" s="14">
        <f>'F) Population'!K137</f>
        <v>4708695.573440643</v>
      </c>
      <c r="G145" s="10">
        <f>'G) Solidarité'!I134</f>
        <v>1743109.5014623646</v>
      </c>
      <c r="H145" s="14">
        <f t="shared" ref="H145:H208" si="7">F145+G145</f>
        <v>6451805.0749030076</v>
      </c>
      <c r="I145" s="55">
        <f t="shared" ref="I145:I208" si="8">E145-H145</f>
        <v>291563.67591784243</v>
      </c>
    </row>
    <row r="146" spans="1:9" x14ac:dyDescent="0.25">
      <c r="A146" s="49">
        <f>'A) Base RI'!A137</f>
        <v>5625</v>
      </c>
      <c r="B146" s="32" t="str">
        <f>'A) Base RI'!B137</f>
        <v>Bussy-Chardonney</v>
      </c>
      <c r="C146" s="31">
        <f>'D) Ecrêtage'!C135</f>
        <v>17740.486103896103</v>
      </c>
      <c r="D146" s="14">
        <f>'A) Base RI'!AO137</f>
        <v>404</v>
      </c>
      <c r="E146" s="10">
        <f t="shared" si="6"/>
        <v>339979.44780571904</v>
      </c>
      <c r="F146" s="14">
        <f>'F) Population'!K138</f>
        <v>50093.561368209244</v>
      </c>
      <c r="G146" s="10">
        <f>'G) Solidarité'!I135</f>
        <v>40912.756849922545</v>
      </c>
      <c r="H146" s="14">
        <f t="shared" si="7"/>
        <v>91006.318218131782</v>
      </c>
      <c r="I146" s="55">
        <f t="shared" si="8"/>
        <v>248973.12958758726</v>
      </c>
    </row>
    <row r="147" spans="1:9" x14ac:dyDescent="0.25">
      <c r="A147" s="49">
        <f>'A) Base RI'!A138</f>
        <v>5627</v>
      </c>
      <c r="B147" s="32" t="str">
        <f>'A) Base RI'!B138</f>
        <v>Chavannes-près-Renens</v>
      </c>
      <c r="C147" s="31">
        <f>'D) Ecrêtage'!C136</f>
        <v>161901.70176344088</v>
      </c>
      <c r="D147" s="14">
        <f>'A) Base RI'!AO138</f>
        <v>8487</v>
      </c>
      <c r="E147" s="10">
        <f t="shared" si="6"/>
        <v>3102691.2589645693</v>
      </c>
      <c r="F147" s="14">
        <f>'F) Population'!K139</f>
        <v>3885673.2394366194</v>
      </c>
      <c r="G147" s="10">
        <f>'G) Solidarité'!I136</f>
        <v>5949914.8099107323</v>
      </c>
      <c r="H147" s="14">
        <f t="shared" si="7"/>
        <v>9835588.0493473522</v>
      </c>
      <c r="I147" s="55">
        <f t="shared" si="8"/>
        <v>-6732896.7903827829</v>
      </c>
    </row>
    <row r="148" spans="1:9" x14ac:dyDescent="0.25">
      <c r="A148" s="49">
        <f>'A) Base RI'!A139</f>
        <v>5628</v>
      </c>
      <c r="B148" s="32" t="str">
        <f>'A) Base RI'!B139</f>
        <v>Chigny</v>
      </c>
      <c r="C148" s="31">
        <f>'D) Ecrêtage'!C137</f>
        <v>24624.530161290324</v>
      </c>
      <c r="D148" s="14">
        <f>'A) Base RI'!AO139</f>
        <v>396</v>
      </c>
      <c r="E148" s="10">
        <f t="shared" si="6"/>
        <v>471905.56773256435</v>
      </c>
      <c r="F148" s="14">
        <f>'F) Population'!K140</f>
        <v>49101.60965794768</v>
      </c>
      <c r="G148" s="10">
        <f>'G) Solidarité'!I137</f>
        <v>0</v>
      </c>
      <c r="H148" s="14">
        <f t="shared" si="7"/>
        <v>49101.60965794768</v>
      </c>
      <c r="I148" s="55">
        <f t="shared" si="8"/>
        <v>422803.95807461668</v>
      </c>
    </row>
    <row r="149" spans="1:9" x14ac:dyDescent="0.25">
      <c r="A149" s="49">
        <f>'A) Base RI'!A140</f>
        <v>5629</v>
      </c>
      <c r="B149" s="32" t="str">
        <f>'A) Base RI'!B140</f>
        <v>Clarmont</v>
      </c>
      <c r="C149" s="31">
        <f>'D) Ecrêtage'!C138</f>
        <v>8521.2598639455773</v>
      </c>
      <c r="D149" s="14">
        <f>'A) Base RI'!AO140</f>
        <v>201</v>
      </c>
      <c r="E149" s="10">
        <f t="shared" si="6"/>
        <v>163301.79489935248</v>
      </c>
      <c r="F149" s="14">
        <f>'F) Population'!K141</f>
        <v>24922.786720321928</v>
      </c>
      <c r="G149" s="10">
        <f>'G) Solidarité'!I138</f>
        <v>25158.83382686197</v>
      </c>
      <c r="H149" s="14">
        <f t="shared" si="7"/>
        <v>50081.620547183898</v>
      </c>
      <c r="I149" s="55">
        <f t="shared" si="8"/>
        <v>113220.17435216857</v>
      </c>
    </row>
    <row r="150" spans="1:9" x14ac:dyDescent="0.25">
      <c r="A150" s="49">
        <f>'A) Base RI'!A141</f>
        <v>5631</v>
      </c>
      <c r="B150" s="32" t="str">
        <f>'A) Base RI'!B141</f>
        <v>Denens</v>
      </c>
      <c r="C150" s="31">
        <f>'D) Ecrêtage'!C139</f>
        <v>43455.14235294117</v>
      </c>
      <c r="D150" s="14">
        <f>'A) Base RI'!AO141</f>
        <v>742</v>
      </c>
      <c r="E150" s="10">
        <f t="shared" si="6"/>
        <v>832776.23932904925</v>
      </c>
      <c r="F150" s="14">
        <f>'F) Population'!K142</f>
        <v>92003.521126760548</v>
      </c>
      <c r="G150" s="10">
        <f>'G) Solidarité'!I139</f>
        <v>0</v>
      </c>
      <c r="H150" s="14">
        <f t="shared" si="7"/>
        <v>92003.521126760548</v>
      </c>
      <c r="I150" s="55">
        <f t="shared" si="8"/>
        <v>740772.71820228873</v>
      </c>
    </row>
    <row r="151" spans="1:9" x14ac:dyDescent="0.25">
      <c r="A151" s="49">
        <f>'A) Base RI'!A142</f>
        <v>5632</v>
      </c>
      <c r="B151" s="32" t="str">
        <f>'A) Base RI'!B142</f>
        <v>Denges</v>
      </c>
      <c r="C151" s="31">
        <f>'D) Ecrêtage'!C140</f>
        <v>76479.966774193541</v>
      </c>
      <c r="D151" s="14">
        <f>'A) Base RI'!AO142</f>
        <v>1730</v>
      </c>
      <c r="E151" s="10">
        <f t="shared" si="6"/>
        <v>1465665.4118614979</v>
      </c>
      <c r="F151" s="14">
        <f>'F) Population'!K143</f>
        <v>377437.62575452711</v>
      </c>
      <c r="G151" s="10">
        <f>'G) Solidarité'!I140</f>
        <v>105689.26683024599</v>
      </c>
      <c r="H151" s="14">
        <f t="shared" si="7"/>
        <v>483126.89258477313</v>
      </c>
      <c r="I151" s="55">
        <f t="shared" si="8"/>
        <v>982538.51927672478</v>
      </c>
    </row>
    <row r="152" spans="1:9" x14ac:dyDescent="0.25">
      <c r="A152" s="49">
        <f>'A) Base RI'!A143</f>
        <v>5633</v>
      </c>
      <c r="B152" s="32" t="str">
        <f>'A) Base RI'!B143</f>
        <v>Echandens</v>
      </c>
      <c r="C152" s="31">
        <f>'D) Ecrêtage'!C141</f>
        <v>148489.97685950415</v>
      </c>
      <c r="D152" s="14">
        <f>'A) Base RI'!AO143</f>
        <v>2743</v>
      </c>
      <c r="E152" s="10">
        <f t="shared" si="6"/>
        <v>2845668.3791934657</v>
      </c>
      <c r="F152" s="14">
        <f>'F) Population'!K144</f>
        <v>729134.10462776653</v>
      </c>
      <c r="G152" s="10">
        <f>'G) Solidarité'!I141</f>
        <v>0</v>
      </c>
      <c r="H152" s="14">
        <f t="shared" si="7"/>
        <v>729134.10462776653</v>
      </c>
      <c r="I152" s="55">
        <f t="shared" si="8"/>
        <v>2116534.274565699</v>
      </c>
    </row>
    <row r="153" spans="1:9" x14ac:dyDescent="0.25">
      <c r="A153" s="49">
        <f>'A) Base RI'!A144</f>
        <v>5634</v>
      </c>
      <c r="B153" s="32" t="str">
        <f>'A) Base RI'!B144</f>
        <v>Echichens</v>
      </c>
      <c r="C153" s="31">
        <f>'D) Ecrêtage'!C142</f>
        <v>164177.5981818182</v>
      </c>
      <c r="D153" s="14">
        <f>'A) Base RI'!AO144</f>
        <v>3127</v>
      </c>
      <c r="E153" s="10">
        <f t="shared" si="6"/>
        <v>3146306.6369790984</v>
      </c>
      <c r="F153" s="14">
        <f>'F) Population'!K145</f>
        <v>881349.09456740436</v>
      </c>
      <c r="G153" s="10">
        <f>'G) Solidarité'!I142</f>
        <v>0</v>
      </c>
      <c r="H153" s="14">
        <f t="shared" si="7"/>
        <v>881349.09456740436</v>
      </c>
      <c r="I153" s="55">
        <f t="shared" si="8"/>
        <v>2264957.5424116943</v>
      </c>
    </row>
    <row r="154" spans="1:9" x14ac:dyDescent="0.25">
      <c r="A154" s="49">
        <f>'A) Base RI'!A145</f>
        <v>5635</v>
      </c>
      <c r="B154" s="32" t="str">
        <f>'A) Base RI'!B145</f>
        <v>Ecublens</v>
      </c>
      <c r="C154" s="31">
        <f>'D) Ecrêtage'!C143</f>
        <v>681739.39309333346</v>
      </c>
      <c r="D154" s="14">
        <f>'A) Base RI'!AO145</f>
        <v>13164</v>
      </c>
      <c r="E154" s="10">
        <f t="shared" si="6"/>
        <v>13064883.40025674</v>
      </c>
      <c r="F154" s="14">
        <f>'F) Population'!K146</f>
        <v>7875104.627766598</v>
      </c>
      <c r="G154" s="10">
        <f>'G) Solidarité'!I143</f>
        <v>0</v>
      </c>
      <c r="H154" s="14">
        <f t="shared" si="7"/>
        <v>7875104.627766598</v>
      </c>
      <c r="I154" s="55">
        <f t="shared" si="8"/>
        <v>5189778.7724901419</v>
      </c>
    </row>
    <row r="155" spans="1:9" x14ac:dyDescent="0.25">
      <c r="A155" s="49">
        <f>'A) Base RI'!A146</f>
        <v>5636</v>
      </c>
      <c r="B155" s="32" t="str">
        <f>'A) Base RI'!B146</f>
        <v>Etoy</v>
      </c>
      <c r="C155" s="31">
        <f>'D) Ecrêtage'!C144</f>
        <v>170715.46099999998</v>
      </c>
      <c r="D155" s="14">
        <f>'A) Base RI'!AO146</f>
        <v>2909</v>
      </c>
      <c r="E155" s="10">
        <f t="shared" si="6"/>
        <v>3271598.5245709969</v>
      </c>
      <c r="F155" s="14">
        <f>'F) Population'!K147</f>
        <v>786766.4989939637</v>
      </c>
      <c r="G155" s="10">
        <f>'G) Solidarité'!I144</f>
        <v>0</v>
      </c>
      <c r="H155" s="14">
        <f t="shared" si="7"/>
        <v>786766.4989939637</v>
      </c>
      <c r="I155" s="55">
        <f t="shared" si="8"/>
        <v>2484832.0255770329</v>
      </c>
    </row>
    <row r="156" spans="1:9" x14ac:dyDescent="0.25">
      <c r="A156" s="49">
        <f>'A) Base RI'!A147</f>
        <v>5637</v>
      </c>
      <c r="B156" s="32" t="str">
        <f>'A) Base RI'!B147</f>
        <v>Lavigny</v>
      </c>
      <c r="C156" s="31">
        <f>'D) Ecrêtage'!C145</f>
        <v>41194.659315068493</v>
      </c>
      <c r="D156" s="14">
        <f>'A) Base RI'!AO147</f>
        <v>1008</v>
      </c>
      <c r="E156" s="10">
        <f t="shared" si="6"/>
        <v>789456.24400933995</v>
      </c>
      <c r="F156" s="14">
        <f>'F) Population'!K148</f>
        <v>126771.42857142855</v>
      </c>
      <c r="G156" s="10">
        <f>'G) Solidarité'!I145</f>
        <v>157359.24710238885</v>
      </c>
      <c r="H156" s="14">
        <f t="shared" si="7"/>
        <v>284130.6756738174</v>
      </c>
      <c r="I156" s="55">
        <f t="shared" si="8"/>
        <v>505325.56833552255</v>
      </c>
    </row>
    <row r="157" spans="1:9" x14ac:dyDescent="0.25">
      <c r="A157" s="49">
        <f>'A) Base RI'!A148</f>
        <v>5638</v>
      </c>
      <c r="B157" s="32" t="str">
        <f>'A) Base RI'!B148</f>
        <v>Lonay</v>
      </c>
      <c r="C157" s="31">
        <f>'D) Ecrêtage'!C146</f>
        <v>145490.01981818181</v>
      </c>
      <c r="D157" s="14">
        <f>'A) Base RI'!AO148</f>
        <v>2679</v>
      </c>
      <c r="E157" s="10">
        <f t="shared" si="6"/>
        <v>2788177.071887875</v>
      </c>
      <c r="F157" s="14">
        <f>'F) Population'!K149</f>
        <v>706914.38631790737</v>
      </c>
      <c r="G157" s="10">
        <f>'G) Solidarité'!I146</f>
        <v>0</v>
      </c>
      <c r="H157" s="14">
        <f t="shared" si="7"/>
        <v>706914.38631790737</v>
      </c>
      <c r="I157" s="55">
        <f t="shared" si="8"/>
        <v>2081262.6855699676</v>
      </c>
    </row>
    <row r="158" spans="1:9" x14ac:dyDescent="0.25">
      <c r="A158" s="49">
        <f>'A) Base RI'!A149</f>
        <v>5639</v>
      </c>
      <c r="B158" s="32" t="str">
        <f>'A) Base RI'!B149</f>
        <v>Lully</v>
      </c>
      <c r="C158" s="31">
        <f>'D) Ecrêtage'!C147</f>
        <v>45623.094262295082</v>
      </c>
      <c r="D158" s="14">
        <f>'A) Base RI'!AO149</f>
        <v>825</v>
      </c>
      <c r="E158" s="10">
        <f t="shared" si="6"/>
        <v>874322.96407463716</v>
      </c>
      <c r="F158" s="14">
        <f>'F) Population'!K150</f>
        <v>102295.02012072432</v>
      </c>
      <c r="G158" s="10">
        <f>'G) Solidarité'!I147</f>
        <v>0</v>
      </c>
      <c r="H158" s="14">
        <f t="shared" si="7"/>
        <v>102295.02012072432</v>
      </c>
      <c r="I158" s="55">
        <f t="shared" si="8"/>
        <v>772027.94395391282</v>
      </c>
    </row>
    <row r="159" spans="1:9" x14ac:dyDescent="0.25">
      <c r="A159" s="49">
        <f>'A) Base RI'!A150</f>
        <v>5640</v>
      </c>
      <c r="B159" s="32" t="str">
        <f>'A) Base RI'!B150</f>
        <v>Lussy-sur-Morges</v>
      </c>
      <c r="C159" s="31">
        <f>'D) Ecrêtage'!C148</f>
        <v>57031.532424242418</v>
      </c>
      <c r="D159" s="14">
        <f>'A) Base RI'!AO150</f>
        <v>722</v>
      </c>
      <c r="E159" s="10">
        <f t="shared" si="6"/>
        <v>1092954.7695341695</v>
      </c>
      <c r="F159" s="14">
        <f>'F) Population'!K151</f>
        <v>89523.641851106629</v>
      </c>
      <c r="G159" s="10">
        <f>'G) Solidarité'!I148</f>
        <v>0</v>
      </c>
      <c r="H159" s="14">
        <f t="shared" si="7"/>
        <v>89523.641851106629</v>
      </c>
      <c r="I159" s="55">
        <f t="shared" si="8"/>
        <v>1003431.1276830628</v>
      </c>
    </row>
    <row r="160" spans="1:9" x14ac:dyDescent="0.25">
      <c r="A160" s="49">
        <f>'A) Base RI'!A151</f>
        <v>5642</v>
      </c>
      <c r="B160" s="32" t="str">
        <f>'A) Base RI'!B151</f>
        <v>Morges</v>
      </c>
      <c r="C160" s="31">
        <f>'D) Ecrêtage'!C149</f>
        <v>787513.11402985093</v>
      </c>
      <c r="D160" s="14">
        <f>'A) Base RI'!AO151</f>
        <v>16095</v>
      </c>
      <c r="E160" s="10">
        <f t="shared" si="6"/>
        <v>15091935.591823002</v>
      </c>
      <c r="F160" s="14">
        <f>'F) Population'!K152</f>
        <v>10836824.446680078</v>
      </c>
      <c r="G160" s="10">
        <f>'G) Solidarité'!I149</f>
        <v>0</v>
      </c>
      <c r="H160" s="14">
        <f t="shared" si="7"/>
        <v>10836824.446680078</v>
      </c>
      <c r="I160" s="55">
        <f t="shared" si="8"/>
        <v>4255111.145142924</v>
      </c>
    </row>
    <row r="161" spans="1:9" x14ac:dyDescent="0.25">
      <c r="A161" s="49">
        <f>'A) Base RI'!A152</f>
        <v>5643</v>
      </c>
      <c r="B161" s="32" t="str">
        <f>'A) Base RI'!B152</f>
        <v>Préverenges</v>
      </c>
      <c r="C161" s="31">
        <f>'D) Ecrêtage'!C150</f>
        <v>262337.37167999998</v>
      </c>
      <c r="D161" s="14">
        <f>'A) Base RI'!AO152</f>
        <v>5241</v>
      </c>
      <c r="E161" s="10">
        <f t="shared" si="6"/>
        <v>5027444.8084589196</v>
      </c>
      <c r="F161" s="14">
        <f>'F) Population'!K153</f>
        <v>1953748.088531187</v>
      </c>
      <c r="G161" s="10">
        <f>'G) Solidarité'!I150</f>
        <v>0</v>
      </c>
      <c r="H161" s="14">
        <f t="shared" si="7"/>
        <v>1953748.088531187</v>
      </c>
      <c r="I161" s="55">
        <f t="shared" si="8"/>
        <v>3073696.7199277328</v>
      </c>
    </row>
    <row r="162" spans="1:9" x14ac:dyDescent="0.25">
      <c r="A162" s="49">
        <f>'A) Base RI'!A153</f>
        <v>5644</v>
      </c>
      <c r="B162" s="32" t="str">
        <f>'A) Base RI'!B153</f>
        <v>Reverolle</v>
      </c>
      <c r="C162" s="31">
        <f>'D) Ecrêtage'!C151</f>
        <v>16020.747027027028</v>
      </c>
      <c r="D162" s="14">
        <f>'A) Base RI'!AO153</f>
        <v>407</v>
      </c>
      <c r="E162" s="10">
        <f t="shared" si="6"/>
        <v>307022.29328922241</v>
      </c>
      <c r="F162" s="14">
        <f>'F) Population'!K154</f>
        <v>50465.543259557337</v>
      </c>
      <c r="G162" s="10">
        <f>'G) Solidarité'!I151</f>
        <v>78744.290871599791</v>
      </c>
      <c r="H162" s="14">
        <f t="shared" si="7"/>
        <v>129209.83413115713</v>
      </c>
      <c r="I162" s="55">
        <f t="shared" si="8"/>
        <v>177812.45915806526</v>
      </c>
    </row>
    <row r="163" spans="1:9" x14ac:dyDescent="0.25">
      <c r="A163" s="49">
        <f>'A) Base RI'!A154</f>
        <v>5645</v>
      </c>
      <c r="B163" s="32" t="str">
        <f>'A) Base RI'!B154</f>
        <v>Romanel-sur-Morges</v>
      </c>
      <c r="C163" s="31">
        <f>'D) Ecrêtage'!C152</f>
        <v>27365.134464285718</v>
      </c>
      <c r="D163" s="14">
        <f>'A) Base RI'!AO154</f>
        <v>466</v>
      </c>
      <c r="E163" s="10">
        <f t="shared" si="6"/>
        <v>524426.62787317252</v>
      </c>
      <c r="F163" s="14">
        <f>'F) Population'!K155</f>
        <v>57781.18712273641</v>
      </c>
      <c r="G163" s="10">
        <f>'G) Solidarité'!I152</f>
        <v>0</v>
      </c>
      <c r="H163" s="14">
        <f t="shared" si="7"/>
        <v>57781.18712273641</v>
      </c>
      <c r="I163" s="55">
        <f t="shared" si="8"/>
        <v>466645.4407504361</v>
      </c>
    </row>
    <row r="164" spans="1:9" x14ac:dyDescent="0.25">
      <c r="A164" s="49">
        <f>'A) Base RI'!A155</f>
        <v>5646</v>
      </c>
      <c r="B164" s="32" t="str">
        <f>'A) Base RI'!B155</f>
        <v>Saint-Prex</v>
      </c>
      <c r="C164" s="31">
        <f>'D) Ecrêtage'!C153</f>
        <v>541092.68090909091</v>
      </c>
      <c r="D164" s="14">
        <f>'A) Base RI'!AO155</f>
        <v>5865</v>
      </c>
      <c r="E164" s="10">
        <f t="shared" si="6"/>
        <v>10369523.686658628</v>
      </c>
      <c r="F164" s="14">
        <f>'F) Population'!K156</f>
        <v>2325134.8088531187</v>
      </c>
      <c r="G164" s="10">
        <f>'G) Solidarité'!I153</f>
        <v>0</v>
      </c>
      <c r="H164" s="14">
        <f t="shared" si="7"/>
        <v>2325134.8088531187</v>
      </c>
      <c r="I164" s="55">
        <f t="shared" si="8"/>
        <v>8044388.8778055096</v>
      </c>
    </row>
    <row r="165" spans="1:9" x14ac:dyDescent="0.25">
      <c r="A165" s="49">
        <f>'A) Base RI'!A156</f>
        <v>5648</v>
      </c>
      <c r="B165" s="32" t="str">
        <f>'A) Base RI'!B156</f>
        <v>Saint-Sulpice</v>
      </c>
      <c r="C165" s="31">
        <f>'D) Ecrêtage'!C154</f>
        <v>396480.48181818181</v>
      </c>
      <c r="D165" s="14">
        <f>'A) Base RI'!AO156</f>
        <v>4909</v>
      </c>
      <c r="E165" s="10">
        <f t="shared" si="6"/>
        <v>7598169.2093931763</v>
      </c>
      <c r="F165" s="14">
        <f>'F) Population'!K157</f>
        <v>1765178.0684104627</v>
      </c>
      <c r="G165" s="10">
        <f>'G) Solidarité'!I154</f>
        <v>0</v>
      </c>
      <c r="H165" s="14">
        <f t="shared" si="7"/>
        <v>1765178.0684104627</v>
      </c>
      <c r="I165" s="55">
        <f t="shared" si="8"/>
        <v>5832991.1409827136</v>
      </c>
    </row>
    <row r="166" spans="1:9" x14ac:dyDescent="0.25">
      <c r="A166" s="49">
        <f>'A) Base RI'!A157</f>
        <v>5649</v>
      </c>
      <c r="B166" s="32" t="str">
        <f>'A) Base RI'!B157</f>
        <v>Tolochenaz</v>
      </c>
      <c r="C166" s="31">
        <f>'D) Ecrêtage'!C155</f>
        <v>215548.34569230766</v>
      </c>
      <c r="D166" s="14">
        <f>'A) Base RI'!AO157</f>
        <v>1889</v>
      </c>
      <c r="E166" s="10">
        <f t="shared" si="6"/>
        <v>4130777.8780544838</v>
      </c>
      <c r="F166" s="14">
        <f>'F) Population'!K158</f>
        <v>432639.73843058344</v>
      </c>
      <c r="G166" s="10">
        <f>'G) Solidarité'!I155</f>
        <v>0</v>
      </c>
      <c r="H166" s="14">
        <f t="shared" si="7"/>
        <v>432639.73843058344</v>
      </c>
      <c r="I166" s="55">
        <f t="shared" si="8"/>
        <v>3698138.1396239004</v>
      </c>
    </row>
    <row r="167" spans="1:9" x14ac:dyDescent="0.25">
      <c r="A167" s="49">
        <f>'A) Base RI'!A158</f>
        <v>5650</v>
      </c>
      <c r="B167" s="32" t="str">
        <f>'A) Base RI'!B158</f>
        <v>Vaux-sur-Morges</v>
      </c>
      <c r="C167" s="31">
        <f>'D) Ecrêtage'!C156</f>
        <v>63002.429285714286</v>
      </c>
      <c r="D167" s="14">
        <f>'A) Base RI'!AO158</f>
        <v>194</v>
      </c>
      <c r="E167" s="10">
        <f t="shared" si="6"/>
        <v>1207381.2968558918</v>
      </c>
      <c r="F167" s="14">
        <f>'F) Population'!K159</f>
        <v>24054.828973843054</v>
      </c>
      <c r="G167" s="10">
        <f>'G) Solidarité'!I156</f>
        <v>0</v>
      </c>
      <c r="H167" s="14">
        <f t="shared" si="7"/>
        <v>24054.828973843054</v>
      </c>
      <c r="I167" s="55">
        <f t="shared" si="8"/>
        <v>1183326.4678820488</v>
      </c>
    </row>
    <row r="168" spans="1:9" x14ac:dyDescent="0.25">
      <c r="A168" s="49">
        <f>'A) Base RI'!A159</f>
        <v>5651</v>
      </c>
      <c r="B168" s="32" t="str">
        <f>'A) Base RI'!B159</f>
        <v>Villars-Sainte-Croix</v>
      </c>
      <c r="C168" s="31">
        <f>'D) Ecrêtage'!C157</f>
        <v>56095.490247933893</v>
      </c>
      <c r="D168" s="14">
        <f>'A) Base RI'!AO159</f>
        <v>958</v>
      </c>
      <c r="E168" s="10">
        <f t="shared" si="6"/>
        <v>1075016.4165284787</v>
      </c>
      <c r="F168" s="14">
        <f>'F) Population'!K160</f>
        <v>118786.21730382292</v>
      </c>
      <c r="G168" s="10">
        <f>'G) Solidarité'!I157</f>
        <v>0</v>
      </c>
      <c r="H168" s="14">
        <f t="shared" si="7"/>
        <v>118786.21730382292</v>
      </c>
      <c r="I168" s="55">
        <f t="shared" si="8"/>
        <v>956230.19922465575</v>
      </c>
    </row>
    <row r="169" spans="1:9" x14ac:dyDescent="0.25">
      <c r="A169" s="49">
        <f>'A) Base RI'!A160</f>
        <v>5652</v>
      </c>
      <c r="B169" s="32" t="str">
        <f>'A) Base RI'!B160</f>
        <v>Villars-sous-Yens</v>
      </c>
      <c r="C169" s="31">
        <f>'D) Ecrêtage'!C158</f>
        <v>25662.281995614037</v>
      </c>
      <c r="D169" s="14">
        <f>'A) Base RI'!AO160</f>
        <v>615</v>
      </c>
      <c r="E169" s="10">
        <f t="shared" si="6"/>
        <v>491793.08905111853</v>
      </c>
      <c r="F169" s="14">
        <f>'F) Population'!K161</f>
        <v>76256.287726358132</v>
      </c>
      <c r="G169" s="10">
        <f>'G) Solidarité'!I158</f>
        <v>91810.698547534237</v>
      </c>
      <c r="H169" s="14">
        <f t="shared" si="7"/>
        <v>168066.98627389237</v>
      </c>
      <c r="I169" s="55">
        <f t="shared" si="8"/>
        <v>323726.10277722613</v>
      </c>
    </row>
    <row r="170" spans="1:9" x14ac:dyDescent="0.25">
      <c r="A170" s="49">
        <f>'A) Base RI'!A161</f>
        <v>5653</v>
      </c>
      <c r="B170" s="32" t="str">
        <f>'A) Base RI'!B161</f>
        <v>Vufflens-le-Château</v>
      </c>
      <c r="C170" s="31">
        <f>'D) Ecrêtage'!C159</f>
        <v>68786.034529914527</v>
      </c>
      <c r="D170" s="14">
        <f>'A) Base RI'!AO161</f>
        <v>870</v>
      </c>
      <c r="E170" s="10">
        <f t="shared" si="6"/>
        <v>1318218.5594728179</v>
      </c>
      <c r="F170" s="14">
        <f>'F) Population'!K162</f>
        <v>107874.74849094565</v>
      </c>
      <c r="G170" s="10">
        <f>'G) Solidarité'!I159</f>
        <v>0</v>
      </c>
      <c r="H170" s="14">
        <f t="shared" si="7"/>
        <v>107874.74849094565</v>
      </c>
      <c r="I170" s="55">
        <f t="shared" si="8"/>
        <v>1210343.8109818723</v>
      </c>
    </row>
    <row r="171" spans="1:9" x14ac:dyDescent="0.25">
      <c r="A171" s="49">
        <f>'A) Base RI'!A162</f>
        <v>5654</v>
      </c>
      <c r="B171" s="32" t="str">
        <f>'A) Base RI'!B162</f>
        <v>Vullierens</v>
      </c>
      <c r="C171" s="31">
        <f>'D) Ecrêtage'!C160</f>
        <v>19265.899342105262</v>
      </c>
      <c r="D171" s="14">
        <f>'A) Base RI'!AO162</f>
        <v>542</v>
      </c>
      <c r="E171" s="10">
        <f t="shared" si="6"/>
        <v>369212.53349258692</v>
      </c>
      <c r="F171" s="14">
        <f>'F) Population'!K163</f>
        <v>67204.728370221317</v>
      </c>
      <c r="G171" s="10">
        <f>'G) Solidarité'!I160</f>
        <v>158551.05381487895</v>
      </c>
      <c r="H171" s="14">
        <f t="shared" si="7"/>
        <v>225755.78218510025</v>
      </c>
      <c r="I171" s="55">
        <f t="shared" si="8"/>
        <v>143456.75130748667</v>
      </c>
    </row>
    <row r="172" spans="1:9" x14ac:dyDescent="0.25">
      <c r="A172" s="49">
        <f>'A) Base RI'!A163</f>
        <v>5655</v>
      </c>
      <c r="B172" s="32" t="str">
        <f>'A) Base RI'!B163</f>
        <v>Yens</v>
      </c>
      <c r="C172" s="31">
        <f>'D) Ecrêtage'!C161</f>
        <v>90935.122097902116</v>
      </c>
      <c r="D172" s="14">
        <f>'A) Base RI'!AO163</f>
        <v>1480</v>
      </c>
      <c r="E172" s="10">
        <f t="shared" si="6"/>
        <v>1742684.6376098299</v>
      </c>
      <c r="F172" s="14">
        <f>'F) Population'!K164</f>
        <v>290641.85110663978</v>
      </c>
      <c r="G172" s="10">
        <f>'G) Solidarité'!I161</f>
        <v>0</v>
      </c>
      <c r="H172" s="14">
        <f t="shared" si="7"/>
        <v>290641.85110663978</v>
      </c>
      <c r="I172" s="55">
        <f t="shared" si="8"/>
        <v>1452042.7865031902</v>
      </c>
    </row>
    <row r="173" spans="1:9" x14ac:dyDescent="0.25">
      <c r="A173" s="49">
        <f>'A) Base RI'!A164</f>
        <v>5661</v>
      </c>
      <c r="B173" s="32" t="str">
        <f>'A) Base RI'!B164</f>
        <v>Boulens</v>
      </c>
      <c r="C173" s="31">
        <f>'D) Ecrêtage'!C162</f>
        <v>10167.852447552446</v>
      </c>
      <c r="D173" s="14">
        <f>'A) Base RI'!AO164</f>
        <v>369</v>
      </c>
      <c r="E173" s="10">
        <f t="shared" si="6"/>
        <v>194857.16683545252</v>
      </c>
      <c r="F173" s="14">
        <f>'F) Population'!K165</f>
        <v>45753.772635814879</v>
      </c>
      <c r="G173" s="10">
        <f>'G) Solidarité'!I162</f>
        <v>156016.57326592633</v>
      </c>
      <c r="H173" s="14">
        <f t="shared" si="7"/>
        <v>201770.34590174121</v>
      </c>
      <c r="I173" s="55">
        <f t="shared" si="8"/>
        <v>-6913.1790662886924</v>
      </c>
    </row>
    <row r="174" spans="1:9" x14ac:dyDescent="0.25">
      <c r="A174" s="49">
        <f>'A) Base RI'!A165</f>
        <v>5663</v>
      </c>
      <c r="B174" s="32" t="str">
        <f>'A) Base RI'!B165</f>
        <v>Bussy-sur-Moudon</v>
      </c>
      <c r="C174" s="31">
        <f>'D) Ecrêtage'!C163</f>
        <v>5408.1284999999998</v>
      </c>
      <c r="D174" s="14">
        <f>'A) Base RI'!AO165</f>
        <v>219</v>
      </c>
      <c r="E174" s="10">
        <f t="shared" si="6"/>
        <v>103641.60994937863</v>
      </c>
      <c r="F174" s="14">
        <f>'F) Population'!K166</f>
        <v>27154.67806841046</v>
      </c>
      <c r="G174" s="10">
        <f>'G) Solidarité'!I163</f>
        <v>132004.89554938674</v>
      </c>
      <c r="H174" s="14">
        <f t="shared" si="7"/>
        <v>159159.5736177972</v>
      </c>
      <c r="I174" s="55">
        <f t="shared" si="8"/>
        <v>-55517.963668418568</v>
      </c>
    </row>
    <row r="175" spans="1:9" x14ac:dyDescent="0.25">
      <c r="A175" s="49">
        <f>'A) Base RI'!A166</f>
        <v>5665</v>
      </c>
      <c r="B175" s="32" t="str">
        <f>'A) Base RI'!B166</f>
        <v>Chavannes-sur-Moudon</v>
      </c>
      <c r="C175" s="31">
        <f>'D) Ecrêtage'!C164</f>
        <v>6834.8221917808223</v>
      </c>
      <c r="D175" s="14">
        <f>'A) Base RI'!AO166</f>
        <v>223</v>
      </c>
      <c r="E175" s="10">
        <f t="shared" si="6"/>
        <v>130982.82995197047</v>
      </c>
      <c r="F175" s="14">
        <f>'F) Population'!K167</f>
        <v>27650.653923541242</v>
      </c>
      <c r="G175" s="10">
        <f>'G) Solidarité'!I164</f>
        <v>83531.198353149797</v>
      </c>
      <c r="H175" s="14">
        <f t="shared" si="7"/>
        <v>111181.85227669103</v>
      </c>
      <c r="I175" s="55">
        <f t="shared" si="8"/>
        <v>19800.977675279442</v>
      </c>
    </row>
    <row r="176" spans="1:9" x14ac:dyDescent="0.25">
      <c r="A176" s="49">
        <f>'A) Base RI'!A167</f>
        <v>5669</v>
      </c>
      <c r="B176" s="32" t="str">
        <f>'A) Base RI'!B167</f>
        <v>Curtilles</v>
      </c>
      <c r="C176" s="31">
        <f>'D) Ecrêtage'!C165</f>
        <v>10286.853972602739</v>
      </c>
      <c r="D176" s="14">
        <f>'A) Base RI'!AO167</f>
        <v>301</v>
      </c>
      <c r="E176" s="10">
        <f t="shared" si="6"/>
        <v>197137.71724076252</v>
      </c>
      <c r="F176" s="14">
        <f>'F) Population'!K168</f>
        <v>37322.183098591544</v>
      </c>
      <c r="G176" s="10">
        <f>'G) Solidarité'!I165</f>
        <v>90055.957495360752</v>
      </c>
      <c r="H176" s="14">
        <f t="shared" si="7"/>
        <v>127378.1405939523</v>
      </c>
      <c r="I176" s="55">
        <f t="shared" si="8"/>
        <v>69759.576646810223</v>
      </c>
    </row>
    <row r="177" spans="1:9" x14ac:dyDescent="0.25">
      <c r="A177" s="49">
        <f>'A) Base RI'!A168</f>
        <v>5671</v>
      </c>
      <c r="B177" s="32" t="str">
        <f>'A) Base RI'!B168</f>
        <v>Dompierre</v>
      </c>
      <c r="C177" s="31">
        <f>'D) Ecrêtage'!C166</f>
        <v>6034.0657692307695</v>
      </c>
      <c r="D177" s="14">
        <f>'A) Base RI'!AO168</f>
        <v>245</v>
      </c>
      <c r="E177" s="10">
        <f t="shared" si="6"/>
        <v>115637.09901928417</v>
      </c>
      <c r="F177" s="14">
        <f>'F) Population'!K169</f>
        <v>30378.521126760559</v>
      </c>
      <c r="G177" s="10">
        <f>'G) Solidarité'!I166</f>
        <v>140778.73882356859</v>
      </c>
      <c r="H177" s="14">
        <f t="shared" si="7"/>
        <v>171157.25995032914</v>
      </c>
      <c r="I177" s="55">
        <f t="shared" si="8"/>
        <v>-55520.160931044971</v>
      </c>
    </row>
    <row r="178" spans="1:9" x14ac:dyDescent="0.25">
      <c r="A178" s="49">
        <f>'A) Base RI'!A169</f>
        <v>5673</v>
      </c>
      <c r="B178" s="32" t="str">
        <f>'A) Base RI'!B169</f>
        <v>Hermenches</v>
      </c>
      <c r="C178" s="31">
        <f>'D) Ecrêtage'!C167</f>
        <v>10638.728435374151</v>
      </c>
      <c r="D178" s="14">
        <f>'A) Base RI'!AO169</f>
        <v>384</v>
      </c>
      <c r="E178" s="10">
        <f t="shared" si="6"/>
        <v>203881.05475977706</v>
      </c>
      <c r="F178" s="14">
        <f>'F) Population'!K170</f>
        <v>47613.682092555326</v>
      </c>
      <c r="G178" s="10">
        <f>'G) Solidarité'!I167</f>
        <v>170321.43651966195</v>
      </c>
      <c r="H178" s="14">
        <f t="shared" si="7"/>
        <v>217935.11861221728</v>
      </c>
      <c r="I178" s="55">
        <f t="shared" si="8"/>
        <v>-14054.063852440217</v>
      </c>
    </row>
    <row r="179" spans="1:9" x14ac:dyDescent="0.25">
      <c r="A179" s="49">
        <f>'A) Base RI'!A170</f>
        <v>5674</v>
      </c>
      <c r="B179" s="32" t="str">
        <f>'A) Base RI'!B170</f>
        <v>Lovatens</v>
      </c>
      <c r="C179" s="31">
        <f>'D) Ecrêtage'!C168</f>
        <v>3430.742038095239</v>
      </c>
      <c r="D179" s="14">
        <f>'A) Base RI'!AO170</f>
        <v>142</v>
      </c>
      <c r="E179" s="10">
        <f t="shared" si="6"/>
        <v>65746.889732594747</v>
      </c>
      <c r="F179" s="14">
        <f>'F) Population'!K171</f>
        <v>17607.142857142855</v>
      </c>
      <c r="G179" s="10">
        <f>'G) Solidarité'!I168</f>
        <v>76940.388686376347</v>
      </c>
      <c r="H179" s="14">
        <f t="shared" si="7"/>
        <v>94547.531543519202</v>
      </c>
      <c r="I179" s="55">
        <f t="shared" si="8"/>
        <v>-28800.641810924455</v>
      </c>
    </row>
    <row r="180" spans="1:9" x14ac:dyDescent="0.25">
      <c r="A180" s="49">
        <f>'A) Base RI'!A171</f>
        <v>5675</v>
      </c>
      <c r="B180" s="32" t="str">
        <f>'A) Base RI'!B171</f>
        <v>Lucens</v>
      </c>
      <c r="C180" s="31">
        <f>'D) Ecrêtage'!C169</f>
        <v>97154.219717171698</v>
      </c>
      <c r="D180" s="14">
        <f>'A) Base RI'!AO171</f>
        <v>4309</v>
      </c>
      <c r="E180" s="10">
        <f t="shared" si="6"/>
        <v>1861867.6950563102</v>
      </c>
      <c r="F180" s="14">
        <f>'F) Population'!K172</f>
        <v>1467592.5553319918</v>
      </c>
      <c r="G180" s="10">
        <f>'G) Solidarité'!I169</f>
        <v>2018236.5383110642</v>
      </c>
      <c r="H180" s="14">
        <f t="shared" si="7"/>
        <v>3485829.0936430562</v>
      </c>
      <c r="I180" s="55">
        <f t="shared" si="8"/>
        <v>-1623961.3985867461</v>
      </c>
    </row>
    <row r="181" spans="1:9" x14ac:dyDescent="0.25">
      <c r="A181" s="49">
        <f>'A) Base RI'!A172</f>
        <v>5678</v>
      </c>
      <c r="B181" s="32" t="str">
        <f>'A) Base RI'!B172</f>
        <v>Moudon</v>
      </c>
      <c r="C181" s="31">
        <f>'D) Ecrêtage'!C170</f>
        <v>124965.41862068966</v>
      </c>
      <c r="D181" s="14">
        <f>'A) Base RI'!AO172</f>
        <v>6109</v>
      </c>
      <c r="E181" s="10">
        <f t="shared" si="6"/>
        <v>2394842.7212567776</v>
      </c>
      <c r="F181" s="14">
        <f>'F) Population'!K173</f>
        <v>2470356.5392354121</v>
      </c>
      <c r="G181" s="10">
        <f>'G) Solidarité'!I170</f>
        <v>3570276.0627992889</v>
      </c>
      <c r="H181" s="14">
        <f t="shared" si="7"/>
        <v>6040632.602034701</v>
      </c>
      <c r="I181" s="55">
        <f t="shared" si="8"/>
        <v>-3645789.8807779234</v>
      </c>
    </row>
    <row r="182" spans="1:9" x14ac:dyDescent="0.25">
      <c r="A182" s="49">
        <f>'A) Base RI'!A173</f>
        <v>5680</v>
      </c>
      <c r="B182" s="32" t="str">
        <f>'A) Base RI'!B173</f>
        <v>Ogens</v>
      </c>
      <c r="C182" s="31">
        <f>'D) Ecrêtage'!C171</f>
        <v>8675.0652136752142</v>
      </c>
      <c r="D182" s="14">
        <f>'A) Base RI'!AO173</f>
        <v>301</v>
      </c>
      <c r="E182" s="10">
        <f t="shared" si="6"/>
        <v>166249.32731556759</v>
      </c>
      <c r="F182" s="14">
        <f>'F) Population'!K174</f>
        <v>37322.183098591544</v>
      </c>
      <c r="G182" s="10">
        <f>'G) Solidarité'!I171</f>
        <v>142157.48131675742</v>
      </c>
      <c r="H182" s="14">
        <f t="shared" si="7"/>
        <v>179479.66441534896</v>
      </c>
      <c r="I182" s="55">
        <f t="shared" si="8"/>
        <v>-13230.337099781376</v>
      </c>
    </row>
    <row r="183" spans="1:9" x14ac:dyDescent="0.25">
      <c r="A183" s="49">
        <f>'A) Base RI'!A174</f>
        <v>5683</v>
      </c>
      <c r="B183" s="32" t="str">
        <f>'A) Base RI'!B174</f>
        <v>Prévonloup</v>
      </c>
      <c r="C183" s="31">
        <f>'D) Ecrêtage'!C172</f>
        <v>5006.0282758620697</v>
      </c>
      <c r="D183" s="14">
        <f>'A) Base RI'!AO174</f>
        <v>202</v>
      </c>
      <c r="E183" s="10">
        <f t="shared" si="6"/>
        <v>95935.743753584451</v>
      </c>
      <c r="F183" s="14">
        <f>'F) Population'!K175</f>
        <v>25046.780684104622</v>
      </c>
      <c r="G183" s="10">
        <f>'G) Solidarité'!I172</f>
        <v>99625.015021071798</v>
      </c>
      <c r="H183" s="14">
        <f t="shared" si="7"/>
        <v>124671.79570517642</v>
      </c>
      <c r="I183" s="55">
        <f t="shared" si="8"/>
        <v>-28736.051951591973</v>
      </c>
    </row>
    <row r="184" spans="1:9" x14ac:dyDescent="0.25">
      <c r="A184" s="49">
        <f>'A) Base RI'!A175</f>
        <v>5684</v>
      </c>
      <c r="B184" s="32" t="str">
        <f>'A) Base RI'!B175</f>
        <v>Rossenges</v>
      </c>
      <c r="C184" s="31">
        <f>'D) Ecrêtage'!C173</f>
        <v>4335.3234000000011</v>
      </c>
      <c r="D184" s="14">
        <f>'A) Base RI'!AO175</f>
        <v>84</v>
      </c>
      <c r="E184" s="10">
        <f t="shared" si="6"/>
        <v>83082.326321797664</v>
      </c>
      <c r="F184" s="14">
        <f>'F) Population'!K176</f>
        <v>10415.492957746477</v>
      </c>
      <c r="G184" s="10">
        <f>'G) Solidarité'!I173</f>
        <v>0</v>
      </c>
      <c r="H184" s="14">
        <f t="shared" si="7"/>
        <v>10415.492957746477</v>
      </c>
      <c r="I184" s="55">
        <f t="shared" si="8"/>
        <v>72666.833364051185</v>
      </c>
    </row>
    <row r="185" spans="1:9" x14ac:dyDescent="0.25">
      <c r="A185" s="49">
        <f>'A) Base RI'!A176</f>
        <v>5688</v>
      </c>
      <c r="B185" s="32" t="str">
        <f>'A) Base RI'!B176</f>
        <v>Syens</v>
      </c>
      <c r="C185" s="31">
        <f>'D) Ecrêtage'!C174</f>
        <v>5094.0764550264557</v>
      </c>
      <c r="D185" s="14">
        <f>'A) Base RI'!AO176</f>
        <v>156</v>
      </c>
      <c r="E185" s="10">
        <f t="shared" si="6"/>
        <v>97623.102891169343</v>
      </c>
      <c r="F185" s="14">
        <f>'F) Population'!K177</f>
        <v>19343.0583501006</v>
      </c>
      <c r="G185" s="10">
        <f>'G) Solidarité'!I174</f>
        <v>55499.145607371662</v>
      </c>
      <c r="H185" s="14">
        <f t="shared" si="7"/>
        <v>74842.203957472258</v>
      </c>
      <c r="I185" s="55">
        <f t="shared" si="8"/>
        <v>22780.898933697084</v>
      </c>
    </row>
    <row r="186" spans="1:9" x14ac:dyDescent="0.25">
      <c r="A186" s="49">
        <f>'A) Base RI'!A177</f>
        <v>5690</v>
      </c>
      <c r="B186" s="32" t="str">
        <f>'A) Base RI'!B177</f>
        <v>Villars-le-Comte</v>
      </c>
      <c r="C186" s="31">
        <f>'D) Ecrêtage'!C175</f>
        <v>3483.7788571428573</v>
      </c>
      <c r="D186" s="14">
        <f>'A) Base RI'!AO177</f>
        <v>120</v>
      </c>
      <c r="E186" s="10">
        <f t="shared" si="6"/>
        <v>66763.289641119307</v>
      </c>
      <c r="F186" s="14">
        <f>'F) Population'!K178</f>
        <v>14879.275653923538</v>
      </c>
      <c r="G186" s="10">
        <f>'G) Solidarité'!I175</f>
        <v>45147.802197594785</v>
      </c>
      <c r="H186" s="14">
        <f t="shared" si="7"/>
        <v>60027.077851518319</v>
      </c>
      <c r="I186" s="55">
        <f t="shared" si="8"/>
        <v>6736.2117896009877</v>
      </c>
    </row>
    <row r="187" spans="1:9" x14ac:dyDescent="0.25">
      <c r="A187" s="49">
        <f>'A) Base RI'!A178</f>
        <v>5692</v>
      </c>
      <c r="B187" s="32" t="str">
        <f>'A) Base RI'!B178</f>
        <v>Vucherens</v>
      </c>
      <c r="C187" s="31">
        <f>'D) Ecrêtage'!C176</f>
        <v>18084.556363636369</v>
      </c>
      <c r="D187" s="14">
        <f>'A) Base RI'!AO178</f>
        <v>617</v>
      </c>
      <c r="E187" s="10">
        <f t="shared" si="6"/>
        <v>346573.22523818613</v>
      </c>
      <c r="F187" s="14">
        <f>'F) Population'!K179</f>
        <v>76504.275653923527</v>
      </c>
      <c r="G187" s="10">
        <f>'G) Solidarité'!I176</f>
        <v>276788.83840340632</v>
      </c>
      <c r="H187" s="14">
        <f t="shared" si="7"/>
        <v>353293.11405732983</v>
      </c>
      <c r="I187" s="55">
        <f t="shared" si="8"/>
        <v>-6719.8888191436999</v>
      </c>
    </row>
    <row r="188" spans="1:9" x14ac:dyDescent="0.25">
      <c r="A188" s="49">
        <f>'A) Base RI'!A179</f>
        <v>5693</v>
      </c>
      <c r="B188" s="32" t="str">
        <f>'A) Base RI'!B179</f>
        <v>Montanaire</v>
      </c>
      <c r="C188" s="31">
        <f>'D) Ecrêtage'!C177</f>
        <v>71120.535138888881</v>
      </c>
      <c r="D188" s="14">
        <f>'A) Base RI'!AO179</f>
        <v>2782</v>
      </c>
      <c r="E188" s="10">
        <f t="shared" si="6"/>
        <v>1362957.030746551</v>
      </c>
      <c r="F188" s="14">
        <f>'F) Population'!K180</f>
        <v>742674.24547283689</v>
      </c>
      <c r="G188" s="10">
        <f>'G) Solidarité'!I177</f>
        <v>1307943.540472093</v>
      </c>
      <c r="H188" s="14">
        <f t="shared" si="7"/>
        <v>2050617.7859449298</v>
      </c>
      <c r="I188" s="55">
        <f t="shared" si="8"/>
        <v>-687660.75519837881</v>
      </c>
    </row>
    <row r="189" spans="1:9" x14ac:dyDescent="0.25">
      <c r="A189" s="49">
        <f>'A) Base RI'!A180</f>
        <v>5701</v>
      </c>
      <c r="B189" s="32" t="str">
        <f>'A) Base RI'!B180</f>
        <v>Arnex-sur-Nyon</v>
      </c>
      <c r="C189" s="31">
        <f>'D) Ecrêtage'!C178</f>
        <v>12579.391714285715</v>
      </c>
      <c r="D189" s="14">
        <f>'A) Base RI'!AO180</f>
        <v>240</v>
      </c>
      <c r="E189" s="10">
        <f t="shared" si="6"/>
        <v>241072.01029939388</v>
      </c>
      <c r="F189" s="14">
        <f>'F) Population'!K181</f>
        <v>29758.551307847076</v>
      </c>
      <c r="G189" s="10">
        <f>'G) Solidarité'!I178</f>
        <v>0</v>
      </c>
      <c r="H189" s="14">
        <f t="shared" si="7"/>
        <v>29758.551307847076</v>
      </c>
      <c r="I189" s="55">
        <f t="shared" si="8"/>
        <v>211313.4589915468</v>
      </c>
    </row>
    <row r="190" spans="1:9" x14ac:dyDescent="0.25">
      <c r="A190" s="49">
        <f>'A) Base RI'!A181</f>
        <v>5702</v>
      </c>
      <c r="B190" s="32" t="str">
        <f>'A) Base RI'!B181</f>
        <v>Arzier-Le Muids</v>
      </c>
      <c r="C190" s="31">
        <f>'D) Ecrêtage'!C179</f>
        <v>167751.11713541666</v>
      </c>
      <c r="D190" s="14">
        <f>'A) Base RI'!AO181</f>
        <v>2912</v>
      </c>
      <c r="E190" s="10">
        <f t="shared" si="6"/>
        <v>3214789.7097344082</v>
      </c>
      <c r="F190" s="14">
        <f>'F) Population'!K182</f>
        <v>787808.04828973836</v>
      </c>
      <c r="G190" s="10">
        <f>'G) Solidarité'!I179</f>
        <v>0</v>
      </c>
      <c r="H190" s="14">
        <f t="shared" si="7"/>
        <v>787808.04828973836</v>
      </c>
      <c r="I190" s="55">
        <f t="shared" si="8"/>
        <v>2426981.6614446696</v>
      </c>
    </row>
    <row r="191" spans="1:9" x14ac:dyDescent="0.25">
      <c r="A191" s="49">
        <f>'A) Base RI'!A182</f>
        <v>5703</v>
      </c>
      <c r="B191" s="32" t="str">
        <f>'A) Base RI'!B182</f>
        <v>Bassins</v>
      </c>
      <c r="C191" s="31">
        <f>'D) Ecrêtage'!C180</f>
        <v>66904.36396059113</v>
      </c>
      <c r="D191" s="14">
        <f>'A) Base RI'!AO182</f>
        <v>1475</v>
      </c>
      <c r="E191" s="10">
        <f t="shared" si="6"/>
        <v>1282158.1427872602</v>
      </c>
      <c r="F191" s="14">
        <f>'F) Population'!K183</f>
        <v>288905.93561368203</v>
      </c>
      <c r="G191" s="10">
        <f>'G) Solidarité'!I180</f>
        <v>87420.178631143703</v>
      </c>
      <c r="H191" s="14">
        <f t="shared" si="7"/>
        <v>376326.11424482573</v>
      </c>
      <c r="I191" s="55">
        <f t="shared" si="8"/>
        <v>905832.02854243456</v>
      </c>
    </row>
    <row r="192" spans="1:9" x14ac:dyDescent="0.25">
      <c r="A192" s="49">
        <f>'A) Base RI'!A183</f>
        <v>5704</v>
      </c>
      <c r="B192" s="32" t="str">
        <f>'A) Base RI'!B183</f>
        <v>Begnins</v>
      </c>
      <c r="C192" s="31">
        <f>'D) Ecrêtage'!C181</f>
        <v>141538.79477333333</v>
      </c>
      <c r="D192" s="14">
        <f>'A) Base RI'!AO183</f>
        <v>1928</v>
      </c>
      <c r="E192" s="10">
        <f t="shared" si="6"/>
        <v>2712455.6231611292</v>
      </c>
      <c r="F192" s="14">
        <f>'F) Population'!K184</f>
        <v>446179.87927565386</v>
      </c>
      <c r="G192" s="10">
        <f>'G) Solidarité'!I181</f>
        <v>0</v>
      </c>
      <c r="H192" s="14">
        <f t="shared" si="7"/>
        <v>446179.87927565386</v>
      </c>
      <c r="I192" s="55">
        <f t="shared" si="8"/>
        <v>2266275.7438854752</v>
      </c>
    </row>
    <row r="193" spans="1:9" x14ac:dyDescent="0.25">
      <c r="A193" s="49">
        <f>'A) Base RI'!A184</f>
        <v>5705</v>
      </c>
      <c r="B193" s="32" t="str">
        <f>'A) Base RI'!B184</f>
        <v>Bogis-Bossey</v>
      </c>
      <c r="C193" s="31">
        <f>'D) Ecrêtage'!C182</f>
        <v>56148.948053691274</v>
      </c>
      <c r="D193" s="14">
        <f>'A) Base RI'!AO184</f>
        <v>835</v>
      </c>
      <c r="E193" s="10">
        <f t="shared" si="6"/>
        <v>1076040.8842446317</v>
      </c>
      <c r="F193" s="14">
        <f>'F) Population'!K185</f>
        <v>103534.9597585513</v>
      </c>
      <c r="G193" s="10">
        <f>'G) Solidarité'!I182</f>
        <v>0</v>
      </c>
      <c r="H193" s="14">
        <f t="shared" si="7"/>
        <v>103534.9597585513</v>
      </c>
      <c r="I193" s="55">
        <f t="shared" si="8"/>
        <v>972505.92448608042</v>
      </c>
    </row>
    <row r="194" spans="1:9" x14ac:dyDescent="0.25">
      <c r="A194" s="49">
        <f>'A) Base RI'!A185</f>
        <v>5706</v>
      </c>
      <c r="B194" s="32" t="str">
        <f>'A) Base RI'!B185</f>
        <v>Borex</v>
      </c>
      <c r="C194" s="31">
        <f>'D) Ecrêtage'!C183</f>
        <v>84057.706842105254</v>
      </c>
      <c r="D194" s="14">
        <f>'A) Base RI'!AO185</f>
        <v>1157</v>
      </c>
      <c r="E194" s="10">
        <f t="shared" si="6"/>
        <v>1610885.5523252985</v>
      </c>
      <c r="F194" s="14">
        <f>'F) Population'!K186</f>
        <v>178501.71026156939</v>
      </c>
      <c r="G194" s="10">
        <f>'G) Solidarité'!I183</f>
        <v>0</v>
      </c>
      <c r="H194" s="14">
        <f t="shared" si="7"/>
        <v>178501.71026156939</v>
      </c>
      <c r="I194" s="55">
        <f t="shared" si="8"/>
        <v>1432383.8420637292</v>
      </c>
    </row>
    <row r="195" spans="1:9" x14ac:dyDescent="0.25">
      <c r="A195" s="49">
        <f>'A) Base RI'!A186</f>
        <v>5707</v>
      </c>
      <c r="B195" s="32" t="str">
        <f>'A) Base RI'!B186</f>
        <v>Chavannes-de-Bogis</v>
      </c>
      <c r="C195" s="31">
        <f>'D) Ecrêtage'!C184</f>
        <v>81835.320459770097</v>
      </c>
      <c r="D195" s="14">
        <f>'A) Base RI'!AO186</f>
        <v>1329</v>
      </c>
      <c r="E195" s="10">
        <f t="shared" si="6"/>
        <v>1568295.6429703727</v>
      </c>
      <c r="F195" s="14">
        <f>'F) Population'!K187</f>
        <v>238217.20321931585</v>
      </c>
      <c r="G195" s="10">
        <f>'G) Solidarité'!I184</f>
        <v>0</v>
      </c>
      <c r="H195" s="14">
        <f t="shared" si="7"/>
        <v>238217.20321931585</v>
      </c>
      <c r="I195" s="55">
        <f t="shared" si="8"/>
        <v>1330078.439751057</v>
      </c>
    </row>
    <row r="196" spans="1:9" x14ac:dyDescent="0.25">
      <c r="A196" s="49">
        <f>'A) Base RI'!A187</f>
        <v>5708</v>
      </c>
      <c r="B196" s="32" t="str">
        <f>'A) Base RI'!B187</f>
        <v>Chavannes-des-Bois</v>
      </c>
      <c r="C196" s="31">
        <f>'D) Ecrêtage'!C185</f>
        <v>67256.112794117653</v>
      </c>
      <c r="D196" s="14">
        <f>'A) Base RI'!AO187</f>
        <v>1013</v>
      </c>
      <c r="E196" s="10">
        <f t="shared" si="6"/>
        <v>1288899.0727419578</v>
      </c>
      <c r="F196" s="14">
        <f>'F) Population'!K188</f>
        <v>128507.3440643863</v>
      </c>
      <c r="G196" s="10">
        <f>'G) Solidarité'!I185</f>
        <v>0</v>
      </c>
      <c r="H196" s="14">
        <f t="shared" si="7"/>
        <v>128507.3440643863</v>
      </c>
      <c r="I196" s="55">
        <f t="shared" si="8"/>
        <v>1160391.7286775715</v>
      </c>
    </row>
    <row r="197" spans="1:9" x14ac:dyDescent="0.25">
      <c r="A197" s="49">
        <f>'A) Base RI'!A188</f>
        <v>5709</v>
      </c>
      <c r="B197" s="32" t="str">
        <f>'A) Base RI'!B188</f>
        <v>Chéserex</v>
      </c>
      <c r="C197" s="31">
        <f>'D) Ecrêtage'!C186</f>
        <v>97368.06631578946</v>
      </c>
      <c r="D197" s="14">
        <f>'A) Base RI'!AO188</f>
        <v>1248</v>
      </c>
      <c r="E197" s="10">
        <f t="shared" si="6"/>
        <v>1865965.8605793638</v>
      </c>
      <c r="F197" s="14">
        <f>'F) Population'!K189</f>
        <v>210095.37223340035</v>
      </c>
      <c r="G197" s="10">
        <f>'G) Solidarité'!I186</f>
        <v>0</v>
      </c>
      <c r="H197" s="14">
        <f t="shared" si="7"/>
        <v>210095.37223340035</v>
      </c>
      <c r="I197" s="55">
        <f t="shared" si="8"/>
        <v>1655870.4883459634</v>
      </c>
    </row>
    <row r="198" spans="1:9" x14ac:dyDescent="0.25">
      <c r="A198" s="49">
        <f>'A) Base RI'!A189</f>
        <v>5710</v>
      </c>
      <c r="B198" s="32" t="str">
        <f>'A) Base RI'!B189</f>
        <v>Coinsins</v>
      </c>
      <c r="C198" s="31">
        <f>'D) Ecrêtage'!C187</f>
        <v>41108.965294117646</v>
      </c>
      <c r="D198" s="14">
        <f>'A) Base RI'!AO189</f>
        <v>509</v>
      </c>
      <c r="E198" s="10">
        <f t="shared" si="6"/>
        <v>787814.00006221829</v>
      </c>
      <c r="F198" s="14">
        <f>'F) Population'!K190</f>
        <v>63112.927565392347</v>
      </c>
      <c r="G198" s="10">
        <f>'G) Solidarité'!I187</f>
        <v>0</v>
      </c>
      <c r="H198" s="14">
        <f t="shared" si="7"/>
        <v>63112.927565392347</v>
      </c>
      <c r="I198" s="55">
        <f t="shared" si="8"/>
        <v>724701.07249682595</v>
      </c>
    </row>
    <row r="199" spans="1:9" x14ac:dyDescent="0.25">
      <c r="A199" s="49">
        <f>'A) Base RI'!A190</f>
        <v>5711</v>
      </c>
      <c r="B199" s="32" t="str">
        <f>'A) Base RI'!B190</f>
        <v>Commugny</v>
      </c>
      <c r="C199" s="31">
        <f>'D) Ecrêtage'!C188</f>
        <v>252772.67295911297</v>
      </c>
      <c r="D199" s="14">
        <f>'A) Base RI'!AO190</f>
        <v>2997</v>
      </c>
      <c r="E199" s="10">
        <f t="shared" si="6"/>
        <v>4844146.5058920542</v>
      </c>
      <c r="F199" s="14">
        <f>'F) Population'!K191</f>
        <v>817318.61167002004</v>
      </c>
      <c r="G199" s="10">
        <f>'G) Solidarité'!I188</f>
        <v>0</v>
      </c>
      <c r="H199" s="14">
        <f t="shared" si="7"/>
        <v>817318.61167002004</v>
      </c>
      <c r="I199" s="55">
        <f t="shared" si="8"/>
        <v>4026827.8942220341</v>
      </c>
    </row>
    <row r="200" spans="1:9" x14ac:dyDescent="0.25">
      <c r="A200" s="49">
        <f>'A) Base RI'!A191</f>
        <v>5712</v>
      </c>
      <c r="B200" s="32" t="str">
        <f>'A) Base RI'!B191</f>
        <v>Coppet</v>
      </c>
      <c r="C200" s="31">
        <f>'D) Ecrêtage'!C189</f>
        <v>382004.08345911955</v>
      </c>
      <c r="D200" s="14">
        <f>'A) Base RI'!AO191</f>
        <v>3247</v>
      </c>
      <c r="E200" s="10">
        <f t="shared" si="6"/>
        <v>7320742.8811907759</v>
      </c>
      <c r="F200" s="14">
        <f>'F) Population'!K192</f>
        <v>940866.19718309853</v>
      </c>
      <c r="G200" s="10">
        <f>'G) Solidarité'!I189</f>
        <v>0</v>
      </c>
      <c r="H200" s="14">
        <f t="shared" si="7"/>
        <v>940866.19718309853</v>
      </c>
      <c r="I200" s="55">
        <f t="shared" si="8"/>
        <v>6379876.6840076772</v>
      </c>
    </row>
    <row r="201" spans="1:9" x14ac:dyDescent="0.25">
      <c r="A201" s="49">
        <f>'A) Base RI'!A192</f>
        <v>5713</v>
      </c>
      <c r="B201" s="32" t="str">
        <f>'A) Base RI'!B192</f>
        <v>Crans-près-Céligny</v>
      </c>
      <c r="C201" s="31">
        <f>'D) Ecrêtage'!C190</f>
        <v>308668.8301785714</v>
      </c>
      <c r="D201" s="14">
        <f>'A) Base RI'!AO192</f>
        <v>2340</v>
      </c>
      <c r="E201" s="10">
        <f t="shared" si="6"/>
        <v>5915342.895587353</v>
      </c>
      <c r="F201" s="14">
        <f>'F) Population'!K193</f>
        <v>589219.31589537219</v>
      </c>
      <c r="G201" s="10">
        <f>'G) Solidarité'!I190</f>
        <v>0</v>
      </c>
      <c r="H201" s="14">
        <f t="shared" si="7"/>
        <v>589219.31589537219</v>
      </c>
      <c r="I201" s="55">
        <f t="shared" si="8"/>
        <v>5326123.579691981</v>
      </c>
    </row>
    <row r="202" spans="1:9" x14ac:dyDescent="0.25">
      <c r="A202" s="49">
        <f>'A) Base RI'!A193</f>
        <v>5714</v>
      </c>
      <c r="B202" s="32" t="str">
        <f>'A) Base RI'!B193</f>
        <v>Crassier</v>
      </c>
      <c r="C202" s="31">
        <f>'D) Ecrêtage'!C191</f>
        <v>53429.691617647055</v>
      </c>
      <c r="D202" s="14">
        <f>'A) Base RI'!AO193</f>
        <v>1174</v>
      </c>
      <c r="E202" s="10">
        <f t="shared" si="6"/>
        <v>1023928.9355553887</v>
      </c>
      <c r="F202" s="14">
        <f>'F) Population'!K194</f>
        <v>184403.82293762572</v>
      </c>
      <c r="G202" s="10">
        <f>'G) Solidarité'!I191</f>
        <v>57902.248855463658</v>
      </c>
      <c r="H202" s="14">
        <f t="shared" si="7"/>
        <v>242306.07179308939</v>
      </c>
      <c r="I202" s="55">
        <f t="shared" si="8"/>
        <v>781622.8637622993</v>
      </c>
    </row>
    <row r="203" spans="1:9" x14ac:dyDescent="0.25">
      <c r="A203" s="49">
        <f>'A) Base RI'!A194</f>
        <v>5715</v>
      </c>
      <c r="B203" s="32" t="str">
        <f>'A) Base RI'!B194</f>
        <v>Duillier</v>
      </c>
      <c r="C203" s="31">
        <f>'D) Ecrêtage'!C192</f>
        <v>61573.714242424234</v>
      </c>
      <c r="D203" s="14">
        <f>'A) Base RI'!AO194</f>
        <v>1128</v>
      </c>
      <c r="E203" s="10">
        <f t="shared" si="6"/>
        <v>1180001.339585003</v>
      </c>
      <c r="F203" s="14">
        <f>'F) Population'!K195</f>
        <v>168433.40040241447</v>
      </c>
      <c r="G203" s="10">
        <f>'G) Solidarité'!I192</f>
        <v>0</v>
      </c>
      <c r="H203" s="14">
        <f t="shared" si="7"/>
        <v>168433.40040241447</v>
      </c>
      <c r="I203" s="55">
        <f t="shared" si="8"/>
        <v>1011567.9391825885</v>
      </c>
    </row>
    <row r="204" spans="1:9" x14ac:dyDescent="0.25">
      <c r="A204" s="49">
        <f>'A) Base RI'!A195</f>
        <v>5716</v>
      </c>
      <c r="B204" s="32" t="str">
        <f>'A) Base RI'!B195</f>
        <v>Eysins</v>
      </c>
      <c r="C204" s="31">
        <f>'D) Ecrêtage'!C193</f>
        <v>311499.41949579836</v>
      </c>
      <c r="D204" s="14">
        <f>'A) Base RI'!AO195</f>
        <v>1740</v>
      </c>
      <c r="E204" s="10">
        <f t="shared" si="6"/>
        <v>5969588.4324570699</v>
      </c>
      <c r="F204" s="14">
        <f>'F) Population'!K196</f>
        <v>380909.45674044261</v>
      </c>
      <c r="G204" s="10">
        <f>'G) Solidarité'!I193</f>
        <v>0</v>
      </c>
      <c r="H204" s="14">
        <f t="shared" si="7"/>
        <v>380909.45674044261</v>
      </c>
      <c r="I204" s="55">
        <f t="shared" si="8"/>
        <v>5588678.9757166272</v>
      </c>
    </row>
    <row r="205" spans="1:9" x14ac:dyDescent="0.25">
      <c r="A205" s="49">
        <f>'A) Base RI'!A196</f>
        <v>5717</v>
      </c>
      <c r="B205" s="32" t="str">
        <f>'A) Base RI'!B196</f>
        <v>Founex</v>
      </c>
      <c r="C205" s="31">
        <f>'D) Ecrêtage'!C194</f>
        <v>386801.60228070174</v>
      </c>
      <c r="D205" s="14">
        <f>'A) Base RI'!AO196</f>
        <v>3834</v>
      </c>
      <c r="E205" s="10">
        <f t="shared" si="6"/>
        <v>7412682.7406876842</v>
      </c>
      <c r="F205" s="14">
        <f>'F) Population'!K197</f>
        <v>1232004.0241448691</v>
      </c>
      <c r="G205" s="10">
        <f>'G) Solidarité'!I194</f>
        <v>0</v>
      </c>
      <c r="H205" s="14">
        <f t="shared" si="7"/>
        <v>1232004.0241448691</v>
      </c>
      <c r="I205" s="55">
        <f t="shared" si="8"/>
        <v>6180678.7165428149</v>
      </c>
    </row>
    <row r="206" spans="1:9" x14ac:dyDescent="0.25">
      <c r="A206" s="49">
        <f>'A) Base RI'!A197</f>
        <v>5718</v>
      </c>
      <c r="B206" s="32" t="str">
        <f>'A) Base RI'!B197</f>
        <v>Genolier</v>
      </c>
      <c r="C206" s="31">
        <f>'D) Ecrêtage'!C195</f>
        <v>245082.27927272729</v>
      </c>
      <c r="D206" s="14">
        <f>'A) Base RI'!AO197</f>
        <v>1996</v>
      </c>
      <c r="E206" s="10">
        <f t="shared" si="6"/>
        <v>4696767.4665808491</v>
      </c>
      <c r="F206" s="14">
        <f>'F) Population'!K198</f>
        <v>469788.3299798792</v>
      </c>
      <c r="G206" s="10">
        <f>'G) Solidarité'!I195</f>
        <v>0</v>
      </c>
      <c r="H206" s="14">
        <f t="shared" si="7"/>
        <v>469788.3299798792</v>
      </c>
      <c r="I206" s="55">
        <f t="shared" si="8"/>
        <v>4226979.1366009703</v>
      </c>
    </row>
    <row r="207" spans="1:9" x14ac:dyDescent="0.25">
      <c r="A207" s="49">
        <f>'A) Base RI'!A198</f>
        <v>5719</v>
      </c>
      <c r="B207" s="32" t="str">
        <f>'A) Base RI'!B198</f>
        <v>Gingins</v>
      </c>
      <c r="C207" s="31">
        <f>'D) Ecrêtage'!C196</f>
        <v>145761.41602339179</v>
      </c>
      <c r="D207" s="14">
        <f>'A) Base RI'!AO198</f>
        <v>1257</v>
      </c>
      <c r="E207" s="10">
        <f t="shared" si="6"/>
        <v>2793378.1205763659</v>
      </c>
      <c r="F207" s="14">
        <f>'F) Population'!K199</f>
        <v>213220.02012072431</v>
      </c>
      <c r="G207" s="10">
        <f>'G) Solidarité'!I196</f>
        <v>0</v>
      </c>
      <c r="H207" s="14">
        <f t="shared" si="7"/>
        <v>213220.02012072431</v>
      </c>
      <c r="I207" s="55">
        <f t="shared" si="8"/>
        <v>2580158.1004556417</v>
      </c>
    </row>
    <row r="208" spans="1:9" x14ac:dyDescent="0.25">
      <c r="A208" s="49">
        <f>'A) Base RI'!A199</f>
        <v>5720</v>
      </c>
      <c r="B208" s="32" t="str">
        <f>'A) Base RI'!B199</f>
        <v>Givrins</v>
      </c>
      <c r="C208" s="31">
        <f>'D) Ecrêtage'!C197</f>
        <v>84172.254543946925</v>
      </c>
      <c r="D208" s="14">
        <f>'A) Base RI'!AO199</f>
        <v>1031</v>
      </c>
      <c r="E208" s="10">
        <f t="shared" si="6"/>
        <v>1613080.7494687969</v>
      </c>
      <c r="F208" s="14">
        <f>'F) Population'!K200</f>
        <v>134756.63983903418</v>
      </c>
      <c r="G208" s="10">
        <f>'G) Solidarité'!I197</f>
        <v>0</v>
      </c>
      <c r="H208" s="14">
        <f t="shared" si="7"/>
        <v>134756.63983903418</v>
      </c>
      <c r="I208" s="55">
        <f t="shared" si="8"/>
        <v>1478324.1096297628</v>
      </c>
    </row>
    <row r="209" spans="1:9" x14ac:dyDescent="0.25">
      <c r="A209" s="49">
        <f>'A) Base RI'!A200</f>
        <v>5721</v>
      </c>
      <c r="B209" s="32" t="str">
        <f>'A) Base RI'!B200</f>
        <v>Gland</v>
      </c>
      <c r="C209" s="31">
        <f>'D) Ecrêtage'!C198</f>
        <v>651107.04049180343</v>
      </c>
      <c r="D209" s="14">
        <f>'A) Base RI'!AO200</f>
        <v>13243</v>
      </c>
      <c r="E209" s="10">
        <f t="shared" ref="E209:E272" si="9">C209*E$15</f>
        <v>12477843.661803851</v>
      </c>
      <c r="F209" s="14">
        <f>'F) Population'!K201</f>
        <v>7953468.812877262</v>
      </c>
      <c r="G209" s="10">
        <f>'G) Solidarité'!I198</f>
        <v>0</v>
      </c>
      <c r="H209" s="14">
        <f t="shared" ref="H209:H272" si="10">F209+G209</f>
        <v>7953468.812877262</v>
      </c>
      <c r="I209" s="55">
        <f t="shared" ref="I209:I272" si="11">E209-H209</f>
        <v>4524374.8489265889</v>
      </c>
    </row>
    <row r="210" spans="1:9" x14ac:dyDescent="0.25">
      <c r="A210" s="49">
        <f>'A) Base RI'!A201</f>
        <v>5722</v>
      </c>
      <c r="B210" s="32" t="str">
        <f>'A) Base RI'!B201</f>
        <v>Grens</v>
      </c>
      <c r="C210" s="31">
        <f>'D) Ecrêtage'!C199</f>
        <v>25525.601935483872</v>
      </c>
      <c r="D210" s="14">
        <f>'A) Base RI'!AO201</f>
        <v>405</v>
      </c>
      <c r="E210" s="10">
        <f t="shared" si="9"/>
        <v>489173.7464301234</v>
      </c>
      <c r="F210" s="14">
        <f>'F) Population'!K202</f>
        <v>50217.555331991942</v>
      </c>
      <c r="G210" s="10">
        <f>'G) Solidarité'!I199</f>
        <v>0</v>
      </c>
      <c r="H210" s="14">
        <f t="shared" si="10"/>
        <v>50217.555331991942</v>
      </c>
      <c r="I210" s="55">
        <f t="shared" si="11"/>
        <v>438956.19109813147</v>
      </c>
    </row>
    <row r="211" spans="1:9" x14ac:dyDescent="0.25">
      <c r="A211" s="49">
        <f>'A) Base RI'!A202</f>
        <v>5723</v>
      </c>
      <c r="B211" s="32" t="str">
        <f>'A) Base RI'!B202</f>
        <v>Mies</v>
      </c>
      <c r="C211" s="31">
        <f>'D) Ecrêtage'!C200</f>
        <v>197805.17519230774</v>
      </c>
      <c r="D211" s="14">
        <f>'A) Base RI'!AO202</f>
        <v>2172</v>
      </c>
      <c r="E211" s="10">
        <f t="shared" si="9"/>
        <v>3790746.9863649993</v>
      </c>
      <c r="F211" s="14">
        <f>'F) Population'!K203</f>
        <v>530892.55533199187</v>
      </c>
      <c r="G211" s="10">
        <f>'G) Solidarité'!I200</f>
        <v>0</v>
      </c>
      <c r="H211" s="14">
        <f t="shared" si="10"/>
        <v>530892.55533199187</v>
      </c>
      <c r="I211" s="55">
        <f t="shared" si="11"/>
        <v>3259854.4310330073</v>
      </c>
    </row>
    <row r="212" spans="1:9" x14ac:dyDescent="0.25">
      <c r="A212" s="49">
        <f>'A) Base RI'!A203</f>
        <v>5724</v>
      </c>
      <c r="B212" s="32" t="str">
        <f>'A) Base RI'!B203</f>
        <v>Nyon</v>
      </c>
      <c r="C212" s="31">
        <f>'D) Ecrêtage'!C201</f>
        <v>1415730.6761202184</v>
      </c>
      <c r="D212" s="14">
        <f>'A) Base RI'!AO203</f>
        <v>21743</v>
      </c>
      <c r="E212" s="10">
        <f t="shared" si="9"/>
        <v>27131124.293333963</v>
      </c>
      <c r="F212" s="14">
        <f>'F) Population'!K204</f>
        <v>16719494.869215289</v>
      </c>
      <c r="G212" s="10">
        <f>'G) Solidarité'!I201</f>
        <v>0</v>
      </c>
      <c r="H212" s="14">
        <f t="shared" si="10"/>
        <v>16719494.869215289</v>
      </c>
      <c r="I212" s="55">
        <f t="shared" si="11"/>
        <v>10411629.424118673</v>
      </c>
    </row>
    <row r="213" spans="1:9" x14ac:dyDescent="0.25">
      <c r="A213" s="49">
        <f>'A) Base RI'!A204</f>
        <v>5725</v>
      </c>
      <c r="B213" s="32" t="str">
        <f>'A) Base RI'!B204</f>
        <v>Prangins</v>
      </c>
      <c r="C213" s="31">
        <f>'D) Ecrêtage'!C202</f>
        <v>312804.93402597401</v>
      </c>
      <c r="D213" s="14">
        <f>'A) Base RI'!AO204</f>
        <v>4101</v>
      </c>
      <c r="E213" s="10">
        <f t="shared" si="9"/>
        <v>5994607.3697326379</v>
      </c>
      <c r="F213" s="14">
        <f>'F) Population'!K205</f>
        <v>1364429.5774647887</v>
      </c>
      <c r="G213" s="10">
        <f>'G) Solidarité'!I202</f>
        <v>0</v>
      </c>
      <c r="H213" s="14">
        <f t="shared" si="10"/>
        <v>1364429.5774647887</v>
      </c>
      <c r="I213" s="55">
        <f t="shared" si="11"/>
        <v>4630177.7922678497</v>
      </c>
    </row>
    <row r="214" spans="1:9" x14ac:dyDescent="0.25">
      <c r="A214" s="49">
        <f>'A) Base RI'!A205</f>
        <v>5726</v>
      </c>
      <c r="B214" s="32" t="str">
        <f>'A) Base RI'!B205</f>
        <v>La Rippe</v>
      </c>
      <c r="C214" s="31">
        <f>'D) Ecrêtage'!C203</f>
        <v>66324.764153846147</v>
      </c>
      <c r="D214" s="14">
        <f>'A) Base RI'!AO205</f>
        <v>1131</v>
      </c>
      <c r="E214" s="10">
        <f t="shared" si="9"/>
        <v>1271050.6668651553</v>
      </c>
      <c r="F214" s="14">
        <f>'F) Population'!K206</f>
        <v>169474.9496981891</v>
      </c>
      <c r="G214" s="10">
        <f>'G) Solidarité'!I203</f>
        <v>0</v>
      </c>
      <c r="H214" s="14">
        <f t="shared" si="10"/>
        <v>169474.9496981891</v>
      </c>
      <c r="I214" s="55">
        <f t="shared" si="11"/>
        <v>1101575.7171669663</v>
      </c>
    </row>
    <row r="215" spans="1:9" x14ac:dyDescent="0.25">
      <c r="A215" s="49">
        <f>'A) Base RI'!A206</f>
        <v>5727</v>
      </c>
      <c r="B215" s="32" t="str">
        <f>'A) Base RI'!B206</f>
        <v>Saint-Cergue</v>
      </c>
      <c r="C215" s="31">
        <f>'D) Ecrêtage'!C204</f>
        <v>105125.05141414142</v>
      </c>
      <c r="D215" s="14">
        <f>'A) Base RI'!AO206</f>
        <v>2674</v>
      </c>
      <c r="E215" s="10">
        <f t="shared" si="9"/>
        <v>2014621.0606077167</v>
      </c>
      <c r="F215" s="14">
        <f>'F) Population'!K207</f>
        <v>705178.47082494968</v>
      </c>
      <c r="G215" s="10">
        <f>'G) Solidarité'!I204</f>
        <v>413839.31020749448</v>
      </c>
      <c r="H215" s="14">
        <f t="shared" si="10"/>
        <v>1119017.7810324442</v>
      </c>
      <c r="I215" s="55">
        <f t="shared" si="11"/>
        <v>895603.27957527246</v>
      </c>
    </row>
    <row r="216" spans="1:9" x14ac:dyDescent="0.25">
      <c r="A216" s="49">
        <f>'A) Base RI'!A207</f>
        <v>5728</v>
      </c>
      <c r="B216" s="32" t="str">
        <f>'A) Base RI'!B207</f>
        <v>Signy-Avenex</v>
      </c>
      <c r="C216" s="31">
        <f>'D) Ecrêtage'!C205</f>
        <v>49286.820862068969</v>
      </c>
      <c r="D216" s="14">
        <f>'A) Base RI'!AO207</f>
        <v>581</v>
      </c>
      <c r="E216" s="10">
        <f t="shared" si="9"/>
        <v>944534.78008731664</v>
      </c>
      <c r="F216" s="14">
        <f>'F) Population'!K208</f>
        <v>72040.492957746465</v>
      </c>
      <c r="G216" s="10">
        <f>'G) Solidarité'!I205</f>
        <v>0</v>
      </c>
      <c r="H216" s="14">
        <f t="shared" si="10"/>
        <v>72040.492957746465</v>
      </c>
      <c r="I216" s="55">
        <f t="shared" si="11"/>
        <v>872494.28712957015</v>
      </c>
    </row>
    <row r="217" spans="1:9" x14ac:dyDescent="0.25">
      <c r="A217" s="49">
        <f>'A) Base RI'!A208</f>
        <v>5729</v>
      </c>
      <c r="B217" s="32" t="str">
        <f>'A) Base RI'!B208</f>
        <v>Tannay</v>
      </c>
      <c r="C217" s="31">
        <f>'D) Ecrêtage'!C206</f>
        <v>130826.66865013774</v>
      </c>
      <c r="D217" s="14">
        <f>'A) Base RI'!AO208</f>
        <v>1636</v>
      </c>
      <c r="E217" s="10">
        <f t="shared" si="9"/>
        <v>2507167.97191749</v>
      </c>
      <c r="F217" s="14">
        <f>'F) Population'!K209</f>
        <v>344802.41448692151</v>
      </c>
      <c r="G217" s="10">
        <f>'G) Solidarité'!I206</f>
        <v>0</v>
      </c>
      <c r="H217" s="14">
        <f t="shared" si="10"/>
        <v>344802.41448692151</v>
      </c>
      <c r="I217" s="55">
        <f t="shared" si="11"/>
        <v>2162365.5574305686</v>
      </c>
    </row>
    <row r="218" spans="1:9" x14ac:dyDescent="0.25">
      <c r="A218" s="49">
        <f>'A) Base RI'!A209</f>
        <v>5730</v>
      </c>
      <c r="B218" s="32" t="str">
        <f>'A) Base RI'!B209</f>
        <v>Trélex</v>
      </c>
      <c r="C218" s="31">
        <f>'D) Ecrêtage'!C207</f>
        <v>111625.98756756757</v>
      </c>
      <c r="D218" s="14">
        <f>'A) Base RI'!AO209</f>
        <v>1445</v>
      </c>
      <c r="E218" s="10">
        <f t="shared" si="9"/>
        <v>2139205.2839890965</v>
      </c>
      <c r="F218" s="14">
        <f>'F) Population'!K210</f>
        <v>278490.44265593559</v>
      </c>
      <c r="G218" s="10">
        <f>'G) Solidarité'!I207</f>
        <v>0</v>
      </c>
      <c r="H218" s="14">
        <f t="shared" si="10"/>
        <v>278490.44265593559</v>
      </c>
      <c r="I218" s="55">
        <f t="shared" si="11"/>
        <v>1860714.8413331609</v>
      </c>
    </row>
    <row r="219" spans="1:9" x14ac:dyDescent="0.25">
      <c r="A219" s="49">
        <f>'A) Base RI'!A210</f>
        <v>5731</v>
      </c>
      <c r="B219" s="32" t="str">
        <f>'A) Base RI'!B210</f>
        <v>Le Vaud</v>
      </c>
      <c r="C219" s="31">
        <f>'D) Ecrêtage'!C208</f>
        <v>63942.206576576558</v>
      </c>
      <c r="D219" s="14">
        <f>'A) Base RI'!AO210</f>
        <v>1366</v>
      </c>
      <c r="E219" s="10">
        <f t="shared" si="9"/>
        <v>1225391.2297594522</v>
      </c>
      <c r="F219" s="14">
        <f>'F) Population'!K211</f>
        <v>251062.97786720318</v>
      </c>
      <c r="G219" s="10">
        <f>'G) Solidarité'!I208</f>
        <v>40801.077712307291</v>
      </c>
      <c r="H219" s="14">
        <f t="shared" si="10"/>
        <v>291864.05557951046</v>
      </c>
      <c r="I219" s="55">
        <f t="shared" si="11"/>
        <v>933527.17417994165</v>
      </c>
    </row>
    <row r="220" spans="1:9" x14ac:dyDescent="0.25">
      <c r="A220" s="49">
        <f>'A) Base RI'!A211</f>
        <v>5732</v>
      </c>
      <c r="B220" s="32" t="str">
        <f>'A) Base RI'!B211</f>
        <v>Vich</v>
      </c>
      <c r="C220" s="31">
        <f>'D) Ecrêtage'!C209</f>
        <v>71006.972380952371</v>
      </c>
      <c r="D220" s="14">
        <f>'A) Base RI'!AO211</f>
        <v>1156</v>
      </c>
      <c r="E220" s="10">
        <f t="shared" si="9"/>
        <v>1360780.7091109182</v>
      </c>
      <c r="F220" s="14">
        <f>'F) Population'!K212</f>
        <v>178154.52716297784</v>
      </c>
      <c r="G220" s="10">
        <f>'G) Solidarité'!I209</f>
        <v>0</v>
      </c>
      <c r="H220" s="14">
        <f t="shared" si="10"/>
        <v>178154.52716297784</v>
      </c>
      <c r="I220" s="55">
        <f t="shared" si="11"/>
        <v>1182626.1819479405</v>
      </c>
    </row>
    <row r="221" spans="1:9" x14ac:dyDescent="0.25">
      <c r="A221" s="49">
        <f>'A) Base RI'!A212</f>
        <v>5741</v>
      </c>
      <c r="B221" s="32" t="str">
        <f>'A) Base RI'!B212</f>
        <v>L'Abergement</v>
      </c>
      <c r="C221" s="31">
        <f>'D) Ecrêtage'!C210</f>
        <v>7368.9297325102852</v>
      </c>
      <c r="D221" s="14">
        <f>'A) Base RI'!AO212</f>
        <v>256</v>
      </c>
      <c r="E221" s="10">
        <f t="shared" si="9"/>
        <v>141218.4901082158</v>
      </c>
      <c r="F221" s="14">
        <f>'F) Population'!K213</f>
        <v>31742.454728370216</v>
      </c>
      <c r="G221" s="10">
        <f>'G) Solidarité'!I210</f>
        <v>130626.05735075579</v>
      </c>
      <c r="H221" s="14">
        <f t="shared" si="10"/>
        <v>162368.512079126</v>
      </c>
      <c r="I221" s="55">
        <f t="shared" si="11"/>
        <v>-21150.021970910195</v>
      </c>
    </row>
    <row r="222" spans="1:9" x14ac:dyDescent="0.25">
      <c r="A222" s="49">
        <f>'A) Base RI'!A213</f>
        <v>5742</v>
      </c>
      <c r="B222" s="32" t="str">
        <f>'A) Base RI'!B213</f>
        <v>Agiez</v>
      </c>
      <c r="C222" s="31">
        <f>'D) Ecrêtage'!C211</f>
        <v>8960.136710526318</v>
      </c>
      <c r="D222" s="14">
        <f>'A) Base RI'!AO213</f>
        <v>377</v>
      </c>
      <c r="E222" s="10">
        <f t="shared" si="9"/>
        <v>171712.44988825195</v>
      </c>
      <c r="F222" s="14">
        <f>'F) Population'!K214</f>
        <v>46745.724346076451</v>
      </c>
      <c r="G222" s="10">
        <f>'G) Solidarité'!I211</f>
        <v>213190.15596092673</v>
      </c>
      <c r="H222" s="14">
        <f t="shared" si="10"/>
        <v>259935.88030700319</v>
      </c>
      <c r="I222" s="55">
        <f t="shared" si="11"/>
        <v>-88223.430418751232</v>
      </c>
    </row>
    <row r="223" spans="1:9" x14ac:dyDescent="0.25">
      <c r="A223" s="49">
        <f>'A) Base RI'!A214</f>
        <v>5743</v>
      </c>
      <c r="B223" s="32" t="str">
        <f>'A) Base RI'!B214</f>
        <v>Arnex-sur-Orbe</v>
      </c>
      <c r="C223" s="31">
        <f>'D) Ecrêtage'!C212</f>
        <v>20549.584577464786</v>
      </c>
      <c r="D223" s="14">
        <f>'A) Base RI'!AO214</f>
        <v>637</v>
      </c>
      <c r="E223" s="10">
        <f t="shared" si="9"/>
        <v>393813.13321223267</v>
      </c>
      <c r="F223" s="14">
        <f>'F) Population'!K215</f>
        <v>78984.154929577446</v>
      </c>
      <c r="G223" s="10">
        <f>'G) Solidarité'!I212</f>
        <v>204963.26227431308</v>
      </c>
      <c r="H223" s="14">
        <f t="shared" si="10"/>
        <v>283947.41720389051</v>
      </c>
      <c r="I223" s="55">
        <f t="shared" si="11"/>
        <v>109865.71600834216</v>
      </c>
    </row>
    <row r="224" spans="1:9" x14ac:dyDescent="0.25">
      <c r="A224" s="49">
        <f>'A) Base RI'!A215</f>
        <v>5744</v>
      </c>
      <c r="B224" s="32" t="str">
        <f>'A) Base RI'!B215</f>
        <v>Ballaigues</v>
      </c>
      <c r="C224" s="31">
        <f>'D) Ecrêtage'!C213</f>
        <v>40453.358769230777</v>
      </c>
      <c r="D224" s="14">
        <f>'A) Base RI'!AO215</f>
        <v>1143</v>
      </c>
      <c r="E224" s="10">
        <f t="shared" si="9"/>
        <v>775249.92808563844</v>
      </c>
      <c r="F224" s="14">
        <f>'F) Population'!K216</f>
        <v>173641.14688128768</v>
      </c>
      <c r="G224" s="10">
        <f>'G) Solidarité'!I213</f>
        <v>247554.42574995075</v>
      </c>
      <c r="H224" s="14">
        <f t="shared" si="10"/>
        <v>421195.57263123844</v>
      </c>
      <c r="I224" s="55">
        <f t="shared" si="11"/>
        <v>354054.35545440001</v>
      </c>
    </row>
    <row r="225" spans="1:9" x14ac:dyDescent="0.25">
      <c r="A225" s="49">
        <f>'A) Base RI'!A216</f>
        <v>5745</v>
      </c>
      <c r="B225" s="32" t="str">
        <f>'A) Base RI'!B216</f>
        <v>Baulmes</v>
      </c>
      <c r="C225" s="31">
        <f>'D) Ecrêtage'!C214</f>
        <v>26827.589150326792</v>
      </c>
      <c r="D225" s="14">
        <f>'A) Base RI'!AO216</f>
        <v>1074</v>
      </c>
      <c r="E225" s="10">
        <f t="shared" si="9"/>
        <v>514125.08608113724</v>
      </c>
      <c r="F225" s="14">
        <f>'F) Population'!K217</f>
        <v>149685.5130784708</v>
      </c>
      <c r="G225" s="10">
        <f>'G) Solidarité'!I214</f>
        <v>584787.2166176521</v>
      </c>
      <c r="H225" s="14">
        <f t="shared" si="10"/>
        <v>734472.72969612293</v>
      </c>
      <c r="I225" s="55">
        <f t="shared" si="11"/>
        <v>-220347.64361498569</v>
      </c>
    </row>
    <row r="226" spans="1:9" x14ac:dyDescent="0.25">
      <c r="A226" s="49">
        <f>'A) Base RI'!A217</f>
        <v>5746</v>
      </c>
      <c r="B226" s="32" t="str">
        <f>'A) Base RI'!B217</f>
        <v>Bavois</v>
      </c>
      <c r="C226" s="31">
        <f>'D) Ecrêtage'!C215</f>
        <v>30466.611141552505</v>
      </c>
      <c r="D226" s="14">
        <f>'A) Base RI'!AO217</f>
        <v>994</v>
      </c>
      <c r="E226" s="10">
        <f t="shared" si="9"/>
        <v>583863.46190039266</v>
      </c>
      <c r="F226" s="14">
        <f>'F) Population'!K218</f>
        <v>123249.99999999999</v>
      </c>
      <c r="G226" s="10">
        <f>'G) Solidarité'!I215</f>
        <v>372308.78019117319</v>
      </c>
      <c r="H226" s="14">
        <f t="shared" si="10"/>
        <v>495558.78019117319</v>
      </c>
      <c r="I226" s="55">
        <f t="shared" si="11"/>
        <v>88304.681709219469</v>
      </c>
    </row>
    <row r="227" spans="1:9" x14ac:dyDescent="0.25">
      <c r="A227" s="49">
        <f>'A) Base RI'!A218</f>
        <v>5747</v>
      </c>
      <c r="B227" s="32" t="str">
        <f>'A) Base RI'!B218</f>
        <v>Bofflens</v>
      </c>
      <c r="C227" s="31">
        <f>'D) Ecrêtage'!C216</f>
        <v>5608.7786956521741</v>
      </c>
      <c r="D227" s="14">
        <f>'A) Base RI'!AO218</f>
        <v>206</v>
      </c>
      <c r="E227" s="10">
        <f t="shared" si="9"/>
        <v>107486.87903165897</v>
      </c>
      <c r="F227" s="14">
        <f>'F) Population'!K219</f>
        <v>25542.756539235408</v>
      </c>
      <c r="G227" s="10">
        <f>'G) Solidarité'!I216</f>
        <v>82405.282595704615</v>
      </c>
      <c r="H227" s="14">
        <f t="shared" si="10"/>
        <v>107948.03913494002</v>
      </c>
      <c r="I227" s="55">
        <f t="shared" si="11"/>
        <v>-461.16010328104312</v>
      </c>
    </row>
    <row r="228" spans="1:9" x14ac:dyDescent="0.25">
      <c r="A228" s="49">
        <f>'A) Base RI'!A219</f>
        <v>5748</v>
      </c>
      <c r="B228" s="32" t="str">
        <f>'A) Base RI'!B219</f>
        <v>Bretonnières</v>
      </c>
      <c r="C228" s="31">
        <f>'D) Ecrêtage'!C217</f>
        <v>5789.9884160756492</v>
      </c>
      <c r="D228" s="14">
        <f>'A) Base RI'!AO219</f>
        <v>268</v>
      </c>
      <c r="E228" s="10">
        <f t="shared" si="9"/>
        <v>110959.59000055806</v>
      </c>
      <c r="F228" s="14">
        <f>'F) Population'!K220</f>
        <v>33230.382293762566</v>
      </c>
      <c r="G228" s="10">
        <f>'G) Solidarité'!I217</f>
        <v>141966.98923948442</v>
      </c>
      <c r="H228" s="14">
        <f t="shared" si="10"/>
        <v>175197.371533247</v>
      </c>
      <c r="I228" s="55">
        <f t="shared" si="11"/>
        <v>-64237.781532688939</v>
      </c>
    </row>
    <row r="229" spans="1:9" x14ac:dyDescent="0.25">
      <c r="A229" s="49">
        <f>'A) Base RI'!A220</f>
        <v>5749</v>
      </c>
      <c r="B229" s="32" t="str">
        <f>'A) Base RI'!B220</f>
        <v>Chavornay</v>
      </c>
      <c r="C229" s="31">
        <f>'D) Ecrêtage'!C218</f>
        <v>140676.80723404256</v>
      </c>
      <c r="D229" s="14">
        <f>'A) Base RI'!AO220</f>
        <v>5227</v>
      </c>
      <c r="E229" s="10">
        <f t="shared" si="9"/>
        <v>2695936.4564422914</v>
      </c>
      <c r="F229" s="14">
        <f>'F) Population'!K221</f>
        <v>1945415.6941649897</v>
      </c>
      <c r="G229" s="10">
        <f>'G) Solidarité'!I218</f>
        <v>2215518.3529177192</v>
      </c>
      <c r="H229" s="14">
        <f t="shared" si="10"/>
        <v>4160934.0470827091</v>
      </c>
      <c r="I229" s="55">
        <f t="shared" si="11"/>
        <v>-1464997.5906404178</v>
      </c>
    </row>
    <row r="230" spans="1:9" x14ac:dyDescent="0.25">
      <c r="A230" s="49">
        <f>'A) Base RI'!A221</f>
        <v>5750</v>
      </c>
      <c r="B230" s="32" t="str">
        <f>'A) Base RI'!B221</f>
        <v>Les Clées</v>
      </c>
      <c r="C230" s="31">
        <f>'D) Ecrêtage'!C219</f>
        <v>6037.9437500000004</v>
      </c>
      <c r="D230" s="14">
        <f>'A) Base RI'!AO221</f>
        <v>187</v>
      </c>
      <c r="E230" s="10">
        <f t="shared" si="9"/>
        <v>115711.4168115252</v>
      </c>
      <c r="F230" s="14">
        <f>'F) Population'!K222</f>
        <v>23186.87122736418</v>
      </c>
      <c r="G230" s="10">
        <f>'G) Solidarité'!I219</f>
        <v>76253.907998135954</v>
      </c>
      <c r="H230" s="14">
        <f t="shared" si="10"/>
        <v>99440.779225500126</v>
      </c>
      <c r="I230" s="55">
        <f t="shared" si="11"/>
        <v>16270.63758602507</v>
      </c>
    </row>
    <row r="231" spans="1:9" x14ac:dyDescent="0.25">
      <c r="A231" s="49">
        <f>'A) Base RI'!A222</f>
        <v>5752</v>
      </c>
      <c r="B231" s="32" t="str">
        <f>'A) Base RI'!B222</f>
        <v>Croy</v>
      </c>
      <c r="C231" s="31">
        <f>'D) Ecrêtage'!C220</f>
        <v>9416.7971235521236</v>
      </c>
      <c r="D231" s="14">
        <f>'A) Base RI'!AO222</f>
        <v>397</v>
      </c>
      <c r="E231" s="10">
        <f t="shared" si="9"/>
        <v>180463.90991849027</v>
      </c>
      <c r="F231" s="14">
        <f>'F) Population'!K223</f>
        <v>49225.603621730377</v>
      </c>
      <c r="G231" s="10">
        <f>'G) Solidarité'!I220</f>
        <v>213250.02493222544</v>
      </c>
      <c r="H231" s="14">
        <f t="shared" si="10"/>
        <v>262475.62855395582</v>
      </c>
      <c r="I231" s="55">
        <f t="shared" si="11"/>
        <v>-82011.718635465542</v>
      </c>
    </row>
    <row r="232" spans="1:9" x14ac:dyDescent="0.25">
      <c r="A232" s="49">
        <f>'A) Base RI'!A223</f>
        <v>5754</v>
      </c>
      <c r="B232" s="32" t="str">
        <f>'A) Base RI'!B223</f>
        <v>Juriens</v>
      </c>
      <c r="C232" s="31">
        <f>'D) Ecrêtage'!C221</f>
        <v>8043.7859493670894</v>
      </c>
      <c r="D232" s="14">
        <f>'A) Base RI'!AO223</f>
        <v>336</v>
      </c>
      <c r="E232" s="10">
        <f t="shared" si="9"/>
        <v>154151.46401950254</v>
      </c>
      <c r="F232" s="14">
        <f>'F) Population'!K224</f>
        <v>41661.971830985909</v>
      </c>
      <c r="G232" s="10">
        <f>'G) Solidarité'!I221</f>
        <v>203846.8551316337</v>
      </c>
      <c r="H232" s="14">
        <f t="shared" si="10"/>
        <v>245508.82696261961</v>
      </c>
      <c r="I232" s="55">
        <f t="shared" si="11"/>
        <v>-91357.36294311707</v>
      </c>
    </row>
    <row r="233" spans="1:9" x14ac:dyDescent="0.25">
      <c r="A233" s="49">
        <f>'A) Base RI'!A224</f>
        <v>5755</v>
      </c>
      <c r="B233" s="32" t="str">
        <f>'A) Base RI'!B224</f>
        <v>Lignerolle</v>
      </c>
      <c r="C233" s="31">
        <f>'D) Ecrêtage'!C222</f>
        <v>9055.2737033666963</v>
      </c>
      <c r="D233" s="14">
        <f>'A) Base RI'!AO224</f>
        <v>435</v>
      </c>
      <c r="E233" s="10">
        <f t="shared" si="9"/>
        <v>173535.65935964658</v>
      </c>
      <c r="F233" s="14">
        <f>'F) Population'!K225</f>
        <v>53937.374245472827</v>
      </c>
      <c r="G233" s="10">
        <f>'G) Solidarité'!I222</f>
        <v>294166.72453184385</v>
      </c>
      <c r="H233" s="14">
        <f t="shared" si="10"/>
        <v>348104.09877731669</v>
      </c>
      <c r="I233" s="55">
        <f t="shared" si="11"/>
        <v>-174568.4394176701</v>
      </c>
    </row>
    <row r="234" spans="1:9" x14ac:dyDescent="0.25">
      <c r="A234" s="49">
        <f>'A) Base RI'!A225</f>
        <v>5756</v>
      </c>
      <c r="B234" s="32" t="str">
        <f>'A) Base RI'!B225</f>
        <v>Montcherand</v>
      </c>
      <c r="C234" s="31">
        <f>'D) Ecrêtage'!C223</f>
        <v>15758.308611111112</v>
      </c>
      <c r="D234" s="14">
        <f>'A) Base RI'!AO225</f>
        <v>506</v>
      </c>
      <c r="E234" s="10">
        <f t="shared" si="9"/>
        <v>301992.91206462873</v>
      </c>
      <c r="F234" s="14">
        <f>'F) Population'!K226</f>
        <v>62740.945674044255</v>
      </c>
      <c r="G234" s="10">
        <f>'G) Solidarité'!I223</f>
        <v>179186.58422957105</v>
      </c>
      <c r="H234" s="14">
        <f t="shared" si="10"/>
        <v>241927.5299036153</v>
      </c>
      <c r="I234" s="55">
        <f t="shared" si="11"/>
        <v>60065.382161013433</v>
      </c>
    </row>
    <row r="235" spans="1:9" x14ac:dyDescent="0.25">
      <c r="A235" s="49">
        <f>'A) Base RI'!A226</f>
        <v>5757</v>
      </c>
      <c r="B235" s="32" t="str">
        <f>'A) Base RI'!B226</f>
        <v>Orbe</v>
      </c>
      <c r="C235" s="31">
        <f>'D) Ecrêtage'!C224</f>
        <v>203783.43483443707</v>
      </c>
      <c r="D235" s="14">
        <f>'A) Base RI'!AO226</f>
        <v>7124</v>
      </c>
      <c r="E235" s="10">
        <f t="shared" si="9"/>
        <v>3905314.6143356883</v>
      </c>
      <c r="F235" s="14">
        <f>'F) Population'!K227</f>
        <v>3074455.1307847081</v>
      </c>
      <c r="G235" s="10">
        <f>'G) Solidarité'!I224</f>
        <v>3187460.0663263071</v>
      </c>
      <c r="H235" s="14">
        <f t="shared" si="10"/>
        <v>6261915.1971110152</v>
      </c>
      <c r="I235" s="55">
        <f t="shared" si="11"/>
        <v>-2356600.5827753269</v>
      </c>
    </row>
    <row r="236" spans="1:9" x14ac:dyDescent="0.25">
      <c r="A236" s="49">
        <f>'A) Base RI'!A227</f>
        <v>5758</v>
      </c>
      <c r="B236" s="32" t="str">
        <f>'A) Base RI'!B227</f>
        <v>La Praz</v>
      </c>
      <c r="C236" s="31">
        <f>'D) Ecrêtage'!C225</f>
        <v>4313.3939759036139</v>
      </c>
      <c r="D236" s="14">
        <f>'A) Base RI'!AO227</f>
        <v>175</v>
      </c>
      <c r="E236" s="10">
        <f t="shared" si="9"/>
        <v>82662.069883990713</v>
      </c>
      <c r="F236" s="14">
        <f>'F) Population'!K228</f>
        <v>21698.943661971829</v>
      </c>
      <c r="G236" s="10">
        <f>'G) Solidarité'!I225</f>
        <v>113768.75985252581</v>
      </c>
      <c r="H236" s="14">
        <f t="shared" si="10"/>
        <v>135467.70351449764</v>
      </c>
      <c r="I236" s="55">
        <f t="shared" si="11"/>
        <v>-52805.633630506927</v>
      </c>
    </row>
    <row r="237" spans="1:9" x14ac:dyDescent="0.25">
      <c r="A237" s="49">
        <f>'A) Base RI'!A228</f>
        <v>5759</v>
      </c>
      <c r="B237" s="32" t="str">
        <f>'A) Base RI'!B228</f>
        <v>Premier</v>
      </c>
      <c r="C237" s="31">
        <f>'D) Ecrêtage'!C226</f>
        <v>5307.4840251572332</v>
      </c>
      <c r="D237" s="14">
        <f>'A) Base RI'!AO228</f>
        <v>218</v>
      </c>
      <c r="E237" s="10">
        <f t="shared" si="9"/>
        <v>101712.85485319071</v>
      </c>
      <c r="F237" s="14">
        <f>'F) Population'!K229</f>
        <v>27030.684104627762</v>
      </c>
      <c r="G237" s="10">
        <f>'G) Solidarité'!I226</f>
        <v>131690.60929654524</v>
      </c>
      <c r="H237" s="14">
        <f t="shared" si="10"/>
        <v>158721.293401173</v>
      </c>
      <c r="I237" s="55">
        <f t="shared" si="11"/>
        <v>-57008.438547982281</v>
      </c>
    </row>
    <row r="238" spans="1:9" x14ac:dyDescent="0.25">
      <c r="A238" s="49">
        <f>'A) Base RI'!A229</f>
        <v>5760</v>
      </c>
      <c r="B238" s="32" t="str">
        <f>'A) Base RI'!B229</f>
        <v>Rances</v>
      </c>
      <c r="C238" s="31">
        <f>'D) Ecrêtage'!C227</f>
        <v>12826.018997821348</v>
      </c>
      <c r="D238" s="14">
        <f>'A) Base RI'!AO229</f>
        <v>513</v>
      </c>
      <c r="E238" s="10">
        <f t="shared" si="9"/>
        <v>245798.3862949115</v>
      </c>
      <c r="F238" s="14">
        <f>'F) Population'!K230</f>
        <v>63608.903420523129</v>
      </c>
      <c r="G238" s="10">
        <f>'G) Solidarité'!I227</f>
        <v>279050.47285427462</v>
      </c>
      <c r="H238" s="14">
        <f t="shared" si="10"/>
        <v>342659.37627479772</v>
      </c>
      <c r="I238" s="55">
        <f t="shared" si="11"/>
        <v>-96860.989979886217</v>
      </c>
    </row>
    <row r="239" spans="1:9" x14ac:dyDescent="0.25">
      <c r="A239" s="49">
        <f>'A) Base RI'!A230</f>
        <v>5761</v>
      </c>
      <c r="B239" s="32" t="str">
        <f>'A) Base RI'!B230</f>
        <v>Romainmôtier-Envy</v>
      </c>
      <c r="C239" s="31">
        <f>'D) Ecrêtage'!C228</f>
        <v>12135.004377104378</v>
      </c>
      <c r="D239" s="14">
        <f>'A) Base RI'!AO230</f>
        <v>525</v>
      </c>
      <c r="E239" s="10">
        <f t="shared" si="9"/>
        <v>232555.75202879414</v>
      </c>
      <c r="F239" s="14">
        <f>'F) Population'!K231</f>
        <v>65096.830985915483</v>
      </c>
      <c r="G239" s="10">
        <f>'G) Solidarité'!I228</f>
        <v>346250.67195314949</v>
      </c>
      <c r="H239" s="14">
        <f t="shared" si="10"/>
        <v>411347.50293906499</v>
      </c>
      <c r="I239" s="55">
        <f t="shared" si="11"/>
        <v>-178791.75091027084</v>
      </c>
    </row>
    <row r="240" spans="1:9" x14ac:dyDescent="0.25">
      <c r="A240" s="49">
        <f>'A) Base RI'!A231</f>
        <v>5762</v>
      </c>
      <c r="B240" s="32" t="str">
        <f>'A) Base RI'!B231</f>
        <v>Sergey</v>
      </c>
      <c r="C240" s="31">
        <f>'D) Ecrêtage'!C229</f>
        <v>3773.0282051282052</v>
      </c>
      <c r="D240" s="14">
        <f>'A) Base RI'!AO231</f>
        <v>145</v>
      </c>
      <c r="E240" s="10">
        <f t="shared" si="9"/>
        <v>72306.476734770928</v>
      </c>
      <c r="F240" s="14">
        <f>'F) Population'!K232</f>
        <v>17979.124748490944</v>
      </c>
      <c r="G240" s="10">
        <f>'G) Solidarité'!I229</f>
        <v>78391.102283128086</v>
      </c>
      <c r="H240" s="14">
        <f t="shared" si="10"/>
        <v>96370.227031619026</v>
      </c>
      <c r="I240" s="55">
        <f t="shared" si="11"/>
        <v>-24063.750296848099</v>
      </c>
    </row>
    <row r="241" spans="1:9" x14ac:dyDescent="0.25">
      <c r="A241" s="49">
        <f>'A) Base RI'!A232</f>
        <v>5763</v>
      </c>
      <c r="B241" s="32" t="str">
        <f>'A) Base RI'!B232</f>
        <v>Valeyres-sous-Rances</v>
      </c>
      <c r="C241" s="31">
        <f>'D) Ecrêtage'!C230</f>
        <v>20456.385294117645</v>
      </c>
      <c r="D241" s="14">
        <f>'A) Base RI'!AO232</f>
        <v>609</v>
      </c>
      <c r="E241" s="10">
        <f t="shared" si="9"/>
        <v>392027.05808990041</v>
      </c>
      <c r="F241" s="14">
        <f>'F) Population'!K233</f>
        <v>75512.323943661962</v>
      </c>
      <c r="G241" s="10">
        <f>'G) Solidarité'!I230</f>
        <v>164715.90867057967</v>
      </c>
      <c r="H241" s="14">
        <f t="shared" si="10"/>
        <v>240228.23261424163</v>
      </c>
      <c r="I241" s="55">
        <f t="shared" si="11"/>
        <v>151798.82547565878</v>
      </c>
    </row>
    <row r="242" spans="1:9" x14ac:dyDescent="0.25">
      <c r="A242" s="49">
        <f>'A) Base RI'!A233</f>
        <v>5764</v>
      </c>
      <c r="B242" s="32" t="str">
        <f>'A) Base RI'!B233</f>
        <v>Vallorbe</v>
      </c>
      <c r="C242" s="31">
        <f>'D) Ecrêtage'!C231</f>
        <v>84310.704615384602</v>
      </c>
      <c r="D242" s="14">
        <f>'A) Base RI'!AO233</f>
        <v>3874</v>
      </c>
      <c r="E242" s="10">
        <f t="shared" si="9"/>
        <v>1615734.0126635246</v>
      </c>
      <c r="F242" s="14">
        <f>'F) Population'!K234</f>
        <v>1251843.0583501004</v>
      </c>
      <c r="G242" s="10">
        <f>'G) Solidarité'!I231</f>
        <v>2098178.3520278754</v>
      </c>
      <c r="H242" s="14">
        <f t="shared" si="10"/>
        <v>3350021.4103779756</v>
      </c>
      <c r="I242" s="55">
        <f t="shared" si="11"/>
        <v>-1734287.397714451</v>
      </c>
    </row>
    <row r="243" spans="1:9" x14ac:dyDescent="0.25">
      <c r="A243" s="49">
        <f>'A) Base RI'!A234</f>
        <v>5765</v>
      </c>
      <c r="B243" s="32" t="str">
        <f>'A) Base RI'!B234</f>
        <v>Vaulion</v>
      </c>
      <c r="C243" s="31">
        <f>'D) Ecrêtage'!C232</f>
        <v>11314.597037037036</v>
      </c>
      <c r="D243" s="14">
        <f>'A) Base RI'!AO234</f>
        <v>506</v>
      </c>
      <c r="E243" s="10">
        <f t="shared" si="9"/>
        <v>216833.43005754906</v>
      </c>
      <c r="F243" s="14">
        <f>'F) Population'!K235</f>
        <v>62740.945674044255</v>
      </c>
      <c r="G243" s="10">
        <f>'G) Solidarité'!I232</f>
        <v>343754.97557694762</v>
      </c>
      <c r="H243" s="14">
        <f t="shared" si="10"/>
        <v>406495.92125099187</v>
      </c>
      <c r="I243" s="55">
        <f t="shared" si="11"/>
        <v>-189662.49119344281</v>
      </c>
    </row>
    <row r="244" spans="1:9" x14ac:dyDescent="0.25">
      <c r="A244" s="49">
        <f>'A) Base RI'!A235</f>
        <v>5766</v>
      </c>
      <c r="B244" s="32" t="str">
        <f>'A) Base RI'!B235</f>
        <v>Vuiteboeuf</v>
      </c>
      <c r="C244" s="31">
        <f>'D) Ecrêtage'!C233</f>
        <v>15993.559610389608</v>
      </c>
      <c r="D244" s="14">
        <f>'A) Base RI'!AO235</f>
        <v>584</v>
      </c>
      <c r="E244" s="10">
        <f t="shared" si="9"/>
        <v>306501.27245351806</v>
      </c>
      <c r="F244" s="14">
        <f>'F) Population'!K236</f>
        <v>72412.474849094549</v>
      </c>
      <c r="G244" s="10">
        <f>'G) Solidarité'!I233</f>
        <v>288716.04208109051</v>
      </c>
      <c r="H244" s="14">
        <f t="shared" si="10"/>
        <v>361128.51693018503</v>
      </c>
      <c r="I244" s="55">
        <f t="shared" si="11"/>
        <v>-54627.244476666965</v>
      </c>
    </row>
    <row r="245" spans="1:9" x14ac:dyDescent="0.25">
      <c r="A245" s="49">
        <f>'A) Base RI'!A236</f>
        <v>5785</v>
      </c>
      <c r="B245" s="32" t="str">
        <f>'A) Base RI'!B236</f>
        <v>Corcelles-le-Jorat</v>
      </c>
      <c r="C245" s="31">
        <f>'D) Ecrêtage'!C234</f>
        <v>17506.662467532471</v>
      </c>
      <c r="D245" s="14">
        <f>'A) Base RI'!AO236</f>
        <v>451</v>
      </c>
      <c r="E245" s="10">
        <f t="shared" si="9"/>
        <v>335498.44146185264</v>
      </c>
      <c r="F245" s="14">
        <f>'F) Population'!K237</f>
        <v>55921.277665995964</v>
      </c>
      <c r="G245" s="10">
        <f>'G) Solidarité'!I234</f>
        <v>100328.57017908881</v>
      </c>
      <c r="H245" s="14">
        <f t="shared" si="10"/>
        <v>156249.84784508479</v>
      </c>
      <c r="I245" s="55">
        <f t="shared" si="11"/>
        <v>179248.59361676784</v>
      </c>
    </row>
    <row r="246" spans="1:9" x14ac:dyDescent="0.25">
      <c r="A246" s="49">
        <f>'A) Base RI'!A237</f>
        <v>5788</v>
      </c>
      <c r="B246" s="32" t="str">
        <f>'A) Base RI'!B237</f>
        <v>Essertes</v>
      </c>
      <c r="C246" s="31">
        <f>'D) Ecrêtage'!C235</f>
        <v>16224.893706293702</v>
      </c>
      <c r="D246" s="14">
        <f>'A) Base RI'!AO237</f>
        <v>389</v>
      </c>
      <c r="E246" s="10">
        <f t="shared" si="9"/>
        <v>310934.56913566682</v>
      </c>
      <c r="F246" s="14">
        <f>'F) Population'!K238</f>
        <v>48233.651911468805</v>
      </c>
      <c r="G246" s="10">
        <f>'G) Solidarité'!I235</f>
        <v>51542.773943593682</v>
      </c>
      <c r="H246" s="14">
        <f t="shared" si="10"/>
        <v>99776.425855062495</v>
      </c>
      <c r="I246" s="55">
        <f t="shared" si="11"/>
        <v>211158.14328060433</v>
      </c>
    </row>
    <row r="247" spans="1:9" x14ac:dyDescent="0.25">
      <c r="A247" s="49">
        <f>'A) Base RI'!A238</f>
        <v>5790</v>
      </c>
      <c r="B247" s="32" t="str">
        <f>'A) Base RI'!B238</f>
        <v>Maracon</v>
      </c>
      <c r="C247" s="31">
        <f>'D) Ecrêtage'!C236</f>
        <v>13398.084966442953</v>
      </c>
      <c r="D247" s="14">
        <f>'A) Base RI'!AO238</f>
        <v>538</v>
      </c>
      <c r="E247" s="10">
        <f t="shared" si="9"/>
        <v>256761.48341532829</v>
      </c>
      <c r="F247" s="14">
        <f>'F) Population'!K239</f>
        <v>66708.752515090528</v>
      </c>
      <c r="G247" s="10">
        <f>'G) Solidarité'!I236</f>
        <v>278727.3515084337</v>
      </c>
      <c r="H247" s="14">
        <f t="shared" si="10"/>
        <v>345436.10402352421</v>
      </c>
      <c r="I247" s="55">
        <f t="shared" si="11"/>
        <v>-88674.620608195924</v>
      </c>
    </row>
    <row r="248" spans="1:9" x14ac:dyDescent="0.25">
      <c r="A248" s="49">
        <f>'A) Base RI'!A239</f>
        <v>5792</v>
      </c>
      <c r="B248" s="32" t="str">
        <f>'A) Base RI'!B239</f>
        <v>Montpreveyres</v>
      </c>
      <c r="C248" s="31">
        <f>'D) Ecrêtage'!C237</f>
        <v>17609.230799999998</v>
      </c>
      <c r="D248" s="14">
        <f>'A) Base RI'!AO239</f>
        <v>653</v>
      </c>
      <c r="E248" s="10">
        <f t="shared" si="9"/>
        <v>337464.06544929254</v>
      </c>
      <c r="F248" s="14">
        <f>'F) Population'!K240</f>
        <v>80968.058350100589</v>
      </c>
      <c r="G248" s="10">
        <f>'G) Solidarité'!I237</f>
        <v>312458.63575178565</v>
      </c>
      <c r="H248" s="14">
        <f t="shared" si="10"/>
        <v>393426.69410188624</v>
      </c>
      <c r="I248" s="55">
        <f t="shared" si="11"/>
        <v>-55962.628652593703</v>
      </c>
    </row>
    <row r="249" spans="1:9" x14ac:dyDescent="0.25">
      <c r="A249" s="49">
        <f>'A) Base RI'!A240</f>
        <v>5798</v>
      </c>
      <c r="B249" s="32" t="str">
        <f>'A) Base RI'!B240</f>
        <v>Ropraz</v>
      </c>
      <c r="C249" s="31">
        <f>'D) Ecrêtage'!C238</f>
        <v>15760.164903225806</v>
      </c>
      <c r="D249" s="14">
        <f>'A) Base RI'!AO240</f>
        <v>528</v>
      </c>
      <c r="E249" s="10">
        <f t="shared" si="9"/>
        <v>302028.48612750525</v>
      </c>
      <c r="F249" s="14">
        <f>'F) Population'!K241</f>
        <v>65468.812877263568</v>
      </c>
      <c r="G249" s="10">
        <f>'G) Solidarité'!I238</f>
        <v>233099.76236252519</v>
      </c>
      <c r="H249" s="14">
        <f t="shared" si="10"/>
        <v>298568.57523978874</v>
      </c>
      <c r="I249" s="55">
        <f t="shared" si="11"/>
        <v>3459.9108877165127</v>
      </c>
    </row>
    <row r="250" spans="1:9" x14ac:dyDescent="0.25">
      <c r="A250" s="49">
        <f>'A) Base RI'!A241</f>
        <v>5799</v>
      </c>
      <c r="B250" s="32" t="str">
        <f>'A) Base RI'!B241</f>
        <v>Servion</v>
      </c>
      <c r="C250" s="31">
        <f>'D) Ecrêtage'!C239</f>
        <v>69387.22289855071</v>
      </c>
      <c r="D250" s="14">
        <f>'A) Base RI'!AO241</f>
        <v>2076</v>
      </c>
      <c r="E250" s="10">
        <f t="shared" si="9"/>
        <v>1329739.7595345944</v>
      </c>
      <c r="F250" s="14">
        <f>'F) Population'!K242</f>
        <v>497562.97786720318</v>
      </c>
      <c r="G250" s="10">
        <f>'G) Solidarité'!I239</f>
        <v>584737.2583278456</v>
      </c>
      <c r="H250" s="14">
        <f t="shared" si="10"/>
        <v>1082300.2361950488</v>
      </c>
      <c r="I250" s="55">
        <f t="shared" si="11"/>
        <v>247439.52333954559</v>
      </c>
    </row>
    <row r="251" spans="1:9" x14ac:dyDescent="0.25">
      <c r="A251" s="49">
        <f>'A) Base RI'!A242</f>
        <v>5803</v>
      </c>
      <c r="B251" s="32" t="str">
        <f>'A) Base RI'!B242</f>
        <v>Vulliens</v>
      </c>
      <c r="C251" s="31">
        <f>'D) Ecrêtage'!C240</f>
        <v>18875.933421052636</v>
      </c>
      <c r="D251" s="14">
        <f>'A) Base RI'!AO242</f>
        <v>624</v>
      </c>
      <c r="E251" s="10">
        <f t="shared" si="9"/>
        <v>361739.209609235</v>
      </c>
      <c r="F251" s="14">
        <f>'F) Population'!K243</f>
        <v>77372.233400402401</v>
      </c>
      <c r="G251" s="10">
        <f>'G) Solidarité'!I240</f>
        <v>259120.95923071646</v>
      </c>
      <c r="H251" s="14">
        <f t="shared" si="10"/>
        <v>336493.19263111887</v>
      </c>
      <c r="I251" s="55">
        <f t="shared" si="11"/>
        <v>25246.016978116124</v>
      </c>
    </row>
    <row r="252" spans="1:9" x14ac:dyDescent="0.25">
      <c r="A252" s="49">
        <f>'A) Base RI'!A243</f>
        <v>5804</v>
      </c>
      <c r="B252" s="32" t="str">
        <f>'A) Base RI'!B243</f>
        <v>Jorat-Menthue</v>
      </c>
      <c r="C252" s="31">
        <f>'D) Ecrêtage'!C241</f>
        <v>46692.865106382982</v>
      </c>
      <c r="D252" s="14">
        <f>'A) Base RI'!AO243</f>
        <v>1602</v>
      </c>
      <c r="E252" s="10">
        <f t="shared" si="9"/>
        <v>894824.09908986022</v>
      </c>
      <c r="F252" s="14">
        <f>'F) Population'!K244</f>
        <v>332998.18913480878</v>
      </c>
      <c r="G252" s="10">
        <f>'G) Solidarité'!I241</f>
        <v>607686.79886848794</v>
      </c>
      <c r="H252" s="14">
        <f t="shared" si="10"/>
        <v>940684.98800329678</v>
      </c>
      <c r="I252" s="55">
        <f t="shared" si="11"/>
        <v>-45860.88891343656</v>
      </c>
    </row>
    <row r="253" spans="1:9" x14ac:dyDescent="0.25">
      <c r="A253" s="49">
        <f>'A) Base RI'!A244</f>
        <v>5805</v>
      </c>
      <c r="B253" s="32" t="str">
        <f>'A) Base RI'!B244</f>
        <v>Oron</v>
      </c>
      <c r="C253" s="31">
        <f>'D) Ecrêtage'!C242</f>
        <v>154727.47061923583</v>
      </c>
      <c r="D253" s="14">
        <f>'A) Base RI'!AO244</f>
        <v>5663</v>
      </c>
      <c r="E253" s="10">
        <f t="shared" si="9"/>
        <v>2965203.9810764077</v>
      </c>
      <c r="F253" s="14">
        <f>'F) Population'!K245</f>
        <v>2204910.2615694162</v>
      </c>
      <c r="G253" s="10">
        <f>'G) Solidarité'!I242</f>
        <v>2255020.7377600893</v>
      </c>
      <c r="H253" s="14">
        <f t="shared" si="10"/>
        <v>4459930.9993295055</v>
      </c>
      <c r="I253" s="55">
        <f t="shared" si="11"/>
        <v>-1494727.0182530978</v>
      </c>
    </row>
    <row r="254" spans="1:9" x14ac:dyDescent="0.25">
      <c r="A254" s="49">
        <f>'A) Base RI'!A245</f>
        <v>5806</v>
      </c>
      <c r="B254" s="32" t="str">
        <f>'A) Base RI'!B245</f>
        <v>Jorat-Mézières</v>
      </c>
      <c r="C254" s="31">
        <f>'D) Ecrêtage'!C243</f>
        <v>91070.268493150696</v>
      </c>
      <c r="D254" s="14">
        <f>'A) Base RI'!AO245</f>
        <v>2966</v>
      </c>
      <c r="E254" s="10">
        <f t="shared" si="9"/>
        <v>1745274.5890102852</v>
      </c>
      <c r="F254" s="14">
        <f>'F) Population'!K246</f>
        <v>806555.93561368203</v>
      </c>
      <c r="G254" s="10">
        <f>'G) Solidarité'!I243</f>
        <v>1107494.5824110541</v>
      </c>
      <c r="H254" s="14">
        <f t="shared" si="10"/>
        <v>1914050.5180247361</v>
      </c>
      <c r="I254" s="55">
        <f t="shared" si="11"/>
        <v>-168775.92901445087</v>
      </c>
    </row>
    <row r="255" spans="1:9" x14ac:dyDescent="0.25">
      <c r="A255" s="49">
        <f>'A) Base RI'!A246</f>
        <v>5812</v>
      </c>
      <c r="B255" s="32" t="str">
        <f>'A) Base RI'!B246</f>
        <v>Champtauroz</v>
      </c>
      <c r="C255" s="31">
        <f>'D) Ecrêtage'!C244</f>
        <v>2503.1327272727272</v>
      </c>
      <c r="D255" s="14">
        <f>'A) Base RI'!AO246</f>
        <v>144</v>
      </c>
      <c r="E255" s="10">
        <f t="shared" si="9"/>
        <v>47970.14452809772</v>
      </c>
      <c r="F255" s="14">
        <f>'F) Population'!K247</f>
        <v>17855.130784708246</v>
      </c>
      <c r="G255" s="10">
        <f>'G) Solidarité'!I244</f>
        <v>105455.66841407504</v>
      </c>
      <c r="H255" s="14">
        <f t="shared" si="10"/>
        <v>123310.79919878329</v>
      </c>
      <c r="I255" s="55">
        <f t="shared" si="11"/>
        <v>-75340.654670685573</v>
      </c>
    </row>
    <row r="256" spans="1:9" x14ac:dyDescent="0.25">
      <c r="A256" s="49">
        <f>'A) Base RI'!A247</f>
        <v>5813</v>
      </c>
      <c r="B256" s="32" t="str">
        <f>'A) Base RI'!B247</f>
        <v>Chevroux</v>
      </c>
      <c r="C256" s="31">
        <f>'D) Ecrêtage'!C245</f>
        <v>15179.777080291971</v>
      </c>
      <c r="D256" s="14">
        <f>'A) Base RI'!AO247</f>
        <v>495</v>
      </c>
      <c r="E256" s="10">
        <f t="shared" si="9"/>
        <v>290905.90862886084</v>
      </c>
      <c r="F256" s="14">
        <f>'F) Population'!K248</f>
        <v>61377.012072434598</v>
      </c>
      <c r="G256" s="10">
        <f>'G) Solidarité'!I245</f>
        <v>163105.3039452213</v>
      </c>
      <c r="H256" s="14">
        <f t="shared" si="10"/>
        <v>224482.31601765589</v>
      </c>
      <c r="I256" s="55">
        <f t="shared" si="11"/>
        <v>66423.592611204949</v>
      </c>
    </row>
    <row r="257" spans="1:9" x14ac:dyDescent="0.25">
      <c r="A257" s="49">
        <f>'A) Base RI'!A248</f>
        <v>5816</v>
      </c>
      <c r="B257" s="32" t="str">
        <f>'A) Base RI'!B248</f>
        <v>Corcelles-près-Payerne</v>
      </c>
      <c r="C257" s="31">
        <f>'D) Ecrêtage'!C246</f>
        <v>60528.996913451512</v>
      </c>
      <c r="D257" s="14">
        <f>'A) Base RI'!AO248</f>
        <v>2681</v>
      </c>
      <c r="E257" s="10">
        <f t="shared" si="9"/>
        <v>1159980.3312238392</v>
      </c>
      <c r="F257" s="14">
        <f>'F) Population'!K249</f>
        <v>707608.75251509051</v>
      </c>
      <c r="G257" s="10">
        <f>'G) Solidarité'!I246</f>
        <v>1291676.1773506189</v>
      </c>
      <c r="H257" s="14">
        <f t="shared" si="10"/>
        <v>1999284.9298657095</v>
      </c>
      <c r="I257" s="55">
        <f t="shared" si="11"/>
        <v>-839304.59864187031</v>
      </c>
    </row>
    <row r="258" spans="1:9" x14ac:dyDescent="0.25">
      <c r="A258" s="49">
        <f>'A) Base RI'!A249</f>
        <v>5817</v>
      </c>
      <c r="B258" s="32" t="str">
        <f>'A) Base RI'!B249</f>
        <v>Grandcour</v>
      </c>
      <c r="C258" s="31">
        <f>'D) Ecrêtage'!C247</f>
        <v>21854.748299319726</v>
      </c>
      <c r="D258" s="14">
        <f>'A) Base RI'!AO249</f>
        <v>967</v>
      </c>
      <c r="E258" s="10">
        <f t="shared" si="9"/>
        <v>418825.3475818744</v>
      </c>
      <c r="F258" s="14">
        <f>'F) Population'!K250</f>
        <v>119902.16297786718</v>
      </c>
      <c r="G258" s="10">
        <f>'G) Solidarité'!I247</f>
        <v>535891.80420275789</v>
      </c>
      <c r="H258" s="14">
        <f t="shared" si="10"/>
        <v>655793.96718062507</v>
      </c>
      <c r="I258" s="55">
        <f t="shared" si="11"/>
        <v>-236968.61959875067</v>
      </c>
    </row>
    <row r="259" spans="1:9" x14ac:dyDescent="0.25">
      <c r="A259" s="49">
        <f>'A) Base RI'!A250</f>
        <v>5819</v>
      </c>
      <c r="B259" s="32" t="str">
        <f>'A) Base RI'!B250</f>
        <v>Henniez</v>
      </c>
      <c r="C259" s="31">
        <f>'D) Ecrêtage'!C248</f>
        <v>11468.217826086959</v>
      </c>
      <c r="D259" s="14">
        <f>'A) Base RI'!AO250</f>
        <v>396</v>
      </c>
      <c r="E259" s="10">
        <f t="shared" si="9"/>
        <v>219777.42554486557</v>
      </c>
      <c r="F259" s="14">
        <f>'F) Population'!K251</f>
        <v>49101.60965794768</v>
      </c>
      <c r="G259" s="10">
        <f>'G) Solidarité'!I248</f>
        <v>145301.0191231964</v>
      </c>
      <c r="H259" s="14">
        <f t="shared" si="10"/>
        <v>194402.62878114407</v>
      </c>
      <c r="I259" s="55">
        <f t="shared" si="11"/>
        <v>25374.796763721504</v>
      </c>
    </row>
    <row r="260" spans="1:9" x14ac:dyDescent="0.25">
      <c r="A260" s="49">
        <f>'A) Base RI'!A251</f>
        <v>5821</v>
      </c>
      <c r="B260" s="32" t="str">
        <f>'A) Base RI'!B251</f>
        <v>Missy</v>
      </c>
      <c r="C260" s="31">
        <f>'D) Ecrêtage'!C249</f>
        <v>7872.7337500000012</v>
      </c>
      <c r="D260" s="14">
        <f>'A) Base RI'!AO251</f>
        <v>368</v>
      </c>
      <c r="E260" s="10">
        <f t="shared" si="9"/>
        <v>150873.41222620895</v>
      </c>
      <c r="F260" s="14">
        <f>'F) Population'!K252</f>
        <v>45629.778672032182</v>
      </c>
      <c r="G260" s="10">
        <f>'G) Solidarité'!I249</f>
        <v>204939.30240491175</v>
      </c>
      <c r="H260" s="14">
        <f t="shared" si="10"/>
        <v>250569.08107694393</v>
      </c>
      <c r="I260" s="55">
        <f t="shared" si="11"/>
        <v>-99695.668850734975</v>
      </c>
    </row>
    <row r="261" spans="1:9" x14ac:dyDescent="0.25">
      <c r="A261" s="49">
        <f>'A) Base RI'!A252</f>
        <v>5822</v>
      </c>
      <c r="B261" s="32" t="str">
        <f>'A) Base RI'!B252</f>
        <v>Payerne</v>
      </c>
      <c r="C261" s="31">
        <f>'D) Ecrêtage'!C250</f>
        <v>237851.57178082189</v>
      </c>
      <c r="D261" s="14">
        <f>'A) Base RI'!AO252</f>
        <v>10108</v>
      </c>
      <c r="E261" s="10">
        <f t="shared" si="9"/>
        <v>4558197.8735073647</v>
      </c>
      <c r="F261" s="14">
        <f>'F) Population'!K253</f>
        <v>5125216.0965794763</v>
      </c>
      <c r="G261" s="10">
        <f>'G) Solidarité'!I250</f>
        <v>5324613.5303045325</v>
      </c>
      <c r="H261" s="14">
        <f t="shared" si="10"/>
        <v>10449829.62688401</v>
      </c>
      <c r="I261" s="55">
        <f t="shared" si="11"/>
        <v>-5891631.753376645</v>
      </c>
    </row>
    <row r="262" spans="1:9" x14ac:dyDescent="0.25">
      <c r="A262" s="49">
        <f>'A) Base RI'!A253</f>
        <v>5827</v>
      </c>
      <c r="B262" s="32" t="str">
        <f>'A) Base RI'!B253</f>
        <v>Trey</v>
      </c>
      <c r="C262" s="31">
        <f>'D) Ecrêtage'!C251</f>
        <v>6163.6291025641031</v>
      </c>
      <c r="D262" s="14">
        <f>'A) Base RI'!AO253</f>
        <v>302</v>
      </c>
      <c r="E262" s="10">
        <f t="shared" si="9"/>
        <v>118120.05637820689</v>
      </c>
      <c r="F262" s="14">
        <f>'F) Population'!K254</f>
        <v>37446.177062374241</v>
      </c>
      <c r="G262" s="10">
        <f>'G) Solidarité'!I251</f>
        <v>204635.61986536416</v>
      </c>
      <c r="H262" s="14">
        <f t="shared" si="10"/>
        <v>242081.79692773841</v>
      </c>
      <c r="I262" s="55">
        <f t="shared" si="11"/>
        <v>-123961.74054953152</v>
      </c>
    </row>
    <row r="263" spans="1:9" x14ac:dyDescent="0.25">
      <c r="A263" s="49">
        <f>'A) Base RI'!A254</f>
        <v>5828</v>
      </c>
      <c r="B263" s="32" t="str">
        <f>'A) Base RI'!B254</f>
        <v>Treytorrens (Payerne)</v>
      </c>
      <c r="C263" s="31">
        <f>'D) Ecrêtage'!C252</f>
        <v>2288.4160317460314</v>
      </c>
      <c r="D263" s="14">
        <f>'A) Base RI'!AO254</f>
        <v>114</v>
      </c>
      <c r="E263" s="10">
        <f t="shared" si="9"/>
        <v>43855.30443001254</v>
      </c>
      <c r="F263" s="14">
        <f>'F) Population'!K255</f>
        <v>14135.311871227363</v>
      </c>
      <c r="G263" s="10">
        <f>'G) Solidarité'!I252</f>
        <v>90670.597624485221</v>
      </c>
      <c r="H263" s="14">
        <f t="shared" si="10"/>
        <v>104805.90949571258</v>
      </c>
      <c r="I263" s="55">
        <f t="shared" si="11"/>
        <v>-60950.605065700038</v>
      </c>
    </row>
    <row r="264" spans="1:9" x14ac:dyDescent="0.25">
      <c r="A264" s="49">
        <f>'A) Base RI'!A255</f>
        <v>5830</v>
      </c>
      <c r="B264" s="32" t="str">
        <f>'A) Base RI'!B255</f>
        <v>Villarzel</v>
      </c>
      <c r="C264" s="31">
        <f>'D) Ecrêtage'!C253</f>
        <v>12470.916233766235</v>
      </c>
      <c r="D264" s="14">
        <f>'A) Base RI'!AO255</f>
        <v>477</v>
      </c>
      <c r="E264" s="10">
        <f t="shared" si="9"/>
        <v>238993.18146959232</v>
      </c>
      <c r="F264" s="14">
        <f>'F) Population'!K256</f>
        <v>59145.120724346067</v>
      </c>
      <c r="G264" s="10">
        <f>'G) Solidarité'!I253</f>
        <v>249907.4068473166</v>
      </c>
      <c r="H264" s="14">
        <f t="shared" si="10"/>
        <v>309052.52757166268</v>
      </c>
      <c r="I264" s="55">
        <f t="shared" si="11"/>
        <v>-70059.346102070354</v>
      </c>
    </row>
    <row r="265" spans="1:9" x14ac:dyDescent="0.25">
      <c r="A265" s="49">
        <f>'A) Base RI'!A256</f>
        <v>5831</v>
      </c>
      <c r="B265" s="32" t="str">
        <f>'A) Base RI'!B256</f>
        <v>Valbroye</v>
      </c>
      <c r="C265" s="31">
        <f>'D) Ecrêtage'!C254</f>
        <v>83756.732765957451</v>
      </c>
      <c r="D265" s="14">
        <f>'A) Base RI'!AO256</f>
        <v>3373</v>
      </c>
      <c r="E265" s="10">
        <f t="shared" si="9"/>
        <v>1605117.6720308519</v>
      </c>
      <c r="F265" s="14">
        <f>'F) Population'!K257</f>
        <v>1003359.1549295774</v>
      </c>
      <c r="G265" s="10">
        <f>'G) Solidarité'!I254</f>
        <v>1569715.2269873212</v>
      </c>
      <c r="H265" s="14">
        <f t="shared" si="10"/>
        <v>2573074.3819168983</v>
      </c>
      <c r="I265" s="55">
        <f t="shared" si="11"/>
        <v>-967956.70988604636</v>
      </c>
    </row>
    <row r="266" spans="1:9" x14ac:dyDescent="0.25">
      <c r="A266" s="49">
        <f>'A) Base RI'!A257</f>
        <v>5841</v>
      </c>
      <c r="B266" s="32" t="str">
        <f>'A) Base RI'!B257</f>
        <v>Château-d'Oex</v>
      </c>
      <c r="C266" s="31">
        <f>'D) Ecrêtage'!C255</f>
        <v>108658.39067484663</v>
      </c>
      <c r="D266" s="14">
        <f>'A) Base RI'!AO257</f>
        <v>3494</v>
      </c>
      <c r="E266" s="10">
        <f t="shared" si="9"/>
        <v>2082334.1279796984</v>
      </c>
      <c r="F266" s="14">
        <f>'F) Population'!K258</f>
        <v>1063372.2334004024</v>
      </c>
      <c r="G266" s="10">
        <f>'G) Solidarité'!I255</f>
        <v>1589488.9459723309</v>
      </c>
      <c r="H266" s="14">
        <f t="shared" si="10"/>
        <v>2652861.1793727335</v>
      </c>
      <c r="I266" s="55">
        <f t="shared" si="11"/>
        <v>-570527.0513930351</v>
      </c>
    </row>
    <row r="267" spans="1:9" x14ac:dyDescent="0.25">
      <c r="A267" s="49">
        <f>'A) Base RI'!A258</f>
        <v>5842</v>
      </c>
      <c r="B267" s="32" t="str">
        <f>'A) Base RI'!B258</f>
        <v>Rossinière</v>
      </c>
      <c r="C267" s="31">
        <f>'D) Ecrêtage'!C256</f>
        <v>14509.951028806583</v>
      </c>
      <c r="D267" s="14">
        <f>'A) Base RI'!AO258</f>
        <v>537</v>
      </c>
      <c r="E267" s="10">
        <f t="shared" si="9"/>
        <v>278069.33302567736</v>
      </c>
      <c r="F267" s="14">
        <f>'F) Population'!K259</f>
        <v>66584.758551307837</v>
      </c>
      <c r="G267" s="10">
        <f>'G) Solidarité'!I256</f>
        <v>298950.43926769687</v>
      </c>
      <c r="H267" s="14">
        <f t="shared" si="10"/>
        <v>365535.19781900471</v>
      </c>
      <c r="I267" s="55">
        <f t="shared" si="11"/>
        <v>-87465.864793327346</v>
      </c>
    </row>
    <row r="268" spans="1:9" x14ac:dyDescent="0.25">
      <c r="A268" s="49">
        <f>'A) Base RI'!A259</f>
        <v>5843</v>
      </c>
      <c r="B268" s="32" t="str">
        <f>'A) Base RI'!B259</f>
        <v>Rougemont</v>
      </c>
      <c r="C268" s="31">
        <f>'D) Ecrêtage'!C257</f>
        <v>100468.99797297297</v>
      </c>
      <c r="D268" s="14">
        <f>'A) Base RI'!AO259</f>
        <v>863</v>
      </c>
      <c r="E268" s="10">
        <f t="shared" si="9"/>
        <v>1925392.2498179872</v>
      </c>
      <c r="F268" s="14">
        <f>'F) Population'!K260</f>
        <v>107006.79074446678</v>
      </c>
      <c r="G268" s="10">
        <f>'G) Solidarité'!I257</f>
        <v>0</v>
      </c>
      <c r="H268" s="14">
        <f t="shared" si="10"/>
        <v>107006.79074446678</v>
      </c>
      <c r="I268" s="55">
        <f t="shared" si="11"/>
        <v>1818385.4590735205</v>
      </c>
    </row>
    <row r="269" spans="1:9" x14ac:dyDescent="0.25">
      <c r="A269" s="49">
        <f>'A) Base RI'!A260</f>
        <v>5851</v>
      </c>
      <c r="B269" s="32" t="str">
        <f>'A) Base RI'!B260</f>
        <v>Allaman</v>
      </c>
      <c r="C269" s="31">
        <f>'D) Ecrêtage'!C258</f>
        <v>24314.213954545452</v>
      </c>
      <c r="D269" s="14">
        <f>'A) Base RI'!AO260</f>
        <v>443</v>
      </c>
      <c r="E269" s="10">
        <f t="shared" si="9"/>
        <v>465958.65444076242</v>
      </c>
      <c r="F269" s="14">
        <f>'F) Population'!K261</f>
        <v>54929.325955734399</v>
      </c>
      <c r="G269" s="10">
        <f>'G) Solidarité'!I258</f>
        <v>0</v>
      </c>
      <c r="H269" s="14">
        <f t="shared" si="10"/>
        <v>54929.325955734399</v>
      </c>
      <c r="I269" s="55">
        <f t="shared" si="11"/>
        <v>411029.328485028</v>
      </c>
    </row>
    <row r="270" spans="1:9" x14ac:dyDescent="0.25">
      <c r="A270" s="49">
        <f>'A) Base RI'!A261</f>
        <v>5852</v>
      </c>
      <c r="B270" s="32" t="str">
        <f>'A) Base RI'!B261</f>
        <v>Bursinel</v>
      </c>
      <c r="C270" s="31">
        <f>'D) Ecrêtage'!C259</f>
        <v>40706.215623409669</v>
      </c>
      <c r="D270" s="14">
        <f>'A) Base RI'!AO261</f>
        <v>491</v>
      </c>
      <c r="E270" s="10">
        <f t="shared" si="9"/>
        <v>780095.68784409016</v>
      </c>
      <c r="F270" s="14">
        <f>'F) Population'!K262</f>
        <v>60881.036217303816</v>
      </c>
      <c r="G270" s="10">
        <f>'G) Solidarité'!I259</f>
        <v>0</v>
      </c>
      <c r="H270" s="14">
        <f t="shared" si="10"/>
        <v>60881.036217303816</v>
      </c>
      <c r="I270" s="55">
        <f t="shared" si="11"/>
        <v>719214.65162678633</v>
      </c>
    </row>
    <row r="271" spans="1:9" x14ac:dyDescent="0.25">
      <c r="A271" s="49">
        <f>'A) Base RI'!A262</f>
        <v>5853</v>
      </c>
      <c r="B271" s="32" t="str">
        <f>'A) Base RI'!B262</f>
        <v>Bursins</v>
      </c>
      <c r="C271" s="31">
        <f>'D) Ecrêtage'!C260</f>
        <v>42015.881830985905</v>
      </c>
      <c r="D271" s="14">
        <f>'A) Base RI'!AO262</f>
        <v>773</v>
      </c>
      <c r="E271" s="10">
        <f t="shared" si="9"/>
        <v>805194.18804605433</v>
      </c>
      <c r="F271" s="14">
        <f>'F) Population'!K263</f>
        <v>95847.334004024131</v>
      </c>
      <c r="G271" s="10">
        <f>'G) Solidarité'!I260</f>
        <v>0</v>
      </c>
      <c r="H271" s="14">
        <f t="shared" si="10"/>
        <v>95847.334004024131</v>
      </c>
      <c r="I271" s="55">
        <f t="shared" si="11"/>
        <v>709346.85404203017</v>
      </c>
    </row>
    <row r="272" spans="1:9" x14ac:dyDescent="0.25">
      <c r="A272" s="49">
        <f>'A) Base RI'!A263</f>
        <v>5854</v>
      </c>
      <c r="B272" s="32" t="str">
        <f>'A) Base RI'!B263</f>
        <v>Burtigny</v>
      </c>
      <c r="C272" s="31">
        <f>'D) Ecrêtage'!C261</f>
        <v>10782.893958333336</v>
      </c>
      <c r="D272" s="14">
        <f>'A) Base RI'!AO263</f>
        <v>404</v>
      </c>
      <c r="E272" s="10">
        <f t="shared" si="9"/>
        <v>206643.84911621368</v>
      </c>
      <c r="F272" s="14">
        <f>'F) Population'!K264</f>
        <v>50093.561368209244</v>
      </c>
      <c r="G272" s="10">
        <f>'G) Solidarité'!I261</f>
        <v>222813.59520136434</v>
      </c>
      <c r="H272" s="14">
        <f t="shared" si="10"/>
        <v>272907.15656957356</v>
      </c>
      <c r="I272" s="55">
        <f t="shared" si="11"/>
        <v>-66263.307453359885</v>
      </c>
    </row>
    <row r="273" spans="1:9" x14ac:dyDescent="0.25">
      <c r="A273" s="49">
        <f>'A) Base RI'!A264</f>
        <v>5855</v>
      </c>
      <c r="B273" s="32" t="str">
        <f>'A) Base RI'!B264</f>
        <v>Dully</v>
      </c>
      <c r="C273" s="31">
        <f>'D) Ecrêtage'!C262</f>
        <v>98158.514897959176</v>
      </c>
      <c r="D273" s="14">
        <f>'A) Base RI'!AO264</f>
        <v>628</v>
      </c>
      <c r="E273" s="10">
        <f t="shared" ref="E273:E324" si="12">C273*E$15</f>
        <v>1881114.0516103781</v>
      </c>
      <c r="F273" s="14">
        <f>'F) Population'!K265</f>
        <v>77868.209255533191</v>
      </c>
      <c r="G273" s="10">
        <f>'G) Solidarité'!I262</f>
        <v>0</v>
      </c>
      <c r="H273" s="14">
        <f t="shared" ref="H273:H324" si="13">F273+G273</f>
        <v>77868.209255533191</v>
      </c>
      <c r="I273" s="55">
        <f t="shared" ref="I273:I324" si="14">E273-H273</f>
        <v>1803245.8423548448</v>
      </c>
    </row>
    <row r="274" spans="1:9" x14ac:dyDescent="0.25">
      <c r="A274" s="49">
        <f>'A) Base RI'!A265</f>
        <v>5856</v>
      </c>
      <c r="B274" s="32" t="str">
        <f>'A) Base RI'!B265</f>
        <v>Essertines-sur-Rolle</v>
      </c>
      <c r="C274" s="31">
        <f>'D) Ecrêtage'!C263</f>
        <v>35711.648536726432</v>
      </c>
      <c r="D274" s="14">
        <f>'A) Base RI'!AO265</f>
        <v>740</v>
      </c>
      <c r="E274" s="10">
        <f t="shared" si="12"/>
        <v>684379.58681874874</v>
      </c>
      <c r="F274" s="14">
        <f>'F) Population'!K266</f>
        <v>91755.533199195153</v>
      </c>
      <c r="G274" s="10">
        <f>'G) Solidarité'!I263</f>
        <v>0</v>
      </c>
      <c r="H274" s="14">
        <f t="shared" si="13"/>
        <v>91755.533199195153</v>
      </c>
      <c r="I274" s="55">
        <f t="shared" si="14"/>
        <v>592624.05361955357</v>
      </c>
    </row>
    <row r="275" spans="1:9" x14ac:dyDescent="0.25">
      <c r="A275" s="49">
        <f>'A) Base RI'!A266</f>
        <v>5857</v>
      </c>
      <c r="B275" s="32" t="str">
        <f>'A) Base RI'!B266</f>
        <v>Gilly</v>
      </c>
      <c r="C275" s="31">
        <f>'D) Ecrêtage'!C264</f>
        <v>82128.423720930223</v>
      </c>
      <c r="D275" s="14">
        <f>'A) Base RI'!AO266</f>
        <v>1428</v>
      </c>
      <c r="E275" s="10">
        <f t="shared" si="12"/>
        <v>1573912.6866238378</v>
      </c>
      <c r="F275" s="14">
        <f>'F) Population'!K267</f>
        <v>272588.32997987926</v>
      </c>
      <c r="G275" s="10">
        <f>'G) Solidarité'!I264</f>
        <v>0</v>
      </c>
      <c r="H275" s="14">
        <f t="shared" si="13"/>
        <v>272588.32997987926</v>
      </c>
      <c r="I275" s="55">
        <f t="shared" si="14"/>
        <v>1301324.3566439585</v>
      </c>
    </row>
    <row r="276" spans="1:9" x14ac:dyDescent="0.25">
      <c r="A276" s="49">
        <f>'A) Base RI'!A267</f>
        <v>5858</v>
      </c>
      <c r="B276" s="32" t="str">
        <f>'A) Base RI'!B267</f>
        <v>Luins</v>
      </c>
      <c r="C276" s="31">
        <f>'D) Ecrêtage'!C265</f>
        <v>40290.677378917375</v>
      </c>
      <c r="D276" s="14">
        <f>'A) Base RI'!AO267</f>
        <v>619</v>
      </c>
      <c r="E276" s="10">
        <f t="shared" si="12"/>
        <v>772132.29484136845</v>
      </c>
      <c r="F276" s="14">
        <f>'F) Population'!K268</f>
        <v>76752.263581488922</v>
      </c>
      <c r="G276" s="10">
        <f>'G) Solidarité'!I265</f>
        <v>0</v>
      </c>
      <c r="H276" s="14">
        <f t="shared" si="13"/>
        <v>76752.263581488922</v>
      </c>
      <c r="I276" s="55">
        <f t="shared" si="14"/>
        <v>695380.03125987947</v>
      </c>
    </row>
    <row r="277" spans="1:9" x14ac:dyDescent="0.25">
      <c r="A277" s="49">
        <f>'A) Base RI'!A268</f>
        <v>5859</v>
      </c>
      <c r="B277" s="32" t="str">
        <f>'A) Base RI'!B268</f>
        <v>Mont-sur-Rolle</v>
      </c>
      <c r="C277" s="31">
        <f>'D) Ecrêtage'!C266</f>
        <v>146465.78251968499</v>
      </c>
      <c r="D277" s="14">
        <f>'A) Base RI'!AO268</f>
        <v>2646</v>
      </c>
      <c r="E277" s="10">
        <f t="shared" si="12"/>
        <v>2806876.6307671336</v>
      </c>
      <c r="F277" s="14">
        <f>'F) Population'!K269</f>
        <v>695457.34406438621</v>
      </c>
      <c r="G277" s="10">
        <f>'G) Solidarité'!I266</f>
        <v>0</v>
      </c>
      <c r="H277" s="14">
        <f t="shared" si="13"/>
        <v>695457.34406438621</v>
      </c>
      <c r="I277" s="55">
        <f t="shared" si="14"/>
        <v>2111419.2867027475</v>
      </c>
    </row>
    <row r="278" spans="1:9" x14ac:dyDescent="0.25">
      <c r="A278" s="49">
        <f>'A) Base RI'!A269</f>
        <v>5860</v>
      </c>
      <c r="B278" s="32" t="str">
        <f>'A) Base RI'!B269</f>
        <v>Perroy</v>
      </c>
      <c r="C278" s="31">
        <f>'D) Ecrêtage'!C267</f>
        <v>187175.54426035503</v>
      </c>
      <c r="D278" s="14">
        <f>'A) Base RI'!AO269</f>
        <v>1518</v>
      </c>
      <c r="E278" s="10">
        <f t="shared" si="12"/>
        <v>3587040.2765567373</v>
      </c>
      <c r="F278" s="14">
        <f>'F) Population'!K270</f>
        <v>303834.80885311868</v>
      </c>
      <c r="G278" s="10">
        <f>'G) Solidarité'!I267</f>
        <v>0</v>
      </c>
      <c r="H278" s="14">
        <f t="shared" si="13"/>
        <v>303834.80885311868</v>
      </c>
      <c r="I278" s="55">
        <f t="shared" si="14"/>
        <v>3283205.4677036186</v>
      </c>
    </row>
    <row r="279" spans="1:9" x14ac:dyDescent="0.25">
      <c r="A279" s="49">
        <f>'A) Base RI'!A270</f>
        <v>5861</v>
      </c>
      <c r="B279" s="32" t="str">
        <f>'A) Base RI'!B270</f>
        <v>Rolle</v>
      </c>
      <c r="C279" s="31">
        <f>'D) Ecrêtage'!C268</f>
        <v>1938335.8673949579</v>
      </c>
      <c r="D279" s="14">
        <f>'A) Base RI'!AO270</f>
        <v>6259</v>
      </c>
      <c r="E279" s="10">
        <f t="shared" si="12"/>
        <v>37146352.92401775</v>
      </c>
      <c r="F279" s="14">
        <f>'F) Population'!K271</f>
        <v>2559632.1931589535</v>
      </c>
      <c r="G279" s="10">
        <f>'G) Solidarité'!I268</f>
        <v>0</v>
      </c>
      <c r="H279" s="14">
        <f t="shared" si="13"/>
        <v>2559632.1931589535</v>
      </c>
      <c r="I279" s="55">
        <f t="shared" si="14"/>
        <v>34586720.730858795</v>
      </c>
    </row>
    <row r="280" spans="1:9" x14ac:dyDescent="0.25">
      <c r="A280" s="49">
        <f>'A) Base RI'!A271</f>
        <v>5862</v>
      </c>
      <c r="B280" s="32" t="str">
        <f>'A) Base RI'!B271</f>
        <v>Tartegnin</v>
      </c>
      <c r="C280" s="31">
        <f>'D) Ecrêtage'!C269</f>
        <v>8096.4381012658214</v>
      </c>
      <c r="D280" s="14">
        <f>'A) Base RI'!AO271</f>
        <v>236</v>
      </c>
      <c r="E280" s="10">
        <f t="shared" si="12"/>
        <v>155160.49215004416</v>
      </c>
      <c r="F280" s="14">
        <f>'F) Population'!K272</f>
        <v>29262.575452716294</v>
      </c>
      <c r="G280" s="10">
        <f>'G) Solidarité'!I269</f>
        <v>81916.397543697691</v>
      </c>
      <c r="H280" s="14">
        <f t="shared" si="13"/>
        <v>111178.97299641398</v>
      </c>
      <c r="I280" s="55">
        <f t="shared" si="14"/>
        <v>43981.519153630172</v>
      </c>
    </row>
    <row r="281" spans="1:9" x14ac:dyDescent="0.25">
      <c r="A281" s="49">
        <f>'A) Base RI'!A272</f>
        <v>5863</v>
      </c>
      <c r="B281" s="32" t="str">
        <f>'A) Base RI'!B272</f>
        <v>Vinzel</v>
      </c>
      <c r="C281" s="31">
        <f>'D) Ecrêtage'!C270</f>
        <v>21933.69492537314</v>
      </c>
      <c r="D281" s="14">
        <f>'A) Base RI'!AO272</f>
        <v>385</v>
      </c>
      <c r="E281" s="10">
        <f t="shared" si="12"/>
        <v>420338.28415951814</v>
      </c>
      <c r="F281" s="14">
        <f>'F) Population'!K273</f>
        <v>47737.676056338023</v>
      </c>
      <c r="G281" s="10">
        <f>'G) Solidarité'!I270</f>
        <v>0</v>
      </c>
      <c r="H281" s="14">
        <f t="shared" si="13"/>
        <v>47737.676056338023</v>
      </c>
      <c r="I281" s="55">
        <f t="shared" si="14"/>
        <v>372600.60810318013</v>
      </c>
    </row>
    <row r="282" spans="1:9" x14ac:dyDescent="0.25">
      <c r="A282" s="49">
        <f>'A) Base RI'!A273</f>
        <v>5871</v>
      </c>
      <c r="B282" s="32" t="str">
        <f>'A) Base RI'!B273</f>
        <v>L'Abbaye</v>
      </c>
      <c r="C282" s="31">
        <f>'D) Ecrêtage'!C271</f>
        <v>49513.521273852508</v>
      </c>
      <c r="D282" s="14">
        <f>'A) Base RI'!AO273</f>
        <v>1473</v>
      </c>
      <c r="E282" s="10">
        <f t="shared" si="12"/>
        <v>948879.27664530952</v>
      </c>
      <c r="F282" s="14">
        <f>'F) Population'!K274</f>
        <v>288211.56941649894</v>
      </c>
      <c r="G282" s="10">
        <f>'G) Solidarité'!I271</f>
        <v>517445.88697030838</v>
      </c>
      <c r="H282" s="14">
        <f t="shared" si="13"/>
        <v>805657.45638680737</v>
      </c>
      <c r="I282" s="55">
        <f t="shared" si="14"/>
        <v>143221.82025850215</v>
      </c>
    </row>
    <row r="283" spans="1:9" x14ac:dyDescent="0.25">
      <c r="A283" s="49">
        <f>'A) Base RI'!A274</f>
        <v>5872</v>
      </c>
      <c r="B283" s="32" t="str">
        <f>'A) Base RI'!B274</f>
        <v>Le Chenit</v>
      </c>
      <c r="C283" s="31">
        <f>'D) Ecrêtage'!C272</f>
        <v>236042.78222554145</v>
      </c>
      <c r="D283" s="14">
        <f>'A) Base RI'!AO274</f>
        <v>4600</v>
      </c>
      <c r="E283" s="10">
        <f t="shared" si="12"/>
        <v>4523534.1517468914</v>
      </c>
      <c r="F283" s="14">
        <f>'F) Population'!K275</f>
        <v>1611921.5291750501</v>
      </c>
      <c r="G283" s="10">
        <f>'G) Solidarité'!I272</f>
        <v>0</v>
      </c>
      <c r="H283" s="14">
        <f t="shared" si="13"/>
        <v>1611921.5291750501</v>
      </c>
      <c r="I283" s="55">
        <f t="shared" si="14"/>
        <v>2911612.6225718413</v>
      </c>
    </row>
    <row r="284" spans="1:9" x14ac:dyDescent="0.25">
      <c r="A284" s="49">
        <f>'A) Base RI'!A275</f>
        <v>5873</v>
      </c>
      <c r="B284" s="32" t="str">
        <f>'A) Base RI'!B275</f>
        <v>Le Lieu</v>
      </c>
      <c r="C284" s="31">
        <f>'D) Ecrêtage'!C273</f>
        <v>30440.408392857149</v>
      </c>
      <c r="D284" s="14">
        <f>'A) Base RI'!AO275</f>
        <v>888</v>
      </c>
      <c r="E284" s="10">
        <f t="shared" si="12"/>
        <v>583361.31128398527</v>
      </c>
      <c r="F284" s="14">
        <f>'F) Population'!K276</f>
        <v>110106.63983903419</v>
      </c>
      <c r="G284" s="10">
        <f>'G) Solidarité'!I273</f>
        <v>242473.9443900605</v>
      </c>
      <c r="H284" s="14">
        <f t="shared" si="13"/>
        <v>352580.58422909467</v>
      </c>
      <c r="I284" s="55">
        <f t="shared" si="14"/>
        <v>230780.72705489059</v>
      </c>
    </row>
    <row r="285" spans="1:9" x14ac:dyDescent="0.25">
      <c r="A285" s="49">
        <f>'A) Base RI'!A276</f>
        <v>5881</v>
      </c>
      <c r="B285" s="32" t="str">
        <f>'A) Base RI'!B276</f>
        <v>Blonay</v>
      </c>
      <c r="C285" s="31">
        <f>'D) Ecrêtage'!C274</f>
        <v>363266.43007299263</v>
      </c>
      <c r="D285" s="14">
        <f>'A) Base RI'!AO276</f>
        <v>6215</v>
      </c>
      <c r="E285" s="10">
        <f t="shared" si="12"/>
        <v>6961653.6761891535</v>
      </c>
      <c r="F285" s="14">
        <f>'F) Population'!K277</f>
        <v>2533444.6680080481</v>
      </c>
      <c r="G285" s="10">
        <f>'G) Solidarité'!I274</f>
        <v>0</v>
      </c>
      <c r="H285" s="14">
        <f t="shared" si="13"/>
        <v>2533444.6680080481</v>
      </c>
      <c r="I285" s="55">
        <f t="shared" si="14"/>
        <v>4428209.0081811054</v>
      </c>
    </row>
    <row r="286" spans="1:9" x14ac:dyDescent="0.25">
      <c r="A286" s="49">
        <f>'A) Base RI'!A277</f>
        <v>5882</v>
      </c>
      <c r="B286" s="32" t="str">
        <f>'A) Base RI'!B277</f>
        <v>Chardonne</v>
      </c>
      <c r="C286" s="31">
        <f>'D) Ecrêtage'!C275</f>
        <v>179032.37397058826</v>
      </c>
      <c r="D286" s="14">
        <f>'A) Base RI'!AO277</f>
        <v>3093</v>
      </c>
      <c r="E286" s="10">
        <f t="shared" si="12"/>
        <v>3430984.2067123582</v>
      </c>
      <c r="F286" s="14">
        <f>'F) Population'!K278</f>
        <v>864485.91549295769</v>
      </c>
      <c r="G286" s="10">
        <f>'G) Solidarité'!I275</f>
        <v>0</v>
      </c>
      <c r="H286" s="14">
        <f t="shared" si="13"/>
        <v>864485.91549295769</v>
      </c>
      <c r="I286" s="55">
        <f t="shared" si="14"/>
        <v>2566498.2912194002</v>
      </c>
    </row>
    <row r="287" spans="1:9" x14ac:dyDescent="0.25">
      <c r="A287" s="49">
        <f>'A) Base RI'!A278</f>
        <v>5883</v>
      </c>
      <c r="B287" s="32" t="str">
        <f>'A) Base RI'!B278</f>
        <v>Corseaux</v>
      </c>
      <c r="C287" s="31">
        <f>'D) Ecrêtage'!C276</f>
        <v>167893.40074074076</v>
      </c>
      <c r="D287" s="14">
        <f>'A) Base RI'!AO278</f>
        <v>2311</v>
      </c>
      <c r="E287" s="10">
        <f t="shared" si="12"/>
        <v>3217516.43893938</v>
      </c>
      <c r="F287" s="14">
        <f>'F) Population'!K279</f>
        <v>579151.00603621721</v>
      </c>
      <c r="G287" s="10">
        <f>'G) Solidarité'!I276</f>
        <v>0</v>
      </c>
      <c r="H287" s="14">
        <f t="shared" si="13"/>
        <v>579151.00603621721</v>
      </c>
      <c r="I287" s="55">
        <f t="shared" si="14"/>
        <v>2638365.4329031627</v>
      </c>
    </row>
    <row r="288" spans="1:9" x14ac:dyDescent="0.25">
      <c r="A288" s="49">
        <f>'A) Base RI'!A279</f>
        <v>5884</v>
      </c>
      <c r="B288" s="32" t="str">
        <f>'A) Base RI'!B279</f>
        <v>Corsier-sur-Vevey</v>
      </c>
      <c r="C288" s="31">
        <f>'D) Ecrêtage'!C277</f>
        <v>122170.7416919192</v>
      </c>
      <c r="D288" s="14">
        <f>'A) Base RI'!AO279</f>
        <v>3420</v>
      </c>
      <c r="E288" s="10">
        <f t="shared" si="12"/>
        <v>2341285.4109624391</v>
      </c>
      <c r="F288" s="14">
        <f>'F) Population'!K280</f>
        <v>1026670.0201207242</v>
      </c>
      <c r="G288" s="10">
        <f>'G) Solidarité'!I277</f>
        <v>743946.19154312101</v>
      </c>
      <c r="H288" s="14">
        <f t="shared" si="13"/>
        <v>1770616.2116638452</v>
      </c>
      <c r="I288" s="55">
        <f t="shared" si="14"/>
        <v>570669.19929859391</v>
      </c>
    </row>
    <row r="289" spans="1:9" x14ac:dyDescent="0.25">
      <c r="A289" s="49">
        <f>'A) Base RI'!A280</f>
        <v>5885</v>
      </c>
      <c r="B289" s="32" t="str">
        <f>'A) Base RI'!B280</f>
        <v>Jongny</v>
      </c>
      <c r="C289" s="31">
        <f>'D) Ecrêtage'!C278</f>
        <v>85101.213069544348</v>
      </c>
      <c r="D289" s="14">
        <f>'A) Base RI'!AO280</f>
        <v>1670</v>
      </c>
      <c r="E289" s="10">
        <f t="shared" si="12"/>
        <v>1630883.3510839615</v>
      </c>
      <c r="F289" s="14">
        <f>'F) Population'!K281</f>
        <v>356606.63983903418</v>
      </c>
      <c r="G289" s="10">
        <f>'G) Solidarité'!I278</f>
        <v>0</v>
      </c>
      <c r="H289" s="14">
        <f t="shared" si="13"/>
        <v>356606.63983903418</v>
      </c>
      <c r="I289" s="55">
        <f t="shared" si="14"/>
        <v>1274276.7112449273</v>
      </c>
    </row>
    <row r="290" spans="1:9" x14ac:dyDescent="0.25">
      <c r="A290" s="49">
        <f>'A) Base RI'!A281</f>
        <v>5886</v>
      </c>
      <c r="B290" s="32" t="str">
        <f>'A) Base RI'!B281</f>
        <v>Montreux</v>
      </c>
      <c r="C290" s="31">
        <f>'D) Ecrêtage'!C279</f>
        <v>1097075.3945128203</v>
      </c>
      <c r="D290" s="14">
        <f>'A) Base RI'!AO281</f>
        <v>26180</v>
      </c>
      <c r="E290" s="10">
        <f t="shared" si="12"/>
        <v>21024400.607929047</v>
      </c>
      <c r="F290" s="14">
        <f>'F) Population'!K282</f>
        <v>21340849.094567403</v>
      </c>
      <c r="G290" s="10">
        <f>'G) Solidarité'!I279</f>
        <v>2779917.1206155326</v>
      </c>
      <c r="H290" s="14">
        <f t="shared" si="13"/>
        <v>24120766.215182938</v>
      </c>
      <c r="I290" s="55">
        <f t="shared" si="14"/>
        <v>-3096365.6072538905</v>
      </c>
    </row>
    <row r="291" spans="1:9" x14ac:dyDescent="0.25">
      <c r="A291" s="49">
        <f>'A) Base RI'!A282</f>
        <v>5888</v>
      </c>
      <c r="B291" s="32" t="str">
        <f>'A) Base RI'!B282</f>
        <v>Saint-Légier-La Chiésaz</v>
      </c>
      <c r="C291" s="31">
        <f>'D) Ecrêtage'!C280</f>
        <v>325586.52158150851</v>
      </c>
      <c r="D291" s="14">
        <f>'A) Base RI'!AO282</f>
        <v>5522</v>
      </c>
      <c r="E291" s="10">
        <f t="shared" si="12"/>
        <v>6239554.2699337956</v>
      </c>
      <c r="F291" s="14">
        <f>'F) Population'!K283</f>
        <v>2120991.1468812875</v>
      </c>
      <c r="G291" s="10">
        <f>'G) Solidarité'!I280</f>
        <v>0</v>
      </c>
      <c r="H291" s="14">
        <f t="shared" si="13"/>
        <v>2120991.1468812875</v>
      </c>
      <c r="I291" s="55">
        <f t="shared" si="14"/>
        <v>4118563.1230525081</v>
      </c>
    </row>
    <row r="292" spans="1:9" x14ac:dyDescent="0.25">
      <c r="A292" s="49">
        <f>'A) Base RI'!A283</f>
        <v>5889</v>
      </c>
      <c r="B292" s="32" t="str">
        <f>'A) Base RI'!B283</f>
        <v>La Tour-de-Peilz</v>
      </c>
      <c r="C292" s="31">
        <f>'D) Ecrêtage'!C281</f>
        <v>675962.70015625004</v>
      </c>
      <c r="D292" s="14">
        <f>'A) Base RI'!AO283</f>
        <v>12088</v>
      </c>
      <c r="E292" s="10">
        <f t="shared" si="12"/>
        <v>12954178.60539424</v>
      </c>
      <c r="F292" s="14">
        <f>'F) Population'!K284</f>
        <v>6807764.5875251498</v>
      </c>
      <c r="G292" s="10">
        <f>'G) Solidarité'!I281</f>
        <v>0</v>
      </c>
      <c r="H292" s="14">
        <f t="shared" si="13"/>
        <v>6807764.5875251498</v>
      </c>
      <c r="I292" s="55">
        <f t="shared" si="14"/>
        <v>6146414.0178690907</v>
      </c>
    </row>
    <row r="293" spans="1:9" x14ac:dyDescent="0.25">
      <c r="A293" s="49">
        <f>'A) Base RI'!A284</f>
        <v>5890</v>
      </c>
      <c r="B293" s="32" t="str">
        <f>'A) Base RI'!B284</f>
        <v>Vevey</v>
      </c>
      <c r="C293" s="31">
        <f>'D) Ecrêtage'!C282</f>
        <v>862625.86017897108</v>
      </c>
      <c r="D293" s="14">
        <f>'A) Base RI'!AO284</f>
        <v>19780</v>
      </c>
      <c r="E293" s="10">
        <f t="shared" si="12"/>
        <v>16531399.528120708</v>
      </c>
      <c r="F293" s="14">
        <f>'F) Population'!K285</f>
        <v>14674933.601609655</v>
      </c>
      <c r="G293" s="10">
        <f>'G) Solidarité'!I282</f>
        <v>2007757.809677721</v>
      </c>
      <c r="H293" s="14">
        <f t="shared" si="13"/>
        <v>16682691.411287375</v>
      </c>
      <c r="I293" s="55">
        <f t="shared" si="14"/>
        <v>-151291.88316666707</v>
      </c>
    </row>
    <row r="294" spans="1:9" x14ac:dyDescent="0.25">
      <c r="A294" s="49">
        <f>'A) Base RI'!A285</f>
        <v>5891</v>
      </c>
      <c r="B294" s="32" t="str">
        <f>'A) Base RI'!B285</f>
        <v>Veytaux</v>
      </c>
      <c r="C294" s="31">
        <f>'D) Ecrêtage'!C283</f>
        <v>43950.38565947242</v>
      </c>
      <c r="D294" s="14">
        <f>'A) Base RI'!AO285</f>
        <v>956</v>
      </c>
      <c r="E294" s="10">
        <f t="shared" si="12"/>
        <v>842267.10360965075</v>
      </c>
      <c r="F294" s="14">
        <f>'F) Population'!K286</f>
        <v>118538.22937625753</v>
      </c>
      <c r="G294" s="10">
        <f>'G) Solidarité'!I283</f>
        <v>40686.907976724418</v>
      </c>
      <c r="H294" s="14">
        <f t="shared" si="13"/>
        <v>159225.13735298195</v>
      </c>
      <c r="I294" s="55">
        <f t="shared" si="14"/>
        <v>683041.96625666879</v>
      </c>
    </row>
    <row r="295" spans="1:9" x14ac:dyDescent="0.25">
      <c r="A295" s="49">
        <f>'A) Base RI'!A286</f>
        <v>5902</v>
      </c>
      <c r="B295" s="32" t="str">
        <f>'A) Base RI'!B286</f>
        <v>Belmont-sur-Yverdon</v>
      </c>
      <c r="C295" s="31">
        <f>'D) Ecrêtage'!C284</f>
        <v>11719.310285714289</v>
      </c>
      <c r="D295" s="14">
        <f>'A) Base RI'!AO286</f>
        <v>396</v>
      </c>
      <c r="E295" s="10">
        <f t="shared" si="12"/>
        <v>224589.37236934024</v>
      </c>
      <c r="F295" s="14">
        <f>'F) Population'!K287</f>
        <v>49101.60965794768</v>
      </c>
      <c r="G295" s="10">
        <f>'G) Solidarité'!I284</f>
        <v>144606.92947321819</v>
      </c>
      <c r="H295" s="14">
        <f t="shared" si="13"/>
        <v>193708.53913116586</v>
      </c>
      <c r="I295" s="55">
        <f t="shared" si="14"/>
        <v>30880.833238174382</v>
      </c>
    </row>
    <row r="296" spans="1:9" x14ac:dyDescent="0.25">
      <c r="A296" s="49">
        <f>'A) Base RI'!A287</f>
        <v>5903</v>
      </c>
      <c r="B296" s="32" t="str">
        <f>'A) Base RI'!B287</f>
        <v>Bioley-Magnoux</v>
      </c>
      <c r="C296" s="31">
        <f>'D) Ecrêtage'!C285</f>
        <v>5017.2132738095233</v>
      </c>
      <c r="D296" s="14">
        <f>'A) Base RI'!AO287</f>
        <v>230</v>
      </c>
      <c r="E296" s="10">
        <f t="shared" si="12"/>
        <v>96150.093541048744</v>
      </c>
      <c r="F296" s="14">
        <f>'F) Population'!K288</f>
        <v>28518.611670020116</v>
      </c>
      <c r="G296" s="10">
        <f>'G) Solidarité'!I285</f>
        <v>126074.7172290913</v>
      </c>
      <c r="H296" s="14">
        <f t="shared" si="13"/>
        <v>154593.32889911142</v>
      </c>
      <c r="I296" s="55">
        <f t="shared" si="14"/>
        <v>-58443.23535806268</v>
      </c>
    </row>
    <row r="297" spans="1:9" x14ac:dyDescent="0.25">
      <c r="A297" s="49">
        <f>'A) Base RI'!A288</f>
        <v>5904</v>
      </c>
      <c r="B297" s="32" t="str">
        <f>'A) Base RI'!B288</f>
        <v>Chamblon</v>
      </c>
      <c r="C297" s="31">
        <f>'D) Ecrêtage'!C286</f>
        <v>21694.056363636359</v>
      </c>
      <c r="D297" s="14">
        <f>'A) Base RI'!AO288</f>
        <v>559</v>
      </c>
      <c r="E297" s="10">
        <f t="shared" si="12"/>
        <v>415745.84033272043</v>
      </c>
      <c r="F297" s="14">
        <f>'F) Population'!K289</f>
        <v>69312.625754527151</v>
      </c>
      <c r="G297" s="10">
        <f>'G) Solidarité'!I286</f>
        <v>91447.590628883365</v>
      </c>
      <c r="H297" s="14">
        <f t="shared" si="13"/>
        <v>160760.2163834105</v>
      </c>
      <c r="I297" s="55">
        <f t="shared" si="14"/>
        <v>254985.62394930993</v>
      </c>
    </row>
    <row r="298" spans="1:9" x14ac:dyDescent="0.25">
      <c r="A298" s="49">
        <f>'A) Base RI'!A289</f>
        <v>5905</v>
      </c>
      <c r="B298" s="32" t="str">
        <f>'A) Base RI'!B289</f>
        <v>Champvent</v>
      </c>
      <c r="C298" s="31">
        <f>'D) Ecrêtage'!C287</f>
        <v>21673.362816901412</v>
      </c>
      <c r="D298" s="14">
        <f>'A) Base RI'!AO289</f>
        <v>696</v>
      </c>
      <c r="E298" s="10">
        <f t="shared" si="12"/>
        <v>415349.26830245665</v>
      </c>
      <c r="F298" s="14">
        <f>'F) Population'!K290</f>
        <v>86299.798792756526</v>
      </c>
      <c r="G298" s="10">
        <f>'G) Solidarité'!I287</f>
        <v>239713.65366742486</v>
      </c>
      <c r="H298" s="14">
        <f t="shared" si="13"/>
        <v>326013.45246018138</v>
      </c>
      <c r="I298" s="55">
        <f t="shared" si="14"/>
        <v>89335.815842275275</v>
      </c>
    </row>
    <row r="299" spans="1:9" x14ac:dyDescent="0.25">
      <c r="A299" s="49">
        <f>'A) Base RI'!A290</f>
        <v>5907</v>
      </c>
      <c r="B299" s="32" t="str">
        <f>'A) Base RI'!B290</f>
        <v>Chavannes-le-Chêne</v>
      </c>
      <c r="C299" s="31">
        <f>'D) Ecrêtage'!C288</f>
        <v>9891.0456000000013</v>
      </c>
      <c r="D299" s="14">
        <f>'A) Base RI'!AO290</f>
        <v>324</v>
      </c>
      <c r="E299" s="10">
        <f t="shared" si="12"/>
        <v>189552.42836162599</v>
      </c>
      <c r="F299" s="14">
        <f>'F) Population'!K291</f>
        <v>40174.044265593555</v>
      </c>
      <c r="G299" s="10">
        <f>'G) Solidarité'!I288</f>
        <v>128993.3408670256</v>
      </c>
      <c r="H299" s="14">
        <f t="shared" si="13"/>
        <v>169167.38513261915</v>
      </c>
      <c r="I299" s="55">
        <f t="shared" si="14"/>
        <v>20385.043229006842</v>
      </c>
    </row>
    <row r="300" spans="1:9" x14ac:dyDescent="0.25">
      <c r="A300" s="49">
        <f>'A) Base RI'!A291</f>
        <v>5908</v>
      </c>
      <c r="B300" s="32" t="str">
        <f>'A) Base RI'!B291</f>
        <v>Chêne-Pâquier</v>
      </c>
      <c r="C300" s="31">
        <f>'D) Ecrêtage'!C289</f>
        <v>6502.4863291139245</v>
      </c>
      <c r="D300" s="14">
        <f>'A) Base RI'!AO291</f>
        <v>144</v>
      </c>
      <c r="E300" s="10">
        <f t="shared" si="12"/>
        <v>124613.93101572795</v>
      </c>
      <c r="F300" s="14">
        <f>'F) Population'!K292</f>
        <v>17855.130784708246</v>
      </c>
      <c r="G300" s="10">
        <f>'G) Solidarité'!I289</f>
        <v>10864.512467273684</v>
      </c>
      <c r="H300" s="14">
        <f t="shared" si="13"/>
        <v>28719.643251981928</v>
      </c>
      <c r="I300" s="55">
        <f t="shared" si="14"/>
        <v>95894.287763746019</v>
      </c>
    </row>
    <row r="301" spans="1:9" x14ac:dyDescent="0.25">
      <c r="A301" s="49">
        <f>'A) Base RI'!A292</f>
        <v>5909</v>
      </c>
      <c r="B301" s="32" t="str">
        <f>'A) Base RI'!B292</f>
        <v>Cheseaux-Noréaz</v>
      </c>
      <c r="C301" s="31">
        <f>'D) Ecrêtage'!C290</f>
        <v>39259.116417910453</v>
      </c>
      <c r="D301" s="14">
        <f>'A) Base RI'!AO292</f>
        <v>741</v>
      </c>
      <c r="E301" s="10">
        <f t="shared" si="12"/>
        <v>752363.41568849969</v>
      </c>
      <c r="F301" s="14">
        <f>'F) Population'!K293</f>
        <v>91879.527162977858</v>
      </c>
      <c r="G301" s="10">
        <f>'G) Solidarité'!I290</f>
        <v>0</v>
      </c>
      <c r="H301" s="14">
        <f t="shared" si="13"/>
        <v>91879.527162977858</v>
      </c>
      <c r="I301" s="55">
        <f t="shared" si="14"/>
        <v>660483.88852552185</v>
      </c>
    </row>
    <row r="302" spans="1:9" x14ac:dyDescent="0.25">
      <c r="A302" s="49">
        <f>'A) Base RI'!A293</f>
        <v>5910</v>
      </c>
      <c r="B302" s="32" t="str">
        <f>'A) Base RI'!B293</f>
        <v>Cronay</v>
      </c>
      <c r="C302" s="31">
        <f>'D) Ecrêtage'!C291</f>
        <v>9976.0020779220758</v>
      </c>
      <c r="D302" s="14">
        <f>'A) Base RI'!AO293</f>
        <v>393</v>
      </c>
      <c r="E302" s="10">
        <f t="shared" si="12"/>
        <v>191180.5380020446</v>
      </c>
      <c r="F302" s="14">
        <f>'F) Population'!K294</f>
        <v>48729.627766599588</v>
      </c>
      <c r="G302" s="10">
        <f>'G) Solidarité'!I291</f>
        <v>213005.71154035698</v>
      </c>
      <c r="H302" s="14">
        <f t="shared" si="13"/>
        <v>261735.33930695656</v>
      </c>
      <c r="I302" s="55">
        <f t="shared" si="14"/>
        <v>-70554.801304911962</v>
      </c>
    </row>
    <row r="303" spans="1:9" x14ac:dyDescent="0.25">
      <c r="A303" s="49">
        <f>'A) Base RI'!A294</f>
        <v>5911</v>
      </c>
      <c r="B303" s="32" t="str">
        <f>'A) Base RI'!B294</f>
        <v>Cuarny</v>
      </c>
      <c r="C303" s="31">
        <f>'D) Ecrêtage'!C292</f>
        <v>6939.4670129870128</v>
      </c>
      <c r="D303" s="14">
        <f>'A) Base RI'!AO294</f>
        <v>234</v>
      </c>
      <c r="E303" s="10">
        <f t="shared" si="12"/>
        <v>132988.24785997218</v>
      </c>
      <c r="F303" s="14">
        <f>'F) Population'!K295</f>
        <v>29014.587525150899</v>
      </c>
      <c r="G303" s="10">
        <f>'G) Solidarité'!I292</f>
        <v>103050.93939272451</v>
      </c>
      <c r="H303" s="14">
        <f t="shared" si="13"/>
        <v>132065.5269178754</v>
      </c>
      <c r="I303" s="55">
        <f t="shared" si="14"/>
        <v>922.72094209678471</v>
      </c>
    </row>
    <row r="304" spans="1:9" x14ac:dyDescent="0.25">
      <c r="A304" s="49">
        <f>'A) Base RI'!A295</f>
        <v>5912</v>
      </c>
      <c r="B304" s="32" t="str">
        <f>'A) Base RI'!B295</f>
        <v>Démoret</v>
      </c>
      <c r="C304" s="31">
        <f>'D) Ecrêtage'!C293</f>
        <v>4070.6311111111104</v>
      </c>
      <c r="D304" s="14">
        <f>'A) Base RI'!AO295</f>
        <v>158</v>
      </c>
      <c r="E304" s="10">
        <f t="shared" si="12"/>
        <v>78009.751777455633</v>
      </c>
      <c r="F304" s="14">
        <f>'F) Population'!K296</f>
        <v>19591.046277665992</v>
      </c>
      <c r="G304" s="10">
        <f>'G) Solidarité'!I293</f>
        <v>93186.863509508505</v>
      </c>
      <c r="H304" s="14">
        <f t="shared" si="13"/>
        <v>112777.90978717449</v>
      </c>
      <c r="I304" s="55">
        <f t="shared" si="14"/>
        <v>-34768.158009718856</v>
      </c>
    </row>
    <row r="305" spans="1:9" x14ac:dyDescent="0.25">
      <c r="A305" s="49">
        <f>'A) Base RI'!A296</f>
        <v>5913</v>
      </c>
      <c r="B305" s="32" t="str">
        <f>'A) Base RI'!B296</f>
        <v>Donneloye</v>
      </c>
      <c r="C305" s="31">
        <f>'D) Ecrêtage'!C294</f>
        <v>19880.828493150682</v>
      </c>
      <c r="D305" s="14">
        <f>'A) Base RI'!AO296</f>
        <v>829</v>
      </c>
      <c r="E305" s="10">
        <f t="shared" si="12"/>
        <v>380997.06250648742</v>
      </c>
      <c r="F305" s="14">
        <f>'F) Population'!K297</f>
        <v>102790.99597585511</v>
      </c>
      <c r="G305" s="10">
        <f>'G) Solidarité'!I294</f>
        <v>428706.2873844275</v>
      </c>
      <c r="H305" s="14">
        <f t="shared" si="13"/>
        <v>531497.28336028266</v>
      </c>
      <c r="I305" s="55">
        <f t="shared" si="14"/>
        <v>-150500.22085379524</v>
      </c>
    </row>
    <row r="306" spans="1:9" x14ac:dyDescent="0.25">
      <c r="A306" s="49">
        <f>'A) Base RI'!A297</f>
        <v>5914</v>
      </c>
      <c r="B306" s="32" t="str">
        <f>'A) Base RI'!B297</f>
        <v>Ependes</v>
      </c>
      <c r="C306" s="31">
        <f>'D) Ecrêtage'!C295</f>
        <v>10662.074965986394</v>
      </c>
      <c r="D306" s="14">
        <f>'A) Base RI'!AO297</f>
        <v>388</v>
      </c>
      <c r="E306" s="10">
        <f t="shared" si="12"/>
        <v>204328.46868852992</v>
      </c>
      <c r="F306" s="14">
        <f>'F) Population'!K298</f>
        <v>48109.657947686108</v>
      </c>
      <c r="G306" s="10">
        <f>'G) Solidarité'!I295</f>
        <v>173991.52639023395</v>
      </c>
      <c r="H306" s="14">
        <f t="shared" si="13"/>
        <v>222101.18433792004</v>
      </c>
      <c r="I306" s="55">
        <f t="shared" si="14"/>
        <v>-17772.715649390128</v>
      </c>
    </row>
    <row r="307" spans="1:9" x14ac:dyDescent="0.25">
      <c r="A307" s="49">
        <f>'A) Base RI'!A298</f>
        <v>5919</v>
      </c>
      <c r="B307" s="32" t="str">
        <f>'A) Base RI'!B298</f>
        <v>Mathod</v>
      </c>
      <c r="C307" s="31">
        <f>'D) Ecrêtage'!C296</f>
        <v>21565.598078703704</v>
      </c>
      <c r="D307" s="14">
        <f>'A) Base RI'!AO298</f>
        <v>651</v>
      </c>
      <c r="E307" s="10">
        <f t="shared" si="12"/>
        <v>413284.06016944285</v>
      </c>
      <c r="F307" s="14">
        <f>'F) Population'!K299</f>
        <v>80720.070422535195</v>
      </c>
      <c r="G307" s="10">
        <f>'G) Solidarité'!I296</f>
        <v>203671.90109922385</v>
      </c>
      <c r="H307" s="14">
        <f t="shared" si="13"/>
        <v>284391.97152175906</v>
      </c>
      <c r="I307" s="55">
        <f t="shared" si="14"/>
        <v>128892.08864768379</v>
      </c>
    </row>
    <row r="308" spans="1:9" x14ac:dyDescent="0.25">
      <c r="A308" s="49">
        <f>'A) Base RI'!A299</f>
        <v>5921</v>
      </c>
      <c r="B308" s="32" t="str">
        <f>'A) Base RI'!B299</f>
        <v>Molondin</v>
      </c>
      <c r="C308" s="31">
        <f>'D) Ecrêtage'!C297</f>
        <v>5675.8933333333334</v>
      </c>
      <c r="D308" s="14">
        <f>'A) Base RI'!AO299</f>
        <v>252</v>
      </c>
      <c r="E308" s="10">
        <f t="shared" si="12"/>
        <v>108773.06686917885</v>
      </c>
      <c r="F308" s="14">
        <f>'F) Population'!K300</f>
        <v>31246.47887323943</v>
      </c>
      <c r="G308" s="10">
        <f>'G) Solidarité'!I297</f>
        <v>170120.05255784458</v>
      </c>
      <c r="H308" s="14">
        <f t="shared" si="13"/>
        <v>201366.531431084</v>
      </c>
      <c r="I308" s="55">
        <f t="shared" si="14"/>
        <v>-92593.464561905159</v>
      </c>
    </row>
    <row r="309" spans="1:9" x14ac:dyDescent="0.25">
      <c r="A309" s="49">
        <f>'A) Base RI'!A300</f>
        <v>5922</v>
      </c>
      <c r="B309" s="32" t="str">
        <f>'A) Base RI'!B300</f>
        <v>Montagny-près-Yverdon</v>
      </c>
      <c r="C309" s="31">
        <f>'D) Ecrêtage'!C298</f>
        <v>33326.398149606292</v>
      </c>
      <c r="D309" s="14">
        <f>'A) Base RI'!AO300</f>
        <v>737</v>
      </c>
      <c r="E309" s="10">
        <f t="shared" si="12"/>
        <v>638668.54458787164</v>
      </c>
      <c r="F309" s="14">
        <f>'F) Population'!K301</f>
        <v>91383.551307847069</v>
      </c>
      <c r="G309" s="10">
        <f>'G) Solidarité'!I298</f>
        <v>35176.756784085192</v>
      </c>
      <c r="H309" s="14">
        <f t="shared" si="13"/>
        <v>126560.30809193227</v>
      </c>
      <c r="I309" s="55">
        <f t="shared" si="14"/>
        <v>512108.23649593937</v>
      </c>
    </row>
    <row r="310" spans="1:9" x14ac:dyDescent="0.25">
      <c r="A310" s="49">
        <f>'A) Base RI'!A301</f>
        <v>5923</v>
      </c>
      <c r="B310" s="32" t="str">
        <f>'A) Base RI'!B301</f>
        <v>Oppens</v>
      </c>
      <c r="C310" s="31">
        <f>'D) Ecrêtage'!C299</f>
        <v>4799.240617283951</v>
      </c>
      <c r="D310" s="14">
        <f>'A) Base RI'!AO301</f>
        <v>201</v>
      </c>
      <c r="E310" s="10">
        <f t="shared" si="12"/>
        <v>91972.856064673455</v>
      </c>
      <c r="F310" s="14">
        <f>'F) Population'!K302</f>
        <v>24922.786720321928</v>
      </c>
      <c r="G310" s="10">
        <f>'G) Solidarité'!I299</f>
        <v>128530.07757276154</v>
      </c>
      <c r="H310" s="14">
        <f t="shared" si="13"/>
        <v>153452.86429308346</v>
      </c>
      <c r="I310" s="55">
        <f t="shared" si="14"/>
        <v>-61480.008228410006</v>
      </c>
    </row>
    <row r="311" spans="1:9" x14ac:dyDescent="0.25">
      <c r="A311" s="49">
        <f>'A) Base RI'!A302</f>
        <v>5924</v>
      </c>
      <c r="B311" s="32" t="str">
        <f>'A) Base RI'!B302</f>
        <v>Orges</v>
      </c>
      <c r="C311" s="31">
        <f>'D) Ecrêtage'!C300</f>
        <v>12525.425270270271</v>
      </c>
      <c r="D311" s="14">
        <f>'A) Base RI'!AO302</f>
        <v>343</v>
      </c>
      <c r="E311" s="10">
        <f t="shared" si="12"/>
        <v>240037.79501752628</v>
      </c>
      <c r="F311" s="14">
        <f>'F) Population'!K303</f>
        <v>42529.929577464784</v>
      </c>
      <c r="G311" s="10">
        <f>'G) Solidarité'!I300</f>
        <v>87806.529367539755</v>
      </c>
      <c r="H311" s="14">
        <f t="shared" si="13"/>
        <v>130336.45894500453</v>
      </c>
      <c r="I311" s="55">
        <f t="shared" si="14"/>
        <v>109701.33607252175</v>
      </c>
    </row>
    <row r="312" spans="1:9" x14ac:dyDescent="0.25">
      <c r="A312" s="49">
        <f>'A) Base RI'!A303</f>
        <v>5925</v>
      </c>
      <c r="B312" s="32" t="str">
        <f>'A) Base RI'!B303</f>
        <v>Orzens</v>
      </c>
      <c r="C312" s="31">
        <f>'D) Ecrêtage'!C301</f>
        <v>5879.4616455696196</v>
      </c>
      <c r="D312" s="14">
        <f>'A) Base RI'!AO303</f>
        <v>201</v>
      </c>
      <c r="E312" s="10">
        <f t="shared" si="12"/>
        <v>112674.25886468089</v>
      </c>
      <c r="F312" s="14">
        <f>'F) Population'!K304</f>
        <v>24922.786720321928</v>
      </c>
      <c r="G312" s="10">
        <f>'G) Solidarité'!I301</f>
        <v>95213.42900818726</v>
      </c>
      <c r="H312" s="14">
        <f t="shared" si="13"/>
        <v>120136.21572850918</v>
      </c>
      <c r="I312" s="55">
        <f t="shared" si="14"/>
        <v>-7461.9568638282944</v>
      </c>
    </row>
    <row r="313" spans="1:9" x14ac:dyDescent="0.25">
      <c r="A313" s="49">
        <f>'A) Base RI'!A304</f>
        <v>5926</v>
      </c>
      <c r="B313" s="32" t="str">
        <f>'A) Base RI'!B304</f>
        <v>Pomy</v>
      </c>
      <c r="C313" s="31">
        <f>'D) Ecrêtage'!C302</f>
        <v>27363.186197183099</v>
      </c>
      <c r="D313" s="14">
        <f>'A) Base RI'!AO304</f>
        <v>803</v>
      </c>
      <c r="E313" s="10">
        <f t="shared" si="12"/>
        <v>524389.29119762441</v>
      </c>
      <c r="F313" s="14">
        <f>'F) Population'!K305</f>
        <v>99567.152917505009</v>
      </c>
      <c r="G313" s="10">
        <f>'G) Solidarité'!I302</f>
        <v>228879.21858869324</v>
      </c>
      <c r="H313" s="14">
        <f t="shared" si="13"/>
        <v>328446.37150619825</v>
      </c>
      <c r="I313" s="55">
        <f t="shared" si="14"/>
        <v>195942.91969142616</v>
      </c>
    </row>
    <row r="314" spans="1:9" x14ac:dyDescent="0.25">
      <c r="A314" s="49">
        <f>'A) Base RI'!A305</f>
        <v>5928</v>
      </c>
      <c r="B314" s="32" t="str">
        <f>'A) Base RI'!B305</f>
        <v>Rovray</v>
      </c>
      <c r="C314" s="31">
        <f>'D) Ecrêtage'!C303</f>
        <v>5563.4060139860139</v>
      </c>
      <c r="D314" s="14">
        <f>'A) Base RI'!AO305</f>
        <v>204</v>
      </c>
      <c r="E314" s="10">
        <f t="shared" si="12"/>
        <v>106617.35498547525</v>
      </c>
      <c r="F314" s="14">
        <f>'F) Population'!K306</f>
        <v>25294.768611670017</v>
      </c>
      <c r="G314" s="10">
        <f>'G) Solidarité'!I303</f>
        <v>87439.514660742396</v>
      </c>
      <c r="H314" s="14">
        <f t="shared" si="13"/>
        <v>112734.28327241242</v>
      </c>
      <c r="I314" s="55">
        <f t="shared" si="14"/>
        <v>-6116.9282869371673</v>
      </c>
    </row>
    <row r="315" spans="1:9" x14ac:dyDescent="0.25">
      <c r="A315" s="49">
        <f>'A) Base RI'!A306</f>
        <v>5929</v>
      </c>
      <c r="B315" s="32" t="str">
        <f>'A) Base RI'!B306</f>
        <v>Suchy</v>
      </c>
      <c r="C315" s="31">
        <f>'D) Ecrêtage'!C304</f>
        <v>19827.403178571429</v>
      </c>
      <c r="D315" s="14">
        <f>'A) Base RI'!AO306</f>
        <v>656</v>
      </c>
      <c r="E315" s="10">
        <f t="shared" si="12"/>
        <v>379973.21745268628</v>
      </c>
      <c r="F315" s="14">
        <f>'F) Population'!K307</f>
        <v>81340.040241448674</v>
      </c>
      <c r="G315" s="10">
        <f>'G) Solidarité'!I304</f>
        <v>231419.97511507251</v>
      </c>
      <c r="H315" s="14">
        <f t="shared" si="13"/>
        <v>312760.01535652118</v>
      </c>
      <c r="I315" s="55">
        <f t="shared" si="14"/>
        <v>67213.2020961651</v>
      </c>
    </row>
    <row r="316" spans="1:9" x14ac:dyDescent="0.25">
      <c r="A316" s="49">
        <f>'A) Base RI'!A307</f>
        <v>5930</v>
      </c>
      <c r="B316" s="32" t="str">
        <f>'A) Base RI'!B307</f>
        <v>Suscévaz</v>
      </c>
      <c r="C316" s="31">
        <f>'D) Ecrêtage'!C305</f>
        <v>5769.1548611111102</v>
      </c>
      <c r="D316" s="14">
        <f>'A) Base RI'!AO307</f>
        <v>204</v>
      </c>
      <c r="E316" s="10">
        <f t="shared" si="12"/>
        <v>110560.33484648883</v>
      </c>
      <c r="F316" s="14">
        <f>'F) Population'!K308</f>
        <v>25294.768611670017</v>
      </c>
      <c r="G316" s="10">
        <f>'G) Solidarité'!I305</f>
        <v>84387.465085312739</v>
      </c>
      <c r="H316" s="14">
        <f t="shared" si="13"/>
        <v>109682.23369698276</v>
      </c>
      <c r="I316" s="55">
        <f t="shared" si="14"/>
        <v>878.10114950606658</v>
      </c>
    </row>
    <row r="317" spans="1:9" x14ac:dyDescent="0.25">
      <c r="A317" s="49">
        <f>'A) Base RI'!A308</f>
        <v>5931</v>
      </c>
      <c r="B317" s="32" t="str">
        <f>'A) Base RI'!B308</f>
        <v>Treycovagnes</v>
      </c>
      <c r="C317" s="31">
        <f>'D) Ecrêtage'!C306</f>
        <v>15383.603066666663</v>
      </c>
      <c r="D317" s="14">
        <f>'A) Base RI'!AO308</f>
        <v>485</v>
      </c>
      <c r="E317" s="10">
        <f t="shared" si="12"/>
        <v>294812.03870276589</v>
      </c>
      <c r="F317" s="14">
        <f>'F) Population'!K309</f>
        <v>60137.072434607639</v>
      </c>
      <c r="G317" s="10">
        <f>'G) Solidarité'!I306</f>
        <v>180057.59229983581</v>
      </c>
      <c r="H317" s="14">
        <f t="shared" si="13"/>
        <v>240194.66473444345</v>
      </c>
      <c r="I317" s="55">
        <f t="shared" si="14"/>
        <v>54617.373968322441</v>
      </c>
    </row>
    <row r="318" spans="1:9" x14ac:dyDescent="0.25">
      <c r="A318" s="49">
        <f>'A) Base RI'!A309</f>
        <v>5932</v>
      </c>
      <c r="B318" s="32" t="str">
        <f>'A) Base RI'!B309</f>
        <v>Ursins</v>
      </c>
      <c r="C318" s="31">
        <f>'D) Ecrêtage'!C307</f>
        <v>6819.4023999999999</v>
      </c>
      <c r="D318" s="14">
        <f>'A) Base RI'!AO309</f>
        <v>238</v>
      </c>
      <c r="E318" s="10">
        <f t="shared" si="12"/>
        <v>130687.32439117461</v>
      </c>
      <c r="F318" s="14">
        <f>'F) Population'!K310</f>
        <v>29510.563380281685</v>
      </c>
      <c r="G318" s="10">
        <f>'G) Solidarité'!I307</f>
        <v>104825.05285670581</v>
      </c>
      <c r="H318" s="14">
        <f t="shared" si="13"/>
        <v>134335.61623698749</v>
      </c>
      <c r="I318" s="55">
        <f t="shared" si="14"/>
        <v>-3648.2918458128843</v>
      </c>
    </row>
    <row r="319" spans="1:9" x14ac:dyDescent="0.25">
      <c r="A319" s="49">
        <f>'A) Base RI'!A310</f>
        <v>5933</v>
      </c>
      <c r="B319" s="32" t="str">
        <f>'A) Base RI'!B310</f>
        <v>Valeyres-sous-Montagny</v>
      </c>
      <c r="C319" s="31">
        <f>'D) Ecrêtage'!C308</f>
        <v>22572.377872340428</v>
      </c>
      <c r="D319" s="14">
        <f>'A) Base RI'!AO310</f>
        <v>714</v>
      </c>
      <c r="E319" s="10">
        <f t="shared" si="12"/>
        <v>432578.03195229033</v>
      </c>
      <c r="F319" s="14">
        <f>'F) Population'!K311</f>
        <v>88531.69014084505</v>
      </c>
      <c r="G319" s="10">
        <f>'G) Solidarité'!I308</f>
        <v>235711.84956232892</v>
      </c>
      <c r="H319" s="14">
        <f t="shared" si="13"/>
        <v>324243.53970317397</v>
      </c>
      <c r="I319" s="55">
        <f t="shared" si="14"/>
        <v>108334.49224911636</v>
      </c>
    </row>
    <row r="320" spans="1:9" x14ac:dyDescent="0.25">
      <c r="A320" s="49">
        <f>'A) Base RI'!A311</f>
        <v>5934</v>
      </c>
      <c r="B320" s="32" t="str">
        <f>'A) Base RI'!B311</f>
        <v>Valeyres-sous-Ursins</v>
      </c>
      <c r="C320" s="31">
        <f>'D) Ecrêtage'!C309</f>
        <v>7577.3788607594925</v>
      </c>
      <c r="D320" s="14">
        <f>'A) Base RI'!AO311</f>
        <v>241</v>
      </c>
      <c r="E320" s="10">
        <f t="shared" si="12"/>
        <v>145213.21827421489</v>
      </c>
      <c r="F320" s="14">
        <f>'F) Population'!K312</f>
        <v>29882.545271629773</v>
      </c>
      <c r="G320" s="10">
        <f>'G) Solidarité'!I309</f>
        <v>100943.81770261831</v>
      </c>
      <c r="H320" s="14">
        <f t="shared" si="13"/>
        <v>130826.36297424808</v>
      </c>
      <c r="I320" s="55">
        <f t="shared" si="14"/>
        <v>14386.855299966803</v>
      </c>
    </row>
    <row r="321" spans="1:9" x14ac:dyDescent="0.25">
      <c r="A321" s="49">
        <f>'A) Base RI'!A312</f>
        <v>5935</v>
      </c>
      <c r="B321" s="32" t="str">
        <f>'A) Base RI'!B312</f>
        <v>Villars-Epeney</v>
      </c>
      <c r="C321" s="31">
        <f>'D) Ecrêtage'!C310</f>
        <v>3928.2205000000004</v>
      </c>
      <c r="D321" s="14">
        <f>'A) Base RI'!AO312</f>
        <v>101</v>
      </c>
      <c r="E321" s="10">
        <f t="shared" si="12"/>
        <v>75280.588628053709</v>
      </c>
      <c r="F321" s="14">
        <f>'F) Population'!K313</f>
        <v>12523.390342052311</v>
      </c>
      <c r="G321" s="10">
        <f>'G) Solidarité'!I310</f>
        <v>13531.75919734393</v>
      </c>
      <c r="H321" s="14">
        <f t="shared" si="13"/>
        <v>26055.14953939624</v>
      </c>
      <c r="I321" s="55">
        <f t="shared" si="14"/>
        <v>49225.439088657469</v>
      </c>
    </row>
    <row r="322" spans="1:9" x14ac:dyDescent="0.25">
      <c r="A322" s="49">
        <f>'A) Base RI'!A313</f>
        <v>5937</v>
      </c>
      <c r="B322" s="32" t="str">
        <f>'A) Base RI'!B313</f>
        <v>Vugelles-La Mothe</v>
      </c>
      <c r="C322" s="31">
        <f>'D) Ecrêtage'!C311</f>
        <v>3187.6957755102044</v>
      </c>
      <c r="D322" s="14">
        <f>'A) Base RI'!AO313</f>
        <v>138</v>
      </c>
      <c r="E322" s="10">
        <f t="shared" si="12"/>
        <v>61089.140578429418</v>
      </c>
      <c r="F322" s="14">
        <f>'F) Population'!K314</f>
        <v>17111.167002012069</v>
      </c>
      <c r="G322" s="10">
        <f>'G) Solidarité'!I311</f>
        <v>68013.829831230367</v>
      </c>
      <c r="H322" s="14">
        <f t="shared" si="13"/>
        <v>85124.996833242432</v>
      </c>
      <c r="I322" s="55">
        <f t="shared" si="14"/>
        <v>-24035.856254813014</v>
      </c>
    </row>
    <row r="323" spans="1:9" x14ac:dyDescent="0.25">
      <c r="A323" s="49">
        <f>'A) Base RI'!A314</f>
        <v>5938</v>
      </c>
      <c r="B323" s="32" t="str">
        <f>'A) Base RI'!B314</f>
        <v>Yverdon-les-Bains</v>
      </c>
      <c r="C323" s="31">
        <f>'D) Ecrêtage'!C312</f>
        <v>796551.402</v>
      </c>
      <c r="D323" s="14">
        <f>'A) Base RI'!AO314</f>
        <v>29981</v>
      </c>
      <c r="E323" s="10">
        <f t="shared" si="12"/>
        <v>15265145.735852005</v>
      </c>
      <c r="F323" s="14">
        <f>'F) Population'!K315</f>
        <v>25299777.967806838</v>
      </c>
      <c r="G323" s="10">
        <f>'G) Solidarité'!I312</f>
        <v>14615194.236799946</v>
      </c>
      <c r="H323" s="14">
        <f t="shared" si="13"/>
        <v>39914972.204606786</v>
      </c>
      <c r="I323" s="55">
        <f t="shared" si="14"/>
        <v>-24649826.468754783</v>
      </c>
    </row>
    <row r="324" spans="1:9" x14ac:dyDescent="0.25">
      <c r="A324" s="49">
        <f>'A) Base RI'!A315</f>
        <v>5939</v>
      </c>
      <c r="B324" s="32" t="str">
        <f>'A) Base RI'!B315</f>
        <v>Yvonand</v>
      </c>
      <c r="C324" s="31">
        <f>'D) Ecrêtage'!C313</f>
        <v>92890.042937062928</v>
      </c>
      <c r="D324" s="14">
        <f>'A) Base RI'!AO315</f>
        <v>3467</v>
      </c>
      <c r="E324" s="10">
        <f t="shared" si="12"/>
        <v>1780148.8256545882</v>
      </c>
      <c r="F324" s="14">
        <f>'F) Population'!K316</f>
        <v>1049980.8853118711</v>
      </c>
      <c r="G324" s="10">
        <f>'G) Solidarité'!I313</f>
        <v>1520102.7402843505</v>
      </c>
      <c r="H324" s="14">
        <f t="shared" si="13"/>
        <v>2570083.6255962215</v>
      </c>
      <c r="I324" s="55">
        <f t="shared" si="14"/>
        <v>-789934.79994163336</v>
      </c>
    </row>
    <row r="325" spans="1:9" x14ac:dyDescent="0.25">
      <c r="A325" s="30"/>
      <c r="B325" s="118">
        <f>COUNTA(B16:B324)</f>
        <v>309</v>
      </c>
      <c r="C325" s="119">
        <f>SUM(C16:C324)</f>
        <v>39272473.833379671</v>
      </c>
      <c r="D325" s="11">
        <f>SUM(D16:D324)</f>
        <v>815300</v>
      </c>
      <c r="E325" s="11">
        <f>SUM(E16:E324)</f>
        <v>752619397.77990031</v>
      </c>
      <c r="F325" s="11">
        <f>SUM(F16:F324)</f>
        <v>429192507.8470825</v>
      </c>
      <c r="G325" s="11">
        <f>SUM(G16:G324)</f>
        <v>148159190.91565391</v>
      </c>
      <c r="H325" s="11">
        <f>F325+G325</f>
        <v>577351698.76273644</v>
      </c>
      <c r="I325" s="37">
        <f>E325-H325</f>
        <v>175267699.01716387</v>
      </c>
    </row>
    <row r="326" spans="1:9" x14ac:dyDescent="0.25">
      <c r="C326" s="71"/>
      <c r="D326" s="71"/>
      <c r="E326" s="36"/>
      <c r="H326" s="36"/>
      <c r="I326" s="6"/>
    </row>
    <row r="327" spans="1:9" x14ac:dyDescent="0.25">
      <c r="C327" s="5"/>
      <c r="D327" s="5"/>
      <c r="E327" s="6"/>
      <c r="F327" s="6"/>
      <c r="G327" s="6"/>
      <c r="H327" s="6"/>
      <c r="I327" s="6"/>
    </row>
    <row r="328" spans="1:9" x14ac:dyDescent="0.25">
      <c r="G328" s="12"/>
    </row>
    <row r="330" spans="1:9" x14ac:dyDescent="0.25">
      <c r="F330" s="12"/>
    </row>
    <row r="331" spans="1:9" x14ac:dyDescent="0.25">
      <c r="F331" s="12"/>
    </row>
    <row r="333" spans="1:9" x14ac:dyDescent="0.25">
      <c r="F333" s="107"/>
      <c r="G333" s="107"/>
      <c r="H333" s="107"/>
      <c r="I333" s="107"/>
    </row>
    <row r="334" spans="1:9" x14ac:dyDescent="0.25">
      <c r="E334" s="107"/>
      <c r="F334" s="107"/>
      <c r="G334" s="107"/>
      <c r="H334" s="107"/>
      <c r="I334" s="107"/>
    </row>
    <row r="335" spans="1:9" x14ac:dyDescent="0.25">
      <c r="E335" s="115"/>
      <c r="F335" s="115"/>
      <c r="G335" s="115"/>
      <c r="H335" s="115"/>
      <c r="I335" s="115"/>
    </row>
    <row r="342" spans="3:3" x14ac:dyDescent="0.25">
      <c r="C342" s="48"/>
    </row>
    <row r="343" spans="3:3" x14ac:dyDescent="0.25">
      <c r="C343" s="48"/>
    </row>
    <row r="344" spans="3:3" x14ac:dyDescent="0.25">
      <c r="C344" s="48"/>
    </row>
  </sheetData>
  <mergeCells count="4">
    <mergeCell ref="D14:D15"/>
    <mergeCell ref="C14:C15"/>
    <mergeCell ref="B14:B15"/>
    <mergeCell ref="A14:A15"/>
  </mergeCells>
  <phoneticPr fontId="21" type="noConversion"/>
  <pageMargins left="0.25" right="0.25" top="0.75" bottom="0.75" header="0.3" footer="0.3"/>
  <pageSetup paperSize="9" orientation="landscape" horizontalDpi="4294967292" verticalDpi="4294967292"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2">
    <tabColor rgb="FF00B050"/>
  </sheetPr>
  <dimension ref="A1:AQ320"/>
  <sheetViews>
    <sheetView zoomScale="80" zoomScaleNormal="80" workbookViewId="0">
      <pane ySplit="4" topLeftCell="A5" activePane="bottomLeft" state="frozen"/>
      <selection pane="bottomLeft" activeCell="A3" sqref="A3:A4"/>
    </sheetView>
  </sheetViews>
  <sheetFormatPr baseColWidth="10" defaultColWidth="10.75" defaultRowHeight="15" x14ac:dyDescent="0.25"/>
  <cols>
    <col min="1" max="1" width="7.25" style="13" customWidth="1"/>
    <col min="2" max="2" width="18" style="13" customWidth="1"/>
    <col min="3" max="3" width="14.25" style="6" bestFit="1" customWidth="1"/>
    <col min="4" max="4" width="16.25" style="6" customWidth="1"/>
    <col min="5" max="5" width="10.75" style="6" bestFit="1" customWidth="1"/>
    <col min="6" max="6" width="11.5" style="6" bestFit="1" customWidth="1"/>
    <col min="7" max="7" width="15.125" style="6" customWidth="1"/>
    <col min="8" max="8" width="13.125" style="6" bestFit="1" customWidth="1"/>
    <col min="9" max="9" width="12.25" style="6" bestFit="1" customWidth="1"/>
    <col min="10" max="10" width="13.125" style="6" bestFit="1" customWidth="1"/>
    <col min="11" max="11" width="16.875" style="6" bestFit="1" customWidth="1"/>
    <col min="12" max="12" width="13.25" style="6" bestFit="1" customWidth="1"/>
    <col min="13" max="13" width="13.125" style="6" customWidth="1"/>
    <col min="14" max="14" width="15.25" style="6" customWidth="1"/>
    <col min="15" max="15" width="14.75" style="6" customWidth="1"/>
    <col min="16" max="16" width="10.75" style="6" bestFit="1" customWidth="1"/>
    <col min="17" max="17" width="11.375" style="6" customWidth="1"/>
    <col min="18" max="18" width="11.875" style="6" customWidth="1"/>
    <col min="19" max="19" width="12.5" style="6" customWidth="1"/>
    <col min="20" max="20" width="12.875" style="6" customWidth="1"/>
    <col min="21" max="21" width="10" style="15" customWidth="1"/>
    <col min="22" max="22" width="2.5" style="13" customWidth="1"/>
    <col min="23" max="23" width="10.875" style="410" bestFit="1" customWidth="1"/>
    <col min="24" max="24" width="11.75" style="410" bestFit="1" customWidth="1"/>
    <col min="25" max="25" width="11.125" style="410" bestFit="1" customWidth="1"/>
    <col min="26" max="27" width="10.625" style="410" bestFit="1" customWidth="1"/>
    <col min="28" max="28" width="12.75" style="410" bestFit="1" customWidth="1"/>
    <col min="29" max="43" width="10.75" style="410"/>
    <col min="44" max="16384" width="10.75" style="13"/>
  </cols>
  <sheetData>
    <row r="1" spans="1:33" s="43" customFormat="1" ht="20.25" customHeight="1" x14ac:dyDescent="0.25">
      <c r="A1" s="51" t="s">
        <v>139</v>
      </c>
      <c r="B1" s="42"/>
      <c r="C1" s="44"/>
      <c r="D1" s="44"/>
      <c r="E1" s="44"/>
      <c r="F1" s="44"/>
      <c r="G1" s="44"/>
      <c r="H1" s="44"/>
      <c r="I1" s="44"/>
      <c r="J1" s="44"/>
      <c r="K1" s="44"/>
      <c r="L1" s="44"/>
      <c r="M1" s="44"/>
      <c r="N1" s="44"/>
      <c r="O1" s="44"/>
      <c r="P1" s="287"/>
      <c r="Q1" s="44"/>
      <c r="R1" s="287"/>
      <c r="S1" s="44"/>
      <c r="T1" s="44"/>
      <c r="U1" s="134"/>
      <c r="V1" s="13"/>
    </row>
    <row r="3" spans="1:33" ht="60" customHeight="1" x14ac:dyDescent="0.25">
      <c r="A3" s="572" t="s">
        <v>46</v>
      </c>
      <c r="B3" s="572" t="s">
        <v>96</v>
      </c>
      <c r="C3" s="569" t="s">
        <v>532</v>
      </c>
      <c r="D3" s="481" t="s">
        <v>592</v>
      </c>
      <c r="E3" s="596" t="s">
        <v>591</v>
      </c>
      <c r="F3" s="597"/>
      <c r="G3" s="569" t="s">
        <v>593</v>
      </c>
      <c r="H3" s="569" t="s">
        <v>328</v>
      </c>
      <c r="I3" s="569" t="s">
        <v>329</v>
      </c>
      <c r="J3" s="569" t="s">
        <v>301</v>
      </c>
      <c r="K3" s="569" t="s">
        <v>44</v>
      </c>
      <c r="L3" s="283" t="s">
        <v>302</v>
      </c>
      <c r="M3" s="283" t="s">
        <v>213</v>
      </c>
      <c r="N3" s="481" t="s">
        <v>594</v>
      </c>
      <c r="O3" s="481" t="s">
        <v>591</v>
      </c>
      <c r="P3" s="569" t="s">
        <v>595</v>
      </c>
      <c r="Q3" s="569" t="s">
        <v>45</v>
      </c>
      <c r="R3" s="283" t="s">
        <v>214</v>
      </c>
      <c r="S3" s="283" t="s">
        <v>213</v>
      </c>
      <c r="T3" s="288" t="s">
        <v>366</v>
      </c>
      <c r="U3" s="322" t="s">
        <v>518</v>
      </c>
    </row>
    <row r="4" spans="1:33" x14ac:dyDescent="0.25">
      <c r="A4" s="573"/>
      <c r="B4" s="574"/>
      <c r="C4" s="570"/>
      <c r="D4" s="482"/>
      <c r="E4" s="517" t="s">
        <v>453</v>
      </c>
      <c r="F4" s="517" t="s">
        <v>615</v>
      </c>
      <c r="G4" s="570"/>
      <c r="H4" s="570"/>
      <c r="I4" s="571"/>
      <c r="J4" s="570"/>
      <c r="K4" s="571"/>
      <c r="L4" s="285">
        <f>Paramètres!B41</f>
        <v>8</v>
      </c>
      <c r="M4" s="433">
        <f>+Paramètres!C41</f>
        <v>0.75</v>
      </c>
      <c r="N4" s="482"/>
      <c r="O4" s="482"/>
      <c r="P4" s="570"/>
      <c r="Q4" s="570"/>
      <c r="R4" s="293">
        <f>Paramètres!B42</f>
        <v>1</v>
      </c>
      <c r="S4" s="433">
        <f>+Paramètres!C42</f>
        <v>0.75</v>
      </c>
      <c r="T4" s="289" t="s">
        <v>453</v>
      </c>
      <c r="U4" s="324" t="s">
        <v>454</v>
      </c>
    </row>
    <row r="5" spans="1:33" x14ac:dyDescent="0.25">
      <c r="A5" s="46">
        <f>+'A) Base RI'!A7</f>
        <v>5401</v>
      </c>
      <c r="B5" s="484" t="str">
        <f>+'A) Base RI'!B7</f>
        <v>Aigle</v>
      </c>
      <c r="C5" s="303">
        <f>+'D) Ecrêtage'!C5</f>
        <v>284723.80196969694</v>
      </c>
      <c r="D5" s="440">
        <v>891225</v>
      </c>
      <c r="E5" s="440">
        <f>G5-D5</f>
        <v>3361530</v>
      </c>
      <c r="F5" s="518">
        <f>+E5/C5</f>
        <v>11.806283762527752</v>
      </c>
      <c r="G5" s="439">
        <v>4252755</v>
      </c>
      <c r="H5" s="439">
        <v>2138970</v>
      </c>
      <c r="I5" s="438">
        <v>38924</v>
      </c>
      <c r="J5" s="303">
        <f>SUM(G5:I5)</f>
        <v>6430649</v>
      </c>
      <c r="K5" s="284">
        <f>+C5*$L$4</f>
        <v>2277790.4157575755</v>
      </c>
      <c r="L5" s="54">
        <f>IF(J5&gt;K5,J5-K5,0)</f>
        <v>4152858.5842424245</v>
      </c>
      <c r="M5" s="301">
        <f>-L5*M$4</f>
        <v>-3114643.9381818185</v>
      </c>
      <c r="N5" s="10">
        <v>0</v>
      </c>
      <c r="O5" s="10">
        <f>P5-N5</f>
        <v>340363</v>
      </c>
      <c r="P5" s="443">
        <v>340363</v>
      </c>
      <c r="Q5" s="54">
        <f>C5*R$4</f>
        <v>284723.80196969694</v>
      </c>
      <c r="R5" s="69">
        <f>IF(P5&gt;Q5,P5-Q5,0)</f>
        <v>55639.198030303058</v>
      </c>
      <c r="S5" s="128">
        <f>-R5*S$4</f>
        <v>-41729.398522727293</v>
      </c>
      <c r="T5" s="129">
        <f>S5+M5</f>
        <v>-3156373.3367045457</v>
      </c>
      <c r="U5" s="437">
        <f>+T5/C5</f>
        <v>-11.085737528330974</v>
      </c>
      <c r="V5" s="124"/>
      <c r="W5" s="526"/>
      <c r="X5" s="526"/>
      <c r="Y5" s="526"/>
      <c r="Z5" s="526"/>
      <c r="AA5" s="526"/>
      <c r="AB5" s="526"/>
      <c r="AC5" s="423"/>
      <c r="AD5" s="423"/>
      <c r="AE5" s="423"/>
      <c r="AF5" s="423"/>
      <c r="AG5" s="423"/>
    </row>
    <row r="6" spans="1:33" x14ac:dyDescent="0.25">
      <c r="A6" s="49">
        <f>+'A) Base RI'!A8</f>
        <v>5402</v>
      </c>
      <c r="B6" s="484" t="str">
        <f>+'A) Base RI'!B8</f>
        <v>Bex</v>
      </c>
      <c r="C6" s="304">
        <f>+'D) Ecrêtage'!C6</f>
        <v>179259.20338028169</v>
      </c>
      <c r="D6" s="440">
        <v>597240</v>
      </c>
      <c r="E6" s="440">
        <f t="shared" ref="E6:E69" si="0">G6-D6</f>
        <v>2402739</v>
      </c>
      <c r="F6" s="518">
        <f t="shared" ref="F6:F69" si="1">+E6/C6</f>
        <v>13.403713475747258</v>
      </c>
      <c r="G6" s="440">
        <v>2999979</v>
      </c>
      <c r="H6" s="440">
        <v>706434</v>
      </c>
      <c r="I6" s="438">
        <v>199782</v>
      </c>
      <c r="J6" s="304">
        <f t="shared" ref="J6:J69" si="2">SUM(G6:I6)</f>
        <v>3906195</v>
      </c>
      <c r="K6" s="284">
        <f t="shared" ref="K6:K69" si="3">+C6*$L$4</f>
        <v>1434073.6270422535</v>
      </c>
      <c r="L6" s="10">
        <f t="shared" ref="L6:L69" si="4">IF(J6&gt;K6,J6-K6,0)</f>
        <v>2472121.3729577465</v>
      </c>
      <c r="M6" s="301">
        <f t="shared" ref="M6:M69" si="5">-L6*M$4</f>
        <v>-1854091.0297183099</v>
      </c>
      <c r="N6" s="10">
        <v>0</v>
      </c>
      <c r="O6" s="10">
        <f t="shared" ref="O6:O69" si="6">P6-N6</f>
        <v>445583</v>
      </c>
      <c r="P6" s="442">
        <v>445583</v>
      </c>
      <c r="Q6" s="10">
        <f t="shared" ref="Q6:Q69" si="7">C6*R$4</f>
        <v>179259.20338028169</v>
      </c>
      <c r="R6" s="14">
        <f t="shared" ref="R6:R69" si="8">IF(P6&gt;Q6,P6-Q6,0)</f>
        <v>266323.79661971831</v>
      </c>
      <c r="S6" s="2">
        <f t="shared" ref="S6:S69" si="9">-R6*S$4</f>
        <v>-199742.84746478873</v>
      </c>
      <c r="T6" s="130">
        <f t="shared" ref="T6:T69" si="10">S6+M6</f>
        <v>-2053833.8771830986</v>
      </c>
      <c r="U6" s="437">
        <f t="shared" ref="U6:U69" si="11">+T6/C6</f>
        <v>-11.457341316116871</v>
      </c>
      <c r="V6" s="124"/>
      <c r="W6" s="526"/>
      <c r="X6" s="526"/>
      <c r="Y6" s="526"/>
      <c r="Z6" s="526"/>
      <c r="AA6" s="526"/>
      <c r="AB6" s="526"/>
      <c r="AC6" s="423"/>
      <c r="AD6" s="423"/>
      <c r="AE6" s="423"/>
      <c r="AF6" s="423"/>
      <c r="AG6" s="423"/>
    </row>
    <row r="7" spans="1:33" x14ac:dyDescent="0.25">
      <c r="A7" s="49">
        <f>+'A) Base RI'!A9</f>
        <v>5403</v>
      </c>
      <c r="B7" s="484" t="str">
        <f>+'A) Base RI'!B9</f>
        <v>Chessel</v>
      </c>
      <c r="C7" s="304">
        <f>+'D) Ecrêtage'!C7</f>
        <v>10797.740270270273</v>
      </c>
      <c r="D7" s="440">
        <v>19988</v>
      </c>
      <c r="E7" s="440">
        <f t="shared" si="0"/>
        <v>27544</v>
      </c>
      <c r="F7" s="518">
        <f t="shared" si="1"/>
        <v>2.5509041068377689</v>
      </c>
      <c r="G7" s="440">
        <v>47532</v>
      </c>
      <c r="H7" s="440">
        <v>28438</v>
      </c>
      <c r="I7" s="438">
        <v>11745</v>
      </c>
      <c r="J7" s="304">
        <f t="shared" si="2"/>
        <v>87715</v>
      </c>
      <c r="K7" s="284">
        <f t="shared" si="3"/>
        <v>86381.922162162184</v>
      </c>
      <c r="L7" s="10">
        <f t="shared" si="4"/>
        <v>1333.0778378378163</v>
      </c>
      <c r="M7" s="301">
        <f t="shared" si="5"/>
        <v>-999.80837837836225</v>
      </c>
      <c r="N7" s="10">
        <v>0</v>
      </c>
      <c r="O7" s="10">
        <f t="shared" si="6"/>
        <v>30949</v>
      </c>
      <c r="P7" s="442">
        <v>30949</v>
      </c>
      <c r="Q7" s="10">
        <f t="shared" si="7"/>
        <v>10797.740270270273</v>
      </c>
      <c r="R7" s="14">
        <f t="shared" si="8"/>
        <v>20151.259729729725</v>
      </c>
      <c r="S7" s="2">
        <f t="shared" si="9"/>
        <v>-15113.444797297294</v>
      </c>
      <c r="T7" s="130">
        <f t="shared" si="10"/>
        <v>-16113.253175675656</v>
      </c>
      <c r="U7" s="437">
        <f t="shared" si="11"/>
        <v>-1.4922801227253759</v>
      </c>
      <c r="V7" s="126"/>
      <c r="W7" s="526"/>
      <c r="X7" s="526"/>
      <c r="Y7" s="526"/>
      <c r="Z7" s="526"/>
      <c r="AA7" s="526"/>
      <c r="AB7" s="526"/>
      <c r="AC7" s="423"/>
      <c r="AD7" s="423"/>
      <c r="AE7" s="423"/>
      <c r="AF7" s="423"/>
      <c r="AG7" s="423"/>
    </row>
    <row r="8" spans="1:33" x14ac:dyDescent="0.25">
      <c r="A8" s="49">
        <f>+'A) Base RI'!A10</f>
        <v>5404</v>
      </c>
      <c r="B8" s="484" t="str">
        <f>+'A) Base RI'!B10</f>
        <v>Corbeyrier</v>
      </c>
      <c r="C8" s="304">
        <f>+'D) Ecrêtage'!C8</f>
        <v>11267.87027027027</v>
      </c>
      <c r="D8" s="440">
        <v>11111</v>
      </c>
      <c r="E8" s="440">
        <f t="shared" si="0"/>
        <v>181321</v>
      </c>
      <c r="F8" s="518">
        <f t="shared" si="1"/>
        <v>16.091860808728573</v>
      </c>
      <c r="G8" s="440">
        <v>192432</v>
      </c>
      <c r="H8" s="440">
        <v>19311</v>
      </c>
      <c r="I8" s="438">
        <v>30393</v>
      </c>
      <c r="J8" s="304">
        <f t="shared" si="2"/>
        <v>242136</v>
      </c>
      <c r="K8" s="284">
        <f t="shared" si="3"/>
        <v>90142.962162162163</v>
      </c>
      <c r="L8" s="10">
        <f t="shared" si="4"/>
        <v>151993.03783783782</v>
      </c>
      <c r="M8" s="301">
        <f t="shared" si="5"/>
        <v>-113994.77837837837</v>
      </c>
      <c r="N8" s="10">
        <v>0</v>
      </c>
      <c r="O8" s="10">
        <f t="shared" si="6"/>
        <v>35973</v>
      </c>
      <c r="P8" s="442">
        <v>35973</v>
      </c>
      <c r="Q8" s="10">
        <f t="shared" si="7"/>
        <v>11267.87027027027</v>
      </c>
      <c r="R8" s="14">
        <f t="shared" si="8"/>
        <v>24705.129729729728</v>
      </c>
      <c r="S8" s="2">
        <f t="shared" si="9"/>
        <v>-18528.847297297296</v>
      </c>
      <c r="T8" s="130">
        <f t="shared" si="10"/>
        <v>-132523.62567567566</v>
      </c>
      <c r="U8" s="437">
        <f t="shared" si="11"/>
        <v>-11.761195549555875</v>
      </c>
      <c r="V8" s="126"/>
      <c r="W8" s="526"/>
      <c r="X8" s="526"/>
      <c r="Y8" s="526"/>
      <c r="Z8" s="526"/>
      <c r="AA8" s="526"/>
      <c r="AB8" s="526"/>
      <c r="AC8" s="423"/>
      <c r="AD8" s="423"/>
      <c r="AE8" s="423"/>
      <c r="AF8" s="423"/>
      <c r="AG8" s="423"/>
    </row>
    <row r="9" spans="1:33" x14ac:dyDescent="0.25">
      <c r="A9" s="49">
        <f>+'A) Base RI'!A11</f>
        <v>5405</v>
      </c>
      <c r="B9" s="484" t="str">
        <f>+'A) Base RI'!B11</f>
        <v>Gryon</v>
      </c>
      <c r="C9" s="304">
        <f>+'D) Ecrêtage'!C9</f>
        <v>68185.794013605453</v>
      </c>
      <c r="D9" s="440">
        <v>461188</v>
      </c>
      <c r="E9" s="440">
        <f t="shared" si="0"/>
        <v>995343</v>
      </c>
      <c r="F9" s="518">
        <f t="shared" si="1"/>
        <v>14.597512786921484</v>
      </c>
      <c r="G9" s="440">
        <v>1456531</v>
      </c>
      <c r="H9" s="440">
        <v>159992</v>
      </c>
      <c r="I9" s="438">
        <v>73393</v>
      </c>
      <c r="J9" s="304">
        <f t="shared" si="2"/>
        <v>1689916</v>
      </c>
      <c r="K9" s="284">
        <f t="shared" si="3"/>
        <v>545486.35210884362</v>
      </c>
      <c r="L9" s="10">
        <f t="shared" si="4"/>
        <v>1144429.6478911564</v>
      </c>
      <c r="M9" s="301">
        <f t="shared" si="5"/>
        <v>-858322.23591836728</v>
      </c>
      <c r="N9" s="10">
        <v>0</v>
      </c>
      <c r="O9" s="10">
        <f t="shared" si="6"/>
        <v>-15976</v>
      </c>
      <c r="P9" s="442">
        <v>-15976</v>
      </c>
      <c r="Q9" s="10">
        <f t="shared" si="7"/>
        <v>68185.794013605453</v>
      </c>
      <c r="R9" s="14">
        <f t="shared" si="8"/>
        <v>0</v>
      </c>
      <c r="S9" s="2">
        <f t="shared" si="9"/>
        <v>0</v>
      </c>
      <c r="T9" s="130">
        <f t="shared" si="10"/>
        <v>-858322.23591836728</v>
      </c>
      <c r="U9" s="437">
        <f t="shared" si="11"/>
        <v>-12.587992093295885</v>
      </c>
      <c r="V9" s="126"/>
      <c r="W9" s="526"/>
      <c r="X9" s="526"/>
      <c r="Y9" s="526"/>
      <c r="Z9" s="526"/>
      <c r="AA9" s="526"/>
      <c r="AB9" s="526"/>
      <c r="AC9" s="423"/>
      <c r="AD9" s="423"/>
      <c r="AE9" s="423"/>
      <c r="AF9" s="423"/>
      <c r="AG9" s="423"/>
    </row>
    <row r="10" spans="1:33" x14ac:dyDescent="0.25">
      <c r="A10" s="49">
        <f>+'A) Base RI'!A12</f>
        <v>5406</v>
      </c>
      <c r="B10" s="484" t="str">
        <f>+'A) Base RI'!B12</f>
        <v>Lavey-Morcles</v>
      </c>
      <c r="C10" s="304">
        <f>+'D) Ecrêtage'!C10</f>
        <v>21842.545067240455</v>
      </c>
      <c r="D10" s="440">
        <v>72892</v>
      </c>
      <c r="E10" s="440">
        <f t="shared" si="0"/>
        <v>233439</v>
      </c>
      <c r="F10" s="518">
        <f t="shared" si="1"/>
        <v>10.687353478332195</v>
      </c>
      <c r="G10" s="440">
        <v>306331</v>
      </c>
      <c r="H10" s="440">
        <v>41143</v>
      </c>
      <c r="I10" s="438">
        <v>28284</v>
      </c>
      <c r="J10" s="304">
        <f t="shared" si="2"/>
        <v>375758</v>
      </c>
      <c r="K10" s="284">
        <f t="shared" si="3"/>
        <v>174740.36053792364</v>
      </c>
      <c r="L10" s="10">
        <f t="shared" si="4"/>
        <v>201017.63946207636</v>
      </c>
      <c r="M10" s="301">
        <f t="shared" si="5"/>
        <v>-150763.22959655727</v>
      </c>
      <c r="N10" s="10">
        <v>0</v>
      </c>
      <c r="O10" s="10">
        <f t="shared" si="6"/>
        <v>55931</v>
      </c>
      <c r="P10" s="442">
        <v>55931</v>
      </c>
      <c r="Q10" s="10">
        <f t="shared" si="7"/>
        <v>21842.545067240455</v>
      </c>
      <c r="R10" s="14">
        <f t="shared" si="8"/>
        <v>34088.454932759545</v>
      </c>
      <c r="S10" s="2">
        <f t="shared" si="9"/>
        <v>-25566.341199569659</v>
      </c>
      <c r="T10" s="130">
        <f t="shared" si="10"/>
        <v>-176329.57079612694</v>
      </c>
      <c r="U10" s="437">
        <f t="shared" si="11"/>
        <v>-8.072757558851821</v>
      </c>
      <c r="V10" s="126"/>
      <c r="W10" s="526"/>
      <c r="X10" s="526"/>
      <c r="Y10" s="526"/>
      <c r="Z10" s="526"/>
      <c r="AA10" s="526"/>
      <c r="AB10" s="526"/>
      <c r="AC10" s="423"/>
      <c r="AD10" s="423"/>
      <c r="AE10" s="423"/>
      <c r="AF10" s="423"/>
      <c r="AG10" s="423"/>
    </row>
    <row r="11" spans="1:33" x14ac:dyDescent="0.25">
      <c r="A11" s="49">
        <f>+'A) Base RI'!A13</f>
        <v>5407</v>
      </c>
      <c r="B11" s="484" t="str">
        <f>+'A) Base RI'!B13</f>
        <v>Leysin</v>
      </c>
      <c r="C11" s="304">
        <f>+'D) Ecrêtage'!C11</f>
        <v>90822.200982905983</v>
      </c>
      <c r="D11" s="440">
        <v>353769</v>
      </c>
      <c r="E11" s="440">
        <f t="shared" si="0"/>
        <v>1593191</v>
      </c>
      <c r="F11" s="518">
        <f t="shared" si="1"/>
        <v>17.5418673271292</v>
      </c>
      <c r="G11" s="440">
        <v>1946960</v>
      </c>
      <c r="H11" s="440">
        <v>778436</v>
      </c>
      <c r="I11" s="438">
        <v>213517</v>
      </c>
      <c r="J11" s="304">
        <f t="shared" si="2"/>
        <v>2938913</v>
      </c>
      <c r="K11" s="284">
        <f t="shared" si="3"/>
        <v>726577.60786324786</v>
      </c>
      <c r="L11" s="10">
        <f t="shared" si="4"/>
        <v>2212335.3921367521</v>
      </c>
      <c r="M11" s="301">
        <f t="shared" si="5"/>
        <v>-1659251.544102564</v>
      </c>
      <c r="N11" s="10">
        <v>0</v>
      </c>
      <c r="O11" s="10">
        <f t="shared" si="6"/>
        <v>167928</v>
      </c>
      <c r="P11" s="442">
        <v>167928</v>
      </c>
      <c r="Q11" s="10">
        <f t="shared" si="7"/>
        <v>90822.200982905983</v>
      </c>
      <c r="R11" s="14">
        <f t="shared" si="8"/>
        <v>77105.799017094017</v>
      </c>
      <c r="S11" s="2">
        <f t="shared" si="9"/>
        <v>-57829.349262820513</v>
      </c>
      <c r="T11" s="130">
        <f t="shared" si="10"/>
        <v>-1717080.8933653845</v>
      </c>
      <c r="U11" s="437">
        <f t="shared" si="11"/>
        <v>-18.905959939118446</v>
      </c>
      <c r="V11" s="126"/>
      <c r="W11" s="526"/>
      <c r="X11" s="526"/>
      <c r="Y11" s="526"/>
      <c r="Z11" s="526"/>
      <c r="AA11" s="526"/>
      <c r="AB11" s="526"/>
      <c r="AC11" s="423"/>
      <c r="AD11" s="423"/>
      <c r="AE11" s="423"/>
      <c r="AF11" s="423"/>
      <c r="AG11" s="423"/>
    </row>
    <row r="12" spans="1:33" x14ac:dyDescent="0.25">
      <c r="A12" s="49">
        <f>+'A) Base RI'!A14</f>
        <v>5408</v>
      </c>
      <c r="B12" s="484" t="str">
        <f>+'A) Base RI'!B14</f>
        <v>Noville</v>
      </c>
      <c r="C12" s="304">
        <f>+'D) Ecrêtage'!C12</f>
        <v>43840.045520169842</v>
      </c>
      <c r="D12" s="440">
        <v>193323</v>
      </c>
      <c r="E12" s="440">
        <f t="shared" si="0"/>
        <v>166302</v>
      </c>
      <c r="F12" s="518">
        <f t="shared" si="1"/>
        <v>3.7933810977337625</v>
      </c>
      <c r="G12" s="440">
        <v>359625</v>
      </c>
      <c r="H12" s="440">
        <v>77358</v>
      </c>
      <c r="I12" s="438">
        <v>37488</v>
      </c>
      <c r="J12" s="304">
        <f t="shared" si="2"/>
        <v>474471</v>
      </c>
      <c r="K12" s="284">
        <f t="shared" si="3"/>
        <v>350720.36416135874</v>
      </c>
      <c r="L12" s="10">
        <f t="shared" si="4"/>
        <v>123750.63583864126</v>
      </c>
      <c r="M12" s="301">
        <f t="shared" si="5"/>
        <v>-92812.976878980946</v>
      </c>
      <c r="N12" s="10">
        <v>0</v>
      </c>
      <c r="O12" s="10">
        <f t="shared" si="6"/>
        <v>61937</v>
      </c>
      <c r="P12" s="442">
        <v>61937</v>
      </c>
      <c r="Q12" s="10">
        <f t="shared" si="7"/>
        <v>43840.045520169842</v>
      </c>
      <c r="R12" s="14">
        <f t="shared" si="8"/>
        <v>18096.954479830158</v>
      </c>
      <c r="S12" s="2">
        <f t="shared" si="9"/>
        <v>-13572.715859872618</v>
      </c>
      <c r="T12" s="130">
        <f t="shared" si="10"/>
        <v>-106385.69273885357</v>
      </c>
      <c r="U12" s="437">
        <f t="shared" si="11"/>
        <v>-2.4266784278293656</v>
      </c>
      <c r="V12" s="126"/>
      <c r="W12" s="526"/>
      <c r="X12" s="526"/>
      <c r="Y12" s="526"/>
      <c r="Z12" s="526"/>
      <c r="AA12" s="526"/>
      <c r="AB12" s="526"/>
      <c r="AC12" s="423"/>
      <c r="AD12" s="423"/>
      <c r="AE12" s="423"/>
      <c r="AF12" s="423"/>
      <c r="AG12" s="423"/>
    </row>
    <row r="13" spans="1:33" x14ac:dyDescent="0.25">
      <c r="A13" s="49">
        <f>+'A) Base RI'!A15</f>
        <v>5409</v>
      </c>
      <c r="B13" s="484" t="str">
        <f>+'A) Base RI'!B15</f>
        <v>Ollon</v>
      </c>
      <c r="C13" s="304">
        <f>+'D) Ecrêtage'!C13</f>
        <v>389186.78990950214</v>
      </c>
      <c r="D13" s="440">
        <v>706927</v>
      </c>
      <c r="E13" s="440">
        <f t="shared" si="0"/>
        <v>3597856</v>
      </c>
      <c r="F13" s="518">
        <f t="shared" si="1"/>
        <v>9.2445481020478919</v>
      </c>
      <c r="G13" s="440">
        <v>4304783</v>
      </c>
      <c r="H13" s="440">
        <v>1482004</v>
      </c>
      <c r="I13" s="438">
        <v>559456</v>
      </c>
      <c r="J13" s="304">
        <f t="shared" si="2"/>
        <v>6346243</v>
      </c>
      <c r="K13" s="284">
        <f t="shared" si="3"/>
        <v>3113494.3192760171</v>
      </c>
      <c r="L13" s="10">
        <f t="shared" si="4"/>
        <v>3232748.6807239829</v>
      </c>
      <c r="M13" s="301">
        <f t="shared" si="5"/>
        <v>-2424561.5105429869</v>
      </c>
      <c r="N13" s="10">
        <v>97190</v>
      </c>
      <c r="O13" s="10">
        <f t="shared" si="6"/>
        <v>760371</v>
      </c>
      <c r="P13" s="442">
        <v>857561</v>
      </c>
      <c r="Q13" s="10">
        <f t="shared" si="7"/>
        <v>389186.78990950214</v>
      </c>
      <c r="R13" s="14">
        <f t="shared" si="8"/>
        <v>468374.21009049786</v>
      </c>
      <c r="S13" s="2">
        <f t="shared" si="9"/>
        <v>-351280.65756787336</v>
      </c>
      <c r="T13" s="130">
        <f t="shared" si="10"/>
        <v>-2775842.1681108605</v>
      </c>
      <c r="U13" s="437">
        <f t="shared" si="11"/>
        <v>-7.1324162075396469</v>
      </c>
      <c r="V13" s="126"/>
      <c r="W13" s="526"/>
      <c r="X13" s="526"/>
      <c r="Y13" s="526"/>
      <c r="Z13" s="526"/>
      <c r="AA13" s="526"/>
      <c r="AB13" s="526"/>
      <c r="AC13" s="423"/>
      <c r="AD13" s="423"/>
      <c r="AE13" s="423"/>
      <c r="AF13" s="423"/>
      <c r="AG13" s="423"/>
    </row>
    <row r="14" spans="1:33" x14ac:dyDescent="0.25">
      <c r="A14" s="49">
        <f>+'A) Base RI'!A16</f>
        <v>5410</v>
      </c>
      <c r="B14" s="484" t="str">
        <f>+'A) Base RI'!B16</f>
        <v>Ormont-Dessous</v>
      </c>
      <c r="C14" s="304">
        <f>+'D) Ecrêtage'!C14</f>
        <v>39522.545108225109</v>
      </c>
      <c r="D14" s="440">
        <v>235242</v>
      </c>
      <c r="E14" s="440">
        <f t="shared" si="0"/>
        <v>957562</v>
      </c>
      <c r="F14" s="518">
        <f t="shared" si="1"/>
        <v>24.228247380777105</v>
      </c>
      <c r="G14" s="440">
        <v>1192804</v>
      </c>
      <c r="H14" s="440">
        <v>100846</v>
      </c>
      <c r="I14" s="438">
        <v>75798</v>
      </c>
      <c r="J14" s="304">
        <f t="shared" si="2"/>
        <v>1369448</v>
      </c>
      <c r="K14" s="284">
        <f t="shared" si="3"/>
        <v>316180.36086580087</v>
      </c>
      <c r="L14" s="10">
        <f t="shared" si="4"/>
        <v>1053267.6391341991</v>
      </c>
      <c r="M14" s="301">
        <f t="shared" si="5"/>
        <v>-789950.72935064929</v>
      </c>
      <c r="N14" s="10">
        <v>0</v>
      </c>
      <c r="O14" s="10">
        <f t="shared" si="6"/>
        <v>54854</v>
      </c>
      <c r="P14" s="442">
        <v>54854</v>
      </c>
      <c r="Q14" s="10">
        <f t="shared" si="7"/>
        <v>39522.545108225109</v>
      </c>
      <c r="R14" s="14">
        <f t="shared" si="8"/>
        <v>15331.454891774891</v>
      </c>
      <c r="S14" s="2">
        <f t="shared" si="9"/>
        <v>-11498.591168831168</v>
      </c>
      <c r="T14" s="130">
        <f t="shared" si="10"/>
        <v>-801449.32051948051</v>
      </c>
      <c r="U14" s="437">
        <f t="shared" si="11"/>
        <v>-20.278282138077422</v>
      </c>
      <c r="V14" s="126"/>
      <c r="W14" s="526"/>
      <c r="X14" s="526"/>
      <c r="Y14" s="526"/>
      <c r="Z14" s="526"/>
      <c r="AA14" s="526"/>
      <c r="AB14" s="526"/>
      <c r="AC14" s="423"/>
      <c r="AD14" s="423"/>
      <c r="AE14" s="423"/>
      <c r="AF14" s="423"/>
      <c r="AG14" s="423"/>
    </row>
    <row r="15" spans="1:33" x14ac:dyDescent="0.25">
      <c r="A15" s="49">
        <f>+'A) Base RI'!A17</f>
        <v>5411</v>
      </c>
      <c r="B15" s="484" t="str">
        <f>+'A) Base RI'!B17</f>
        <v>Ormont-Dessus</v>
      </c>
      <c r="C15" s="304">
        <f>+'D) Ecrêtage'!C15</f>
        <v>68049.385526315804</v>
      </c>
      <c r="D15" s="440">
        <v>280454</v>
      </c>
      <c r="E15" s="440">
        <f t="shared" si="0"/>
        <v>1074458</v>
      </c>
      <c r="F15" s="518">
        <f t="shared" si="1"/>
        <v>15.789385777546656</v>
      </c>
      <c r="G15" s="440">
        <v>1354912</v>
      </c>
      <c r="H15" s="440">
        <v>311644</v>
      </c>
      <c r="I15" s="438">
        <v>77589</v>
      </c>
      <c r="J15" s="304">
        <f t="shared" si="2"/>
        <v>1744145</v>
      </c>
      <c r="K15" s="284">
        <f t="shared" si="3"/>
        <v>544395.08421052643</v>
      </c>
      <c r="L15" s="10">
        <f t="shared" si="4"/>
        <v>1199749.9157894736</v>
      </c>
      <c r="M15" s="301">
        <f t="shared" si="5"/>
        <v>-899812.43684210512</v>
      </c>
      <c r="N15" s="10">
        <v>0</v>
      </c>
      <c r="O15" s="10">
        <f t="shared" si="6"/>
        <v>106240</v>
      </c>
      <c r="P15" s="442">
        <v>106240</v>
      </c>
      <c r="Q15" s="10">
        <f t="shared" si="7"/>
        <v>68049.385526315804</v>
      </c>
      <c r="R15" s="14">
        <f t="shared" si="8"/>
        <v>38190.614473684196</v>
      </c>
      <c r="S15" s="2">
        <f t="shared" si="9"/>
        <v>-28642.960855263147</v>
      </c>
      <c r="T15" s="130">
        <f t="shared" si="10"/>
        <v>-928455.39769736829</v>
      </c>
      <c r="U15" s="437">
        <f t="shared" si="11"/>
        <v>-13.643846899077722</v>
      </c>
      <c r="V15" s="126"/>
      <c r="W15" s="526"/>
      <c r="X15" s="526"/>
      <c r="Y15" s="526"/>
      <c r="Z15" s="526"/>
      <c r="AA15" s="526"/>
      <c r="AB15" s="526"/>
      <c r="AC15" s="423"/>
      <c r="AD15" s="423"/>
      <c r="AE15" s="423"/>
      <c r="AF15" s="423"/>
      <c r="AG15" s="423"/>
    </row>
    <row r="16" spans="1:33" x14ac:dyDescent="0.25">
      <c r="A16" s="49">
        <f>+'A) Base RI'!A18</f>
        <v>5412</v>
      </c>
      <c r="B16" s="484" t="str">
        <f>+'A) Base RI'!B18</f>
        <v>Rennaz</v>
      </c>
      <c r="C16" s="304">
        <f>+'D) Ecrêtage'!C16</f>
        <v>24274.281449275361</v>
      </c>
      <c r="D16" s="440">
        <v>46144</v>
      </c>
      <c r="E16" s="440">
        <f t="shared" si="0"/>
        <v>171526</v>
      </c>
      <c r="F16" s="518">
        <f t="shared" si="1"/>
        <v>7.0661617876693281</v>
      </c>
      <c r="G16" s="440">
        <v>217670</v>
      </c>
      <c r="H16" s="440">
        <v>57737</v>
      </c>
      <c r="I16" s="438">
        <v>25265</v>
      </c>
      <c r="J16" s="304">
        <f t="shared" si="2"/>
        <v>300672</v>
      </c>
      <c r="K16" s="284">
        <f t="shared" si="3"/>
        <v>194194.25159420288</v>
      </c>
      <c r="L16" s="10">
        <f t="shared" si="4"/>
        <v>106477.74840579712</v>
      </c>
      <c r="M16" s="301">
        <f t="shared" si="5"/>
        <v>-79858.311304347837</v>
      </c>
      <c r="N16" s="10">
        <v>0</v>
      </c>
      <c r="O16" s="10">
        <f t="shared" si="6"/>
        <v>36503</v>
      </c>
      <c r="P16" s="442">
        <v>36503</v>
      </c>
      <c r="Q16" s="10">
        <f t="shared" si="7"/>
        <v>24274.281449275361</v>
      </c>
      <c r="R16" s="14">
        <f t="shared" si="8"/>
        <v>12228.718550724639</v>
      </c>
      <c r="S16" s="2">
        <f t="shared" si="9"/>
        <v>-9171.5389130434796</v>
      </c>
      <c r="T16" s="130">
        <f t="shared" si="10"/>
        <v>-89029.850217391315</v>
      </c>
      <c r="U16" s="437">
        <f t="shared" si="11"/>
        <v>-3.6676616114644682</v>
      </c>
      <c r="V16" s="126"/>
      <c r="W16" s="526"/>
      <c r="X16" s="526"/>
      <c r="Y16" s="526"/>
      <c r="Z16" s="526"/>
      <c r="AA16" s="526"/>
      <c r="AB16" s="526"/>
      <c r="AC16" s="423"/>
      <c r="AD16" s="423"/>
      <c r="AE16" s="423"/>
      <c r="AF16" s="423"/>
      <c r="AG16" s="423"/>
    </row>
    <row r="17" spans="1:33" x14ac:dyDescent="0.25">
      <c r="A17" s="49">
        <f>+'A) Base RI'!A19</f>
        <v>5413</v>
      </c>
      <c r="B17" s="484" t="str">
        <f>+'A) Base RI'!B19</f>
        <v>Roche</v>
      </c>
      <c r="C17" s="304">
        <f>+'D) Ecrêtage'!C17</f>
        <v>48007.468357843129</v>
      </c>
      <c r="D17" s="440">
        <v>34116</v>
      </c>
      <c r="E17" s="440">
        <f t="shared" si="0"/>
        <v>121608</v>
      </c>
      <c r="F17" s="518">
        <f t="shared" si="1"/>
        <v>2.5331058720602693</v>
      </c>
      <c r="G17" s="440">
        <v>155724</v>
      </c>
      <c r="H17" s="440">
        <v>125507</v>
      </c>
      <c r="I17" s="438">
        <v>59109</v>
      </c>
      <c r="J17" s="304">
        <f t="shared" si="2"/>
        <v>340340</v>
      </c>
      <c r="K17" s="284">
        <f t="shared" si="3"/>
        <v>384059.74686274503</v>
      </c>
      <c r="L17" s="10">
        <f t="shared" si="4"/>
        <v>0</v>
      </c>
      <c r="M17" s="301">
        <f t="shared" si="5"/>
        <v>0</v>
      </c>
      <c r="N17" s="10">
        <v>9723</v>
      </c>
      <c r="O17" s="10">
        <f t="shared" si="6"/>
        <v>18791</v>
      </c>
      <c r="P17" s="442">
        <v>28514</v>
      </c>
      <c r="Q17" s="10">
        <f t="shared" si="7"/>
        <v>48007.468357843129</v>
      </c>
      <c r="R17" s="14">
        <f t="shared" si="8"/>
        <v>0</v>
      </c>
      <c r="S17" s="2">
        <f t="shared" si="9"/>
        <v>0</v>
      </c>
      <c r="T17" s="130">
        <f t="shared" si="10"/>
        <v>0</v>
      </c>
      <c r="U17" s="437">
        <f t="shared" si="11"/>
        <v>0</v>
      </c>
      <c r="V17" s="126"/>
      <c r="W17" s="526"/>
      <c r="X17" s="526"/>
      <c r="Y17" s="526"/>
      <c r="Z17" s="526"/>
      <c r="AA17" s="526"/>
      <c r="AB17" s="526"/>
      <c r="AC17" s="423"/>
      <c r="AD17" s="423"/>
      <c r="AE17" s="423"/>
      <c r="AF17" s="423"/>
      <c r="AG17" s="423"/>
    </row>
    <row r="18" spans="1:33" x14ac:dyDescent="0.25">
      <c r="A18" s="49">
        <f>+'A) Base RI'!A20</f>
        <v>5414</v>
      </c>
      <c r="B18" s="484" t="str">
        <f>+'A) Base RI'!B20</f>
        <v>Villeneuve</v>
      </c>
      <c r="C18" s="304">
        <f>+'D) Ecrêtage'!C18</f>
        <v>159468.65911111108</v>
      </c>
      <c r="D18" s="440">
        <v>553758</v>
      </c>
      <c r="E18" s="440">
        <f t="shared" si="0"/>
        <v>1859346</v>
      </c>
      <c r="F18" s="518">
        <f t="shared" si="1"/>
        <v>11.659632747676682</v>
      </c>
      <c r="G18" s="440">
        <v>2413104</v>
      </c>
      <c r="H18" s="440">
        <v>1400478</v>
      </c>
      <c r="I18" s="438">
        <v>165974</v>
      </c>
      <c r="J18" s="304">
        <f t="shared" si="2"/>
        <v>3979556</v>
      </c>
      <c r="K18" s="284">
        <f t="shared" si="3"/>
        <v>1275749.2728888886</v>
      </c>
      <c r="L18" s="10">
        <f t="shared" si="4"/>
        <v>2703806.7271111114</v>
      </c>
      <c r="M18" s="301">
        <f t="shared" si="5"/>
        <v>-2027855.0453333335</v>
      </c>
      <c r="N18" s="10">
        <v>0</v>
      </c>
      <c r="O18" s="10">
        <f t="shared" si="6"/>
        <v>710470</v>
      </c>
      <c r="P18" s="442">
        <v>710470</v>
      </c>
      <c r="Q18" s="10">
        <f t="shared" si="7"/>
        <v>159468.65911111108</v>
      </c>
      <c r="R18" s="14">
        <f t="shared" si="8"/>
        <v>551001.34088888892</v>
      </c>
      <c r="S18" s="2">
        <f t="shared" si="9"/>
        <v>-413251.00566666666</v>
      </c>
      <c r="T18" s="130">
        <f t="shared" si="10"/>
        <v>-2441106.051</v>
      </c>
      <c r="U18" s="437">
        <f t="shared" si="11"/>
        <v>-15.30774802150396</v>
      </c>
      <c r="V18" s="126"/>
      <c r="W18" s="526"/>
      <c r="X18" s="526"/>
      <c r="Y18" s="526"/>
      <c r="Z18" s="526"/>
      <c r="AA18" s="526"/>
      <c r="AB18" s="526"/>
      <c r="AC18" s="423"/>
      <c r="AD18" s="423"/>
      <c r="AE18" s="423"/>
      <c r="AF18" s="423"/>
      <c r="AG18" s="423"/>
    </row>
    <row r="19" spans="1:33" x14ac:dyDescent="0.25">
      <c r="A19" s="49">
        <f>+'A) Base RI'!A21</f>
        <v>5415</v>
      </c>
      <c r="B19" s="484" t="str">
        <f>+'A) Base RI'!B21</f>
        <v>Yvorne</v>
      </c>
      <c r="C19" s="304">
        <f>+'D) Ecrêtage'!C19</f>
        <v>38155.020093240091</v>
      </c>
      <c r="D19" s="440">
        <v>42346</v>
      </c>
      <c r="E19" s="440">
        <f t="shared" si="0"/>
        <v>254633</v>
      </c>
      <c r="F19" s="518">
        <f t="shared" si="1"/>
        <v>6.673643451838025</v>
      </c>
      <c r="G19" s="440">
        <v>296979</v>
      </c>
      <c r="H19" s="440">
        <v>70995</v>
      </c>
      <c r="I19" s="438">
        <v>160884</v>
      </c>
      <c r="J19" s="304">
        <f t="shared" si="2"/>
        <v>528858</v>
      </c>
      <c r="K19" s="284">
        <f t="shared" si="3"/>
        <v>305240.16074592073</v>
      </c>
      <c r="L19" s="10">
        <f t="shared" si="4"/>
        <v>223617.83925407927</v>
      </c>
      <c r="M19" s="301">
        <f t="shared" si="5"/>
        <v>-167713.37944055945</v>
      </c>
      <c r="N19" s="10">
        <v>0</v>
      </c>
      <c r="O19" s="10">
        <f t="shared" si="6"/>
        <v>51761</v>
      </c>
      <c r="P19" s="442">
        <v>51761</v>
      </c>
      <c r="Q19" s="10">
        <f t="shared" si="7"/>
        <v>38155.020093240091</v>
      </c>
      <c r="R19" s="14">
        <f t="shared" si="8"/>
        <v>13605.979906759909</v>
      </c>
      <c r="S19" s="2">
        <f t="shared" si="9"/>
        <v>-10204.484930069932</v>
      </c>
      <c r="T19" s="130">
        <f t="shared" si="10"/>
        <v>-177917.8643706294</v>
      </c>
      <c r="U19" s="437">
        <f t="shared" si="11"/>
        <v>-4.6630263576286524</v>
      </c>
      <c r="V19" s="126"/>
      <c r="W19" s="526"/>
      <c r="X19" s="526"/>
      <c r="Y19" s="526"/>
      <c r="Z19" s="526"/>
      <c r="AA19" s="526"/>
      <c r="AB19" s="526"/>
      <c r="AC19" s="423"/>
      <c r="AD19" s="423"/>
      <c r="AE19" s="423"/>
      <c r="AF19" s="423"/>
      <c r="AG19" s="423"/>
    </row>
    <row r="20" spans="1:33" x14ac:dyDescent="0.25">
      <c r="A20" s="49">
        <f>+'A) Base RI'!A22</f>
        <v>5421</v>
      </c>
      <c r="B20" s="484" t="str">
        <f>+'A) Base RI'!B22</f>
        <v>Apples</v>
      </c>
      <c r="C20" s="304">
        <f>+'D) Ecrêtage'!C20</f>
        <v>66313.601621621623</v>
      </c>
      <c r="D20" s="440">
        <v>215986</v>
      </c>
      <c r="E20" s="440">
        <f t="shared" si="0"/>
        <v>625702</v>
      </c>
      <c r="F20" s="518">
        <f t="shared" si="1"/>
        <v>9.4355001794381383</v>
      </c>
      <c r="G20" s="440">
        <v>841688</v>
      </c>
      <c r="H20" s="440">
        <v>145328</v>
      </c>
      <c r="I20" s="438">
        <v>220479</v>
      </c>
      <c r="J20" s="304">
        <f t="shared" si="2"/>
        <v>1207495</v>
      </c>
      <c r="K20" s="284">
        <f t="shared" si="3"/>
        <v>530508.81297297298</v>
      </c>
      <c r="L20" s="10">
        <f t="shared" si="4"/>
        <v>676986.18702702702</v>
      </c>
      <c r="M20" s="301">
        <f t="shared" si="5"/>
        <v>-507739.64027027029</v>
      </c>
      <c r="N20" s="10">
        <v>0</v>
      </c>
      <c r="O20" s="10">
        <f t="shared" si="6"/>
        <v>-50995</v>
      </c>
      <c r="P20" s="442">
        <v>-50995</v>
      </c>
      <c r="Q20" s="10">
        <f t="shared" si="7"/>
        <v>66313.601621621623</v>
      </c>
      <c r="R20" s="14">
        <f t="shared" si="8"/>
        <v>0</v>
      </c>
      <c r="S20" s="2">
        <f t="shared" si="9"/>
        <v>0</v>
      </c>
      <c r="T20" s="130">
        <f t="shared" si="10"/>
        <v>-507739.64027027029</v>
      </c>
      <c r="U20" s="437">
        <f t="shared" si="11"/>
        <v>-7.6566440044589772</v>
      </c>
      <c r="V20" s="126"/>
      <c r="W20" s="526"/>
      <c r="X20" s="526"/>
      <c r="Y20" s="526"/>
      <c r="Z20" s="526"/>
      <c r="AA20" s="526"/>
      <c r="AB20" s="526"/>
      <c r="AC20" s="423"/>
      <c r="AD20" s="423"/>
      <c r="AE20" s="423"/>
      <c r="AF20" s="423"/>
      <c r="AG20" s="423"/>
    </row>
    <row r="21" spans="1:33" x14ac:dyDescent="0.25">
      <c r="A21" s="49">
        <f>+'A) Base RI'!A23</f>
        <v>5422</v>
      </c>
      <c r="B21" s="484" t="str">
        <f>+'A) Base RI'!B23</f>
        <v>Aubonne</v>
      </c>
      <c r="C21" s="304">
        <f>+'D) Ecrêtage'!C21</f>
        <v>242388.1994160584</v>
      </c>
      <c r="D21" s="440">
        <v>225454</v>
      </c>
      <c r="E21" s="440">
        <f t="shared" si="0"/>
        <v>1067579</v>
      </c>
      <c r="F21" s="518">
        <f t="shared" si="1"/>
        <v>4.4044182124869238</v>
      </c>
      <c r="G21" s="440">
        <v>1293033</v>
      </c>
      <c r="H21" s="440">
        <v>139150</v>
      </c>
      <c r="I21" s="438">
        <v>322209</v>
      </c>
      <c r="J21" s="304">
        <f t="shared" si="2"/>
        <v>1754392</v>
      </c>
      <c r="K21" s="284">
        <f t="shared" si="3"/>
        <v>1939105.5953284672</v>
      </c>
      <c r="L21" s="10">
        <f t="shared" si="4"/>
        <v>0</v>
      </c>
      <c r="M21" s="301">
        <f t="shared" si="5"/>
        <v>0</v>
      </c>
      <c r="N21" s="10">
        <v>0</v>
      </c>
      <c r="O21" s="10">
        <f t="shared" si="6"/>
        <v>31744</v>
      </c>
      <c r="P21" s="442">
        <v>31744</v>
      </c>
      <c r="Q21" s="10">
        <f t="shared" si="7"/>
        <v>242388.1994160584</v>
      </c>
      <c r="R21" s="14">
        <f t="shared" si="8"/>
        <v>0</v>
      </c>
      <c r="S21" s="2">
        <f t="shared" si="9"/>
        <v>0</v>
      </c>
      <c r="T21" s="130">
        <f t="shared" si="10"/>
        <v>0</v>
      </c>
      <c r="U21" s="437">
        <f t="shared" si="11"/>
        <v>0</v>
      </c>
      <c r="V21" s="126"/>
      <c r="W21" s="526"/>
      <c r="X21" s="526"/>
      <c r="Y21" s="526"/>
      <c r="Z21" s="526"/>
      <c r="AA21" s="526"/>
      <c r="AB21" s="526"/>
      <c r="AC21" s="423"/>
      <c r="AD21" s="423"/>
      <c r="AE21" s="423"/>
      <c r="AF21" s="423"/>
      <c r="AG21" s="423"/>
    </row>
    <row r="22" spans="1:33" x14ac:dyDescent="0.25">
      <c r="A22" s="49">
        <f>+'A) Base RI'!A24</f>
        <v>5423</v>
      </c>
      <c r="B22" s="484" t="str">
        <f>+'A) Base RI'!B24</f>
        <v>Ballens</v>
      </c>
      <c r="C22" s="304">
        <f>+'D) Ecrêtage'!C22</f>
        <v>17114.745479452053</v>
      </c>
      <c r="D22" s="440">
        <v>39712</v>
      </c>
      <c r="E22" s="440">
        <f t="shared" si="0"/>
        <v>131428</v>
      </c>
      <c r="F22" s="518">
        <f t="shared" si="1"/>
        <v>7.6792260894438851</v>
      </c>
      <c r="G22" s="440">
        <v>171140</v>
      </c>
      <c r="H22" s="440">
        <v>54249</v>
      </c>
      <c r="I22" s="438">
        <v>76103</v>
      </c>
      <c r="J22" s="304">
        <f t="shared" si="2"/>
        <v>301492</v>
      </c>
      <c r="K22" s="284">
        <f t="shared" si="3"/>
        <v>136917.96383561642</v>
      </c>
      <c r="L22" s="10">
        <f t="shared" si="4"/>
        <v>164574.03616438358</v>
      </c>
      <c r="M22" s="301">
        <f t="shared" si="5"/>
        <v>-123430.52712328768</v>
      </c>
      <c r="N22" s="10">
        <v>0</v>
      </c>
      <c r="O22" s="10">
        <f t="shared" si="6"/>
        <v>38729</v>
      </c>
      <c r="P22" s="442">
        <v>38729</v>
      </c>
      <c r="Q22" s="10">
        <f t="shared" si="7"/>
        <v>17114.745479452053</v>
      </c>
      <c r="R22" s="14">
        <f t="shared" si="8"/>
        <v>21614.254520547947</v>
      </c>
      <c r="S22" s="2">
        <f t="shared" si="9"/>
        <v>-16210.69089041096</v>
      </c>
      <c r="T22" s="130">
        <f t="shared" si="10"/>
        <v>-139641.21801369864</v>
      </c>
      <c r="U22" s="437">
        <f t="shared" si="11"/>
        <v>-8.1591174219535869</v>
      </c>
      <c r="V22" s="126"/>
      <c r="W22" s="526"/>
      <c r="X22" s="526"/>
      <c r="Y22" s="526"/>
      <c r="Z22" s="526"/>
      <c r="AA22" s="526"/>
      <c r="AB22" s="526"/>
      <c r="AC22" s="423"/>
      <c r="AD22" s="423"/>
      <c r="AE22" s="423"/>
      <c r="AF22" s="423"/>
      <c r="AG22" s="423"/>
    </row>
    <row r="23" spans="1:33" x14ac:dyDescent="0.25">
      <c r="A23" s="49">
        <f>+'A) Base RI'!A25</f>
        <v>5424</v>
      </c>
      <c r="B23" s="484" t="str">
        <f>+'A) Base RI'!B25</f>
        <v>Berolle</v>
      </c>
      <c r="C23" s="304">
        <f>+'D) Ecrêtage'!C23</f>
        <v>9114.9769536423846</v>
      </c>
      <c r="D23" s="440">
        <v>14624</v>
      </c>
      <c r="E23" s="440">
        <f t="shared" si="0"/>
        <v>62375</v>
      </c>
      <c r="F23" s="518">
        <f t="shared" si="1"/>
        <v>6.8431330454516042</v>
      </c>
      <c r="G23" s="440">
        <v>76999</v>
      </c>
      <c r="H23" s="440">
        <v>12490</v>
      </c>
      <c r="I23" s="438">
        <v>45529</v>
      </c>
      <c r="J23" s="304">
        <f t="shared" si="2"/>
        <v>135018</v>
      </c>
      <c r="K23" s="284">
        <f t="shared" si="3"/>
        <v>72919.815629139077</v>
      </c>
      <c r="L23" s="10">
        <f t="shared" si="4"/>
        <v>62098.184370860923</v>
      </c>
      <c r="M23" s="301">
        <f t="shared" si="5"/>
        <v>-46573.638278145692</v>
      </c>
      <c r="N23" s="10">
        <v>0</v>
      </c>
      <c r="O23" s="10">
        <f t="shared" si="6"/>
        <v>2094</v>
      </c>
      <c r="P23" s="442">
        <v>2094</v>
      </c>
      <c r="Q23" s="10">
        <f t="shared" si="7"/>
        <v>9114.9769536423846</v>
      </c>
      <c r="R23" s="14">
        <f t="shared" si="8"/>
        <v>0</v>
      </c>
      <c r="S23" s="2">
        <f t="shared" si="9"/>
        <v>0</v>
      </c>
      <c r="T23" s="130">
        <f t="shared" si="10"/>
        <v>-46573.638278145692</v>
      </c>
      <c r="U23" s="437">
        <f t="shared" si="11"/>
        <v>-5.1095727959613395</v>
      </c>
      <c r="V23" s="126"/>
      <c r="W23" s="526"/>
      <c r="X23" s="526"/>
      <c r="Y23" s="526"/>
      <c r="Z23" s="526"/>
      <c r="AA23" s="526"/>
      <c r="AB23" s="526"/>
      <c r="AC23" s="423"/>
      <c r="AD23" s="423"/>
      <c r="AE23" s="423"/>
      <c r="AF23" s="423"/>
      <c r="AG23" s="423"/>
    </row>
    <row r="24" spans="1:33" x14ac:dyDescent="0.25">
      <c r="A24" s="49">
        <f>+'A) Base RI'!A26</f>
        <v>5425</v>
      </c>
      <c r="B24" s="484" t="str">
        <f>+'A) Base RI'!B26</f>
        <v>Bière</v>
      </c>
      <c r="C24" s="304">
        <f>+'D) Ecrêtage'!C24</f>
        <v>40211.969135432286</v>
      </c>
      <c r="D24" s="440">
        <v>169744</v>
      </c>
      <c r="E24" s="440">
        <f t="shared" si="0"/>
        <v>392773</v>
      </c>
      <c r="F24" s="518">
        <f t="shared" si="1"/>
        <v>9.7675644452316277</v>
      </c>
      <c r="G24" s="440">
        <v>562517</v>
      </c>
      <c r="H24" s="440">
        <v>136509</v>
      </c>
      <c r="I24" s="438">
        <v>238878</v>
      </c>
      <c r="J24" s="304">
        <f t="shared" si="2"/>
        <v>937904</v>
      </c>
      <c r="K24" s="284">
        <f t="shared" si="3"/>
        <v>321695.75308345829</v>
      </c>
      <c r="L24" s="10">
        <f t="shared" si="4"/>
        <v>616208.24691654171</v>
      </c>
      <c r="M24" s="301">
        <f t="shared" si="5"/>
        <v>-462156.18518740626</v>
      </c>
      <c r="N24" s="10">
        <v>0</v>
      </c>
      <c r="O24" s="10">
        <f t="shared" si="6"/>
        <v>218388</v>
      </c>
      <c r="P24" s="442">
        <v>218388</v>
      </c>
      <c r="Q24" s="10">
        <f t="shared" si="7"/>
        <v>40211.969135432286</v>
      </c>
      <c r="R24" s="14">
        <f t="shared" si="8"/>
        <v>178176.03086456773</v>
      </c>
      <c r="S24" s="2">
        <f t="shared" si="9"/>
        <v>-133632.0231484258</v>
      </c>
      <c r="T24" s="130">
        <f t="shared" si="10"/>
        <v>-595788.20833583199</v>
      </c>
      <c r="U24" s="437">
        <f t="shared" si="11"/>
        <v>-14.816190829383197</v>
      </c>
      <c r="V24" s="126"/>
      <c r="W24" s="526"/>
      <c r="X24" s="526"/>
      <c r="Y24" s="526"/>
      <c r="Z24" s="526"/>
      <c r="AA24" s="526"/>
      <c r="AB24" s="526"/>
      <c r="AC24" s="423"/>
      <c r="AD24" s="423"/>
      <c r="AE24" s="423"/>
      <c r="AF24" s="423"/>
      <c r="AG24" s="423"/>
    </row>
    <row r="25" spans="1:33" x14ac:dyDescent="0.25">
      <c r="A25" s="49">
        <f>+'A) Base RI'!A27</f>
        <v>5426</v>
      </c>
      <c r="B25" s="484" t="str">
        <f>+'A) Base RI'!B27</f>
        <v>Bougy-Villars</v>
      </c>
      <c r="C25" s="304">
        <f>+'D) Ecrêtage'!C25</f>
        <v>55602.775012919898</v>
      </c>
      <c r="D25" s="440">
        <v>0</v>
      </c>
      <c r="E25" s="440">
        <f t="shared" si="0"/>
        <v>0</v>
      </c>
      <c r="F25" s="518">
        <f t="shared" si="1"/>
        <v>0</v>
      </c>
      <c r="G25" s="440">
        <v>0</v>
      </c>
      <c r="H25" s="440">
        <v>0</v>
      </c>
      <c r="I25" s="438">
        <v>0</v>
      </c>
      <c r="J25" s="304">
        <f t="shared" si="2"/>
        <v>0</v>
      </c>
      <c r="K25" s="284">
        <f t="shared" si="3"/>
        <v>444822.20010335918</v>
      </c>
      <c r="L25" s="10">
        <f t="shared" si="4"/>
        <v>0</v>
      </c>
      <c r="M25" s="301">
        <f t="shared" si="5"/>
        <v>0</v>
      </c>
      <c r="N25" s="10">
        <v>0</v>
      </c>
      <c r="O25" s="10">
        <f t="shared" si="6"/>
        <v>0</v>
      </c>
      <c r="P25" s="442">
        <v>0</v>
      </c>
      <c r="Q25" s="10">
        <f t="shared" si="7"/>
        <v>55602.775012919898</v>
      </c>
      <c r="R25" s="14">
        <f t="shared" si="8"/>
        <v>0</v>
      </c>
      <c r="S25" s="2">
        <f t="shared" si="9"/>
        <v>0</v>
      </c>
      <c r="T25" s="130">
        <f t="shared" si="10"/>
        <v>0</v>
      </c>
      <c r="U25" s="437">
        <f t="shared" si="11"/>
        <v>0</v>
      </c>
      <c r="V25" s="126"/>
      <c r="W25" s="526"/>
      <c r="X25" s="526"/>
      <c r="Y25" s="526"/>
      <c r="Z25" s="526"/>
      <c r="AA25" s="526"/>
      <c r="AB25" s="526"/>
      <c r="AC25" s="423"/>
      <c r="AD25" s="423"/>
      <c r="AE25" s="423"/>
      <c r="AF25" s="423"/>
      <c r="AG25" s="423"/>
    </row>
    <row r="26" spans="1:33" x14ac:dyDescent="0.25">
      <c r="A26" s="49">
        <f>+'A) Base RI'!A28</f>
        <v>5427</v>
      </c>
      <c r="B26" s="484" t="str">
        <f>+'A) Base RI'!B28</f>
        <v>Féchy</v>
      </c>
      <c r="C26" s="304">
        <f>+'D) Ecrêtage'!C26</f>
        <v>77020.028293269235</v>
      </c>
      <c r="D26" s="440">
        <v>5337</v>
      </c>
      <c r="E26" s="440">
        <f t="shared" si="0"/>
        <v>123903</v>
      </c>
      <c r="F26" s="518">
        <f t="shared" si="1"/>
        <v>1.6087114318916429</v>
      </c>
      <c r="G26" s="440">
        <v>129240</v>
      </c>
      <c r="H26" s="440">
        <v>36571</v>
      </c>
      <c r="I26" s="438">
        <v>84083</v>
      </c>
      <c r="J26" s="304">
        <f t="shared" si="2"/>
        <v>249894</v>
      </c>
      <c r="K26" s="284">
        <f t="shared" si="3"/>
        <v>616160.22634615388</v>
      </c>
      <c r="L26" s="10">
        <f t="shared" si="4"/>
        <v>0</v>
      </c>
      <c r="M26" s="301">
        <f t="shared" si="5"/>
        <v>0</v>
      </c>
      <c r="N26" s="10">
        <v>0</v>
      </c>
      <c r="O26" s="10">
        <f t="shared" si="6"/>
        <v>37941</v>
      </c>
      <c r="P26" s="442">
        <v>37941</v>
      </c>
      <c r="Q26" s="10">
        <f t="shared" si="7"/>
        <v>77020.028293269235</v>
      </c>
      <c r="R26" s="14">
        <f t="shared" si="8"/>
        <v>0</v>
      </c>
      <c r="S26" s="2">
        <f t="shared" si="9"/>
        <v>0</v>
      </c>
      <c r="T26" s="130">
        <f t="shared" si="10"/>
        <v>0</v>
      </c>
      <c r="U26" s="437">
        <f t="shared" si="11"/>
        <v>0</v>
      </c>
      <c r="V26" s="126"/>
      <c r="W26" s="526"/>
      <c r="X26" s="526"/>
      <c r="Y26" s="526"/>
      <c r="Z26" s="526"/>
      <c r="AA26" s="526"/>
      <c r="AB26" s="526"/>
      <c r="AC26" s="423"/>
      <c r="AD26" s="423"/>
      <c r="AE26" s="423"/>
      <c r="AF26" s="423"/>
      <c r="AG26" s="423"/>
    </row>
    <row r="27" spans="1:33" x14ac:dyDescent="0.25">
      <c r="A27" s="49">
        <f>+'A) Base RI'!A29</f>
        <v>5428</v>
      </c>
      <c r="B27" s="484" t="str">
        <f>+'A) Base RI'!B29</f>
        <v>Gimel</v>
      </c>
      <c r="C27" s="304">
        <f>+'D) Ecrêtage'!C27</f>
        <v>70193.222975391502</v>
      </c>
      <c r="D27" s="440">
        <v>177033</v>
      </c>
      <c r="E27" s="440">
        <f t="shared" si="0"/>
        <v>336884</v>
      </c>
      <c r="F27" s="518">
        <f t="shared" si="1"/>
        <v>4.7993807054294333</v>
      </c>
      <c r="G27" s="440">
        <v>513917</v>
      </c>
      <c r="H27" s="440">
        <v>103327</v>
      </c>
      <c r="I27" s="438">
        <v>241100</v>
      </c>
      <c r="J27" s="304">
        <f t="shared" si="2"/>
        <v>858344</v>
      </c>
      <c r="K27" s="284">
        <f t="shared" si="3"/>
        <v>561545.78380313201</v>
      </c>
      <c r="L27" s="10">
        <f t="shared" si="4"/>
        <v>296798.21619686799</v>
      </c>
      <c r="M27" s="301">
        <f t="shared" si="5"/>
        <v>-222598.66214765099</v>
      </c>
      <c r="N27" s="10">
        <v>0</v>
      </c>
      <c r="O27" s="10">
        <f t="shared" si="6"/>
        <v>108157</v>
      </c>
      <c r="P27" s="442">
        <v>108157</v>
      </c>
      <c r="Q27" s="10">
        <f t="shared" si="7"/>
        <v>70193.222975391502</v>
      </c>
      <c r="R27" s="14">
        <f t="shared" si="8"/>
        <v>37963.777024608498</v>
      </c>
      <c r="S27" s="2">
        <f t="shared" si="9"/>
        <v>-28472.832768456374</v>
      </c>
      <c r="T27" s="130">
        <f t="shared" si="10"/>
        <v>-251071.49491610736</v>
      </c>
      <c r="U27" s="437">
        <f t="shared" si="11"/>
        <v>-3.5768623276370795</v>
      </c>
      <c r="V27" s="126"/>
      <c r="W27" s="526"/>
      <c r="X27" s="526"/>
      <c r="Y27" s="526"/>
      <c r="Z27" s="526"/>
      <c r="AA27" s="526"/>
      <c r="AB27" s="526"/>
      <c r="AC27" s="423"/>
      <c r="AD27" s="423"/>
      <c r="AE27" s="423"/>
      <c r="AF27" s="423"/>
      <c r="AG27" s="423"/>
    </row>
    <row r="28" spans="1:33" x14ac:dyDescent="0.25">
      <c r="A28" s="49">
        <f>+'A) Base RI'!A30</f>
        <v>5429</v>
      </c>
      <c r="B28" s="484" t="str">
        <f>+'A) Base RI'!B30</f>
        <v>Longirod</v>
      </c>
      <c r="C28" s="304">
        <f>+'D) Ecrêtage'!C28</f>
        <v>16140.77393548387</v>
      </c>
      <c r="D28" s="440">
        <v>3510</v>
      </c>
      <c r="E28" s="440">
        <f t="shared" si="0"/>
        <v>160022</v>
      </c>
      <c r="F28" s="518">
        <f t="shared" si="1"/>
        <v>9.9141466598579697</v>
      </c>
      <c r="G28" s="440">
        <v>163532</v>
      </c>
      <c r="H28" s="440">
        <v>20473</v>
      </c>
      <c r="I28" s="438">
        <v>44116</v>
      </c>
      <c r="J28" s="304">
        <f t="shared" si="2"/>
        <v>228121</v>
      </c>
      <c r="K28" s="284">
        <f t="shared" si="3"/>
        <v>129126.19148387096</v>
      </c>
      <c r="L28" s="10">
        <f t="shared" si="4"/>
        <v>98994.808516129036</v>
      </c>
      <c r="M28" s="301">
        <f t="shared" si="5"/>
        <v>-74246.106387096777</v>
      </c>
      <c r="N28" s="10">
        <v>0</v>
      </c>
      <c r="O28" s="10">
        <f t="shared" si="6"/>
        <v>80788</v>
      </c>
      <c r="P28" s="442">
        <v>80788</v>
      </c>
      <c r="Q28" s="10">
        <f t="shared" si="7"/>
        <v>16140.77393548387</v>
      </c>
      <c r="R28" s="14">
        <f t="shared" si="8"/>
        <v>64647.22606451613</v>
      </c>
      <c r="S28" s="2">
        <f t="shared" si="9"/>
        <v>-48485.419548387101</v>
      </c>
      <c r="T28" s="130">
        <f t="shared" si="10"/>
        <v>-122731.52593548388</v>
      </c>
      <c r="U28" s="437">
        <f t="shared" si="11"/>
        <v>-7.6038191493204019</v>
      </c>
      <c r="V28" s="126"/>
      <c r="W28" s="526"/>
      <c r="X28" s="526"/>
      <c r="Y28" s="526"/>
      <c r="Z28" s="526"/>
      <c r="AA28" s="526"/>
      <c r="AB28" s="526"/>
      <c r="AC28" s="423"/>
      <c r="AD28" s="423"/>
      <c r="AE28" s="423"/>
      <c r="AF28" s="423"/>
      <c r="AG28" s="423"/>
    </row>
    <row r="29" spans="1:33" x14ac:dyDescent="0.25">
      <c r="A29" s="49">
        <f>+'A) Base RI'!A31</f>
        <v>5430</v>
      </c>
      <c r="B29" s="484" t="str">
        <f>+'A) Base RI'!B31</f>
        <v>Marchissy</v>
      </c>
      <c r="C29" s="304">
        <f>+'D) Ecrêtage'!C29</f>
        <v>14848.450709677421</v>
      </c>
      <c r="D29" s="440">
        <v>49432</v>
      </c>
      <c r="E29" s="440">
        <f t="shared" si="0"/>
        <v>427524</v>
      </c>
      <c r="F29" s="518">
        <f t="shared" si="1"/>
        <v>28.792498851167203</v>
      </c>
      <c r="G29" s="440">
        <v>476956</v>
      </c>
      <c r="H29" s="440">
        <v>22480</v>
      </c>
      <c r="I29" s="438">
        <v>40861</v>
      </c>
      <c r="J29" s="304">
        <f t="shared" si="2"/>
        <v>540297</v>
      </c>
      <c r="K29" s="284">
        <f t="shared" si="3"/>
        <v>118787.60567741937</v>
      </c>
      <c r="L29" s="10">
        <f t="shared" si="4"/>
        <v>421509.39432258066</v>
      </c>
      <c r="M29" s="301">
        <f t="shared" si="5"/>
        <v>-316132.04574193549</v>
      </c>
      <c r="N29" s="10">
        <v>0</v>
      </c>
      <c r="O29" s="10">
        <f t="shared" si="6"/>
        <v>84007</v>
      </c>
      <c r="P29" s="442">
        <v>84007</v>
      </c>
      <c r="Q29" s="10">
        <f t="shared" si="7"/>
        <v>14848.450709677421</v>
      </c>
      <c r="R29" s="14">
        <f t="shared" si="8"/>
        <v>69158.549290322582</v>
      </c>
      <c r="S29" s="2">
        <f t="shared" si="9"/>
        <v>-51868.911967741937</v>
      </c>
      <c r="T29" s="130">
        <f t="shared" si="10"/>
        <v>-368000.9577096774</v>
      </c>
      <c r="U29" s="437">
        <f t="shared" si="11"/>
        <v>-24.783794949720523</v>
      </c>
      <c r="V29" s="126"/>
      <c r="W29" s="526"/>
      <c r="X29" s="526"/>
      <c r="Y29" s="526"/>
      <c r="Z29" s="526"/>
      <c r="AA29" s="526"/>
      <c r="AB29" s="526"/>
      <c r="AC29" s="423"/>
      <c r="AD29" s="423"/>
      <c r="AE29" s="423"/>
      <c r="AF29" s="423"/>
      <c r="AG29" s="423"/>
    </row>
    <row r="30" spans="1:33" x14ac:dyDescent="0.25">
      <c r="A30" s="49">
        <f>+'A) Base RI'!A32</f>
        <v>5431</v>
      </c>
      <c r="B30" s="484" t="str">
        <f>+'A) Base RI'!B32</f>
        <v>Mollens</v>
      </c>
      <c r="C30" s="304">
        <f>+'D) Ecrêtage'!C30</f>
        <v>9333.4747297297308</v>
      </c>
      <c r="D30" s="440">
        <v>0</v>
      </c>
      <c r="E30" s="440">
        <f t="shared" si="0"/>
        <v>72866</v>
      </c>
      <c r="F30" s="518">
        <f t="shared" si="1"/>
        <v>7.8069531562453784</v>
      </c>
      <c r="G30" s="440">
        <v>72866</v>
      </c>
      <c r="H30" s="440">
        <v>12263</v>
      </c>
      <c r="I30" s="438">
        <v>39410</v>
      </c>
      <c r="J30" s="304">
        <f t="shared" si="2"/>
        <v>124539</v>
      </c>
      <c r="K30" s="284">
        <f t="shared" si="3"/>
        <v>74667.797837837847</v>
      </c>
      <c r="L30" s="10">
        <f t="shared" si="4"/>
        <v>49871.202162162153</v>
      </c>
      <c r="M30" s="301">
        <f t="shared" si="5"/>
        <v>-37403.401621621611</v>
      </c>
      <c r="N30" s="10">
        <v>0</v>
      </c>
      <c r="O30" s="10">
        <f t="shared" si="6"/>
        <v>58344</v>
      </c>
      <c r="P30" s="442">
        <v>58344</v>
      </c>
      <c r="Q30" s="10">
        <f t="shared" si="7"/>
        <v>9333.4747297297308</v>
      </c>
      <c r="R30" s="14">
        <f t="shared" si="8"/>
        <v>49010.525270270271</v>
      </c>
      <c r="S30" s="2">
        <f t="shared" si="9"/>
        <v>-36757.893952702703</v>
      </c>
      <c r="T30" s="130">
        <f t="shared" si="10"/>
        <v>-74161.295574324322</v>
      </c>
      <c r="U30" s="437">
        <f t="shared" si="11"/>
        <v>-7.9457327224661389</v>
      </c>
      <c r="V30" s="126"/>
      <c r="W30" s="526"/>
      <c r="X30" s="526"/>
      <c r="Y30" s="526"/>
      <c r="Z30" s="526"/>
      <c r="AA30" s="526"/>
      <c r="AB30" s="526"/>
      <c r="AC30" s="423"/>
      <c r="AD30" s="423"/>
      <c r="AE30" s="423"/>
      <c r="AF30" s="423"/>
      <c r="AG30" s="423"/>
    </row>
    <row r="31" spans="1:33" x14ac:dyDescent="0.25">
      <c r="A31" s="49">
        <f>+'A) Base RI'!A33</f>
        <v>5432</v>
      </c>
      <c r="B31" s="484" t="str">
        <f>+'A) Base RI'!B33</f>
        <v>Montherod</v>
      </c>
      <c r="C31" s="304">
        <f>+'D) Ecrêtage'!C31</f>
        <v>16429.509999999998</v>
      </c>
      <c r="D31" s="440">
        <v>14382</v>
      </c>
      <c r="E31" s="440">
        <f t="shared" si="0"/>
        <v>87155</v>
      </c>
      <c r="F31" s="518">
        <f t="shared" si="1"/>
        <v>5.3047838919115673</v>
      </c>
      <c r="G31" s="440">
        <v>101537</v>
      </c>
      <c r="H31" s="440">
        <v>22979</v>
      </c>
      <c r="I31" s="438">
        <v>56229</v>
      </c>
      <c r="J31" s="304">
        <f t="shared" si="2"/>
        <v>180745</v>
      </c>
      <c r="K31" s="284">
        <f t="shared" si="3"/>
        <v>131436.07999999999</v>
      </c>
      <c r="L31" s="10">
        <f t="shared" si="4"/>
        <v>49308.920000000013</v>
      </c>
      <c r="M31" s="301">
        <f t="shared" si="5"/>
        <v>-36981.69000000001</v>
      </c>
      <c r="N31" s="10">
        <v>0</v>
      </c>
      <c r="O31" s="10">
        <f t="shared" si="6"/>
        <v>2459</v>
      </c>
      <c r="P31" s="442">
        <v>2459</v>
      </c>
      <c r="Q31" s="10">
        <f t="shared" si="7"/>
        <v>16429.509999999998</v>
      </c>
      <c r="R31" s="14">
        <f t="shared" si="8"/>
        <v>0</v>
      </c>
      <c r="S31" s="2">
        <f t="shared" si="9"/>
        <v>0</v>
      </c>
      <c r="T31" s="130">
        <f t="shared" si="10"/>
        <v>-36981.69000000001</v>
      </c>
      <c r="U31" s="437">
        <f t="shared" si="11"/>
        <v>-2.2509307946493848</v>
      </c>
      <c r="V31" s="126"/>
      <c r="W31" s="526"/>
      <c r="X31" s="526"/>
      <c r="Y31" s="526"/>
      <c r="Z31" s="526"/>
      <c r="AA31" s="526"/>
      <c r="AB31" s="526"/>
      <c r="AC31" s="423"/>
      <c r="AD31" s="423"/>
      <c r="AE31" s="423"/>
      <c r="AF31" s="423"/>
      <c r="AG31" s="423"/>
    </row>
    <row r="32" spans="1:33" x14ac:dyDescent="0.25">
      <c r="A32" s="49">
        <f>+'A) Base RI'!A34</f>
        <v>5434</v>
      </c>
      <c r="B32" s="484" t="str">
        <f>+'A) Base RI'!B34</f>
        <v>Saint-George</v>
      </c>
      <c r="C32" s="304">
        <f>+'D) Ecrêtage'!C32</f>
        <v>40796.774220623498</v>
      </c>
      <c r="D32" s="440">
        <v>15495</v>
      </c>
      <c r="E32" s="440">
        <f t="shared" si="0"/>
        <v>149566</v>
      </c>
      <c r="F32" s="518">
        <f t="shared" si="1"/>
        <v>3.6661231888376045</v>
      </c>
      <c r="G32" s="440">
        <v>165061</v>
      </c>
      <c r="H32" s="440">
        <v>45151</v>
      </c>
      <c r="I32" s="438">
        <v>114751</v>
      </c>
      <c r="J32" s="304">
        <f t="shared" si="2"/>
        <v>324963</v>
      </c>
      <c r="K32" s="284">
        <f t="shared" si="3"/>
        <v>326374.19376498798</v>
      </c>
      <c r="L32" s="10">
        <f t="shared" si="4"/>
        <v>0</v>
      </c>
      <c r="M32" s="301">
        <f t="shared" si="5"/>
        <v>0</v>
      </c>
      <c r="N32" s="10">
        <v>0</v>
      </c>
      <c r="O32" s="10">
        <f t="shared" si="6"/>
        <v>114073</v>
      </c>
      <c r="P32" s="442">
        <v>114073</v>
      </c>
      <c r="Q32" s="10">
        <f t="shared" si="7"/>
        <v>40796.774220623498</v>
      </c>
      <c r="R32" s="14">
        <f t="shared" si="8"/>
        <v>73276.225779376502</v>
      </c>
      <c r="S32" s="2">
        <f t="shared" si="9"/>
        <v>-54957.169334532373</v>
      </c>
      <c r="T32" s="130">
        <f t="shared" si="10"/>
        <v>-54957.169334532373</v>
      </c>
      <c r="U32" s="437">
        <f t="shared" si="11"/>
        <v>-1.3470959502173223</v>
      </c>
      <c r="V32" s="126"/>
      <c r="W32" s="526"/>
      <c r="X32" s="526"/>
      <c r="Y32" s="526"/>
      <c r="Z32" s="526"/>
      <c r="AA32" s="526"/>
      <c r="AB32" s="526"/>
      <c r="AC32" s="423"/>
      <c r="AD32" s="423"/>
      <c r="AE32" s="423"/>
      <c r="AF32" s="423"/>
      <c r="AG32" s="423"/>
    </row>
    <row r="33" spans="1:33" x14ac:dyDescent="0.25">
      <c r="A33" s="49">
        <f>+'A) Base RI'!A35</f>
        <v>5435</v>
      </c>
      <c r="B33" s="484" t="str">
        <f>+'A) Base RI'!B35</f>
        <v>Saint-Livres</v>
      </c>
      <c r="C33" s="304">
        <f>+'D) Ecrêtage'!C33</f>
        <v>26346.510144927532</v>
      </c>
      <c r="D33" s="440">
        <v>1160</v>
      </c>
      <c r="E33" s="440">
        <f t="shared" si="0"/>
        <v>147225</v>
      </c>
      <c r="F33" s="518">
        <f t="shared" si="1"/>
        <v>5.5880266187112104</v>
      </c>
      <c r="G33" s="440">
        <v>148385</v>
      </c>
      <c r="H33" s="440">
        <v>44375</v>
      </c>
      <c r="I33" s="438">
        <v>72001</v>
      </c>
      <c r="J33" s="304">
        <f t="shared" si="2"/>
        <v>264761</v>
      </c>
      <c r="K33" s="284">
        <f t="shared" si="3"/>
        <v>210772.08115942025</v>
      </c>
      <c r="L33" s="10">
        <f t="shared" si="4"/>
        <v>53988.918840579747</v>
      </c>
      <c r="M33" s="301">
        <f t="shared" si="5"/>
        <v>-40491.68913043481</v>
      </c>
      <c r="N33" s="10">
        <v>0</v>
      </c>
      <c r="O33" s="10">
        <f t="shared" si="6"/>
        <v>6872</v>
      </c>
      <c r="P33" s="442">
        <v>6872</v>
      </c>
      <c r="Q33" s="10">
        <f t="shared" si="7"/>
        <v>26346.510144927532</v>
      </c>
      <c r="R33" s="14">
        <f t="shared" si="8"/>
        <v>0</v>
      </c>
      <c r="S33" s="2">
        <f t="shared" si="9"/>
        <v>0</v>
      </c>
      <c r="T33" s="130">
        <f t="shared" si="10"/>
        <v>-40491.68913043481</v>
      </c>
      <c r="U33" s="437">
        <f t="shared" si="11"/>
        <v>-1.5368900437931676</v>
      </c>
      <c r="V33" s="126"/>
      <c r="W33" s="526"/>
      <c r="X33" s="526"/>
      <c r="Y33" s="526"/>
      <c r="Z33" s="526"/>
      <c r="AA33" s="526"/>
      <c r="AB33" s="526"/>
      <c r="AC33" s="423"/>
      <c r="AD33" s="423"/>
      <c r="AE33" s="423"/>
      <c r="AF33" s="423"/>
      <c r="AG33" s="423"/>
    </row>
    <row r="34" spans="1:33" x14ac:dyDescent="0.25">
      <c r="A34" s="49">
        <f>+'A) Base RI'!A36</f>
        <v>5436</v>
      </c>
      <c r="B34" s="484" t="str">
        <f>+'A) Base RI'!B36</f>
        <v>Saint-Oyens</v>
      </c>
      <c r="C34" s="304">
        <f>+'D) Ecrêtage'!C34</f>
        <v>16755.63848765432</v>
      </c>
      <c r="D34" s="440">
        <v>0</v>
      </c>
      <c r="E34" s="440">
        <f t="shared" si="0"/>
        <v>39480</v>
      </c>
      <c r="F34" s="518">
        <f t="shared" si="1"/>
        <v>2.3562217595640513</v>
      </c>
      <c r="G34" s="440">
        <v>39480</v>
      </c>
      <c r="H34" s="440">
        <v>15361</v>
      </c>
      <c r="I34" s="438">
        <v>32153</v>
      </c>
      <c r="J34" s="304">
        <f t="shared" si="2"/>
        <v>86994</v>
      </c>
      <c r="K34" s="284">
        <f t="shared" si="3"/>
        <v>134045.10790123456</v>
      </c>
      <c r="L34" s="10">
        <f t="shared" si="4"/>
        <v>0</v>
      </c>
      <c r="M34" s="301">
        <f t="shared" si="5"/>
        <v>0</v>
      </c>
      <c r="N34" s="10">
        <v>0</v>
      </c>
      <c r="O34" s="10">
        <f t="shared" si="6"/>
        <v>9309</v>
      </c>
      <c r="P34" s="442">
        <v>9309</v>
      </c>
      <c r="Q34" s="10">
        <f t="shared" si="7"/>
        <v>16755.63848765432</v>
      </c>
      <c r="R34" s="14">
        <f t="shared" si="8"/>
        <v>0</v>
      </c>
      <c r="S34" s="2">
        <f t="shared" si="9"/>
        <v>0</v>
      </c>
      <c r="T34" s="130">
        <f t="shared" si="10"/>
        <v>0</v>
      </c>
      <c r="U34" s="437">
        <f t="shared" si="11"/>
        <v>0</v>
      </c>
      <c r="V34" s="126"/>
      <c r="W34" s="526"/>
      <c r="X34" s="526"/>
      <c r="Y34" s="526"/>
      <c r="Z34" s="526"/>
      <c r="AA34" s="526"/>
      <c r="AB34" s="526"/>
      <c r="AC34" s="423"/>
      <c r="AD34" s="423"/>
      <c r="AE34" s="423"/>
      <c r="AF34" s="423"/>
      <c r="AG34" s="423"/>
    </row>
    <row r="35" spans="1:33" x14ac:dyDescent="0.25">
      <c r="A35" s="49">
        <f>+'A) Base RI'!A37</f>
        <v>5437</v>
      </c>
      <c r="B35" s="484" t="str">
        <f>+'A) Base RI'!B37</f>
        <v>Saubraz</v>
      </c>
      <c r="C35" s="304">
        <f>+'D) Ecrêtage'!C35</f>
        <v>13391.905875</v>
      </c>
      <c r="D35" s="440">
        <v>0</v>
      </c>
      <c r="E35" s="440">
        <f t="shared" si="0"/>
        <v>59231</v>
      </c>
      <c r="F35" s="518">
        <f t="shared" si="1"/>
        <v>4.4228954827536819</v>
      </c>
      <c r="G35" s="440">
        <v>59231</v>
      </c>
      <c r="H35" s="440">
        <v>11978</v>
      </c>
      <c r="I35" s="438">
        <v>55801</v>
      </c>
      <c r="J35" s="304">
        <f t="shared" si="2"/>
        <v>127010</v>
      </c>
      <c r="K35" s="284">
        <f t="shared" si="3"/>
        <v>107135.247</v>
      </c>
      <c r="L35" s="10">
        <f t="shared" si="4"/>
        <v>19874.752999999997</v>
      </c>
      <c r="M35" s="301">
        <f t="shared" si="5"/>
        <v>-14906.064749999998</v>
      </c>
      <c r="N35" s="10">
        <v>0</v>
      </c>
      <c r="O35" s="10">
        <f t="shared" si="6"/>
        <v>9712</v>
      </c>
      <c r="P35" s="442">
        <v>9712</v>
      </c>
      <c r="Q35" s="10">
        <f t="shared" si="7"/>
        <v>13391.905875</v>
      </c>
      <c r="R35" s="14">
        <f t="shared" si="8"/>
        <v>0</v>
      </c>
      <c r="S35" s="2">
        <f t="shared" si="9"/>
        <v>0</v>
      </c>
      <c r="T35" s="130">
        <f t="shared" si="10"/>
        <v>-14906.064749999998</v>
      </c>
      <c r="U35" s="437">
        <f t="shared" si="11"/>
        <v>-1.1130652267969288</v>
      </c>
      <c r="V35" s="126"/>
      <c r="W35" s="526"/>
      <c r="X35" s="526"/>
      <c r="Y35" s="526"/>
      <c r="Z35" s="526"/>
      <c r="AA35" s="526"/>
      <c r="AB35" s="526"/>
      <c r="AC35" s="423"/>
      <c r="AD35" s="423"/>
      <c r="AE35" s="423"/>
      <c r="AF35" s="423"/>
      <c r="AG35" s="423"/>
    </row>
    <row r="36" spans="1:33" x14ac:dyDescent="0.25">
      <c r="A36" s="49">
        <f>+'A) Base RI'!A38</f>
        <v>5451</v>
      </c>
      <c r="B36" s="484" t="str">
        <f>+'A) Base RI'!B38</f>
        <v>Avenches</v>
      </c>
      <c r="C36" s="304">
        <f>+'D) Ecrêtage'!C36</f>
        <v>129500.81187969925</v>
      </c>
      <c r="D36" s="440">
        <v>580568</v>
      </c>
      <c r="E36" s="440">
        <f t="shared" si="0"/>
        <v>1141373</v>
      </c>
      <c r="F36" s="518">
        <f t="shared" si="1"/>
        <v>8.8136358639997336</v>
      </c>
      <c r="G36" s="440">
        <v>1721941</v>
      </c>
      <c r="H36" s="440">
        <v>679837</v>
      </c>
      <c r="I36" s="438">
        <v>462210</v>
      </c>
      <c r="J36" s="304">
        <f t="shared" si="2"/>
        <v>2863988</v>
      </c>
      <c r="K36" s="284">
        <f t="shared" si="3"/>
        <v>1036006.495037594</v>
      </c>
      <c r="L36" s="10">
        <f t="shared" si="4"/>
        <v>1827981.5049624061</v>
      </c>
      <c r="M36" s="301">
        <f t="shared" si="5"/>
        <v>-1370986.1287218046</v>
      </c>
      <c r="N36" s="10">
        <v>0</v>
      </c>
      <c r="O36" s="10">
        <f t="shared" si="6"/>
        <v>75417</v>
      </c>
      <c r="P36" s="442">
        <v>75417</v>
      </c>
      <c r="Q36" s="10">
        <f t="shared" si="7"/>
        <v>129500.81187969925</v>
      </c>
      <c r="R36" s="14">
        <f t="shared" si="8"/>
        <v>0</v>
      </c>
      <c r="S36" s="2">
        <f t="shared" si="9"/>
        <v>0</v>
      </c>
      <c r="T36" s="130">
        <f t="shared" si="10"/>
        <v>-1370986.1287218046</v>
      </c>
      <c r="U36" s="437">
        <f t="shared" si="11"/>
        <v>-10.586699101125269</v>
      </c>
      <c r="V36" s="126"/>
      <c r="W36" s="526"/>
      <c r="X36" s="526"/>
      <c r="Y36" s="526"/>
      <c r="Z36" s="526"/>
      <c r="AA36" s="526"/>
      <c r="AB36" s="526"/>
      <c r="AC36" s="423"/>
      <c r="AD36" s="423"/>
      <c r="AE36" s="423"/>
      <c r="AF36" s="423"/>
      <c r="AG36" s="423"/>
    </row>
    <row r="37" spans="1:33" x14ac:dyDescent="0.25">
      <c r="A37" s="49">
        <f>+'A) Base RI'!A39</f>
        <v>5456</v>
      </c>
      <c r="B37" s="484" t="str">
        <f>+'A) Base RI'!B39</f>
        <v>Cudrefin</v>
      </c>
      <c r="C37" s="304">
        <f>+'D) Ecrêtage'!C37</f>
        <v>64226.933276836171</v>
      </c>
      <c r="D37" s="440">
        <v>73333</v>
      </c>
      <c r="E37" s="440">
        <f t="shared" si="0"/>
        <v>463434</v>
      </c>
      <c r="F37" s="518">
        <f t="shared" si="1"/>
        <v>7.215571044042675</v>
      </c>
      <c r="G37" s="440">
        <v>536767</v>
      </c>
      <c r="H37" s="440">
        <v>98219</v>
      </c>
      <c r="I37" s="438">
        <v>190440</v>
      </c>
      <c r="J37" s="304">
        <f t="shared" si="2"/>
        <v>825426</v>
      </c>
      <c r="K37" s="284">
        <f t="shared" si="3"/>
        <v>513815.46621468937</v>
      </c>
      <c r="L37" s="10">
        <f t="shared" si="4"/>
        <v>311610.53378531063</v>
      </c>
      <c r="M37" s="301">
        <f t="shared" si="5"/>
        <v>-233707.90033898299</v>
      </c>
      <c r="N37" s="10">
        <v>0</v>
      </c>
      <c r="O37" s="10">
        <f t="shared" si="6"/>
        <v>1049</v>
      </c>
      <c r="P37" s="442">
        <v>1049</v>
      </c>
      <c r="Q37" s="10">
        <f t="shared" si="7"/>
        <v>64226.933276836171</v>
      </c>
      <c r="R37" s="14">
        <f t="shared" si="8"/>
        <v>0</v>
      </c>
      <c r="S37" s="2">
        <f t="shared" si="9"/>
        <v>0</v>
      </c>
      <c r="T37" s="130">
        <f t="shared" si="10"/>
        <v>-233707.90033898299</v>
      </c>
      <c r="U37" s="437">
        <f t="shared" si="11"/>
        <v>-3.6387834264425503</v>
      </c>
      <c r="V37" s="126"/>
      <c r="W37" s="526"/>
      <c r="X37" s="526"/>
      <c r="Y37" s="526"/>
      <c r="Z37" s="526"/>
      <c r="AA37" s="526"/>
      <c r="AB37" s="526"/>
      <c r="AC37" s="423"/>
      <c r="AD37" s="423"/>
      <c r="AE37" s="423"/>
      <c r="AF37" s="423"/>
      <c r="AG37" s="423"/>
    </row>
    <row r="38" spans="1:33" x14ac:dyDescent="0.25">
      <c r="A38" s="49">
        <f>+'A) Base RI'!A40</f>
        <v>5458</v>
      </c>
      <c r="B38" s="484" t="str">
        <f>+'A) Base RI'!B40</f>
        <v>Faoug</v>
      </c>
      <c r="C38" s="304">
        <f>+'D) Ecrêtage'!C38</f>
        <v>32198.404090909091</v>
      </c>
      <c r="D38" s="440">
        <v>20180</v>
      </c>
      <c r="E38" s="440">
        <f t="shared" si="0"/>
        <v>209133</v>
      </c>
      <c r="F38" s="518">
        <f t="shared" si="1"/>
        <v>6.4951355790657548</v>
      </c>
      <c r="G38" s="440">
        <v>229313</v>
      </c>
      <c r="H38" s="440">
        <v>83406</v>
      </c>
      <c r="I38" s="438">
        <v>85726</v>
      </c>
      <c r="J38" s="304">
        <f t="shared" si="2"/>
        <v>398445</v>
      </c>
      <c r="K38" s="284">
        <f t="shared" si="3"/>
        <v>257587.23272727273</v>
      </c>
      <c r="L38" s="10">
        <f t="shared" si="4"/>
        <v>140857.76727272727</v>
      </c>
      <c r="M38" s="301">
        <f t="shared" si="5"/>
        <v>-105643.32545454545</v>
      </c>
      <c r="N38" s="10">
        <v>0</v>
      </c>
      <c r="O38" s="10">
        <f t="shared" si="6"/>
        <v>14865</v>
      </c>
      <c r="P38" s="442">
        <v>14865</v>
      </c>
      <c r="Q38" s="10">
        <f t="shared" si="7"/>
        <v>32198.404090909091</v>
      </c>
      <c r="R38" s="14">
        <f t="shared" si="8"/>
        <v>0</v>
      </c>
      <c r="S38" s="2">
        <f t="shared" si="9"/>
        <v>0</v>
      </c>
      <c r="T38" s="130">
        <f t="shared" si="10"/>
        <v>-105643.32545454545</v>
      </c>
      <c r="U38" s="437">
        <f t="shared" si="11"/>
        <v>-3.281011231372577</v>
      </c>
      <c r="V38" s="126"/>
      <c r="W38" s="526"/>
      <c r="X38" s="526"/>
      <c r="Y38" s="526"/>
      <c r="Z38" s="526"/>
      <c r="AA38" s="526"/>
      <c r="AB38" s="526"/>
      <c r="AC38" s="423"/>
      <c r="AD38" s="423"/>
      <c r="AE38" s="423"/>
      <c r="AF38" s="423"/>
      <c r="AG38" s="423"/>
    </row>
    <row r="39" spans="1:33" x14ac:dyDescent="0.25">
      <c r="A39" s="49">
        <f>+'A) Base RI'!A41</f>
        <v>5464</v>
      </c>
      <c r="B39" s="484" t="str">
        <f>+'A) Base RI'!B41</f>
        <v>Vully-les-Lacs</v>
      </c>
      <c r="C39" s="304">
        <f>+'D) Ecrêtage'!C39</f>
        <v>111597.31895522389</v>
      </c>
      <c r="D39" s="440">
        <v>182318</v>
      </c>
      <c r="E39" s="440">
        <f t="shared" si="0"/>
        <v>660388</v>
      </c>
      <c r="F39" s="518">
        <f t="shared" si="1"/>
        <v>5.9175973597086768</v>
      </c>
      <c r="G39" s="440">
        <v>842706</v>
      </c>
      <c r="H39" s="440">
        <v>185570</v>
      </c>
      <c r="I39" s="438">
        <v>333139</v>
      </c>
      <c r="J39" s="304">
        <f t="shared" si="2"/>
        <v>1361415</v>
      </c>
      <c r="K39" s="284">
        <f t="shared" si="3"/>
        <v>892778.55164179113</v>
      </c>
      <c r="L39" s="10">
        <f t="shared" si="4"/>
        <v>468636.44835820887</v>
      </c>
      <c r="M39" s="301">
        <f t="shared" si="5"/>
        <v>-351477.33626865665</v>
      </c>
      <c r="N39" s="10">
        <v>5987</v>
      </c>
      <c r="O39" s="10">
        <f t="shared" si="6"/>
        <v>0</v>
      </c>
      <c r="P39" s="442">
        <v>5987</v>
      </c>
      <c r="Q39" s="10">
        <f t="shared" si="7"/>
        <v>111597.31895522389</v>
      </c>
      <c r="R39" s="14">
        <f t="shared" si="8"/>
        <v>0</v>
      </c>
      <c r="S39" s="2">
        <f t="shared" si="9"/>
        <v>0</v>
      </c>
      <c r="T39" s="130">
        <f t="shared" si="10"/>
        <v>-351477.33626865665</v>
      </c>
      <c r="U39" s="437">
        <f t="shared" si="11"/>
        <v>-3.1495141600102388</v>
      </c>
      <c r="V39" s="126"/>
      <c r="W39" s="526"/>
      <c r="X39" s="526"/>
      <c r="Y39" s="526"/>
      <c r="Z39" s="526"/>
      <c r="AA39" s="526"/>
      <c r="AB39" s="526"/>
      <c r="AC39" s="423"/>
      <c r="AD39" s="423"/>
      <c r="AE39" s="423"/>
      <c r="AF39" s="423"/>
      <c r="AG39" s="423"/>
    </row>
    <row r="40" spans="1:33" x14ac:dyDescent="0.25">
      <c r="A40" s="49">
        <f>+'A) Base RI'!A42</f>
        <v>5471</v>
      </c>
      <c r="B40" s="484" t="str">
        <f>+'A) Base RI'!B42</f>
        <v>Bettens</v>
      </c>
      <c r="C40" s="304">
        <f>+'D) Ecrêtage'!C40</f>
        <v>20385.282730158731</v>
      </c>
      <c r="D40" s="440">
        <v>35003</v>
      </c>
      <c r="E40" s="440">
        <f t="shared" si="0"/>
        <v>86625</v>
      </c>
      <c r="F40" s="518">
        <f t="shared" si="1"/>
        <v>4.249389186633346</v>
      </c>
      <c r="G40" s="440">
        <v>121628</v>
      </c>
      <c r="H40" s="440">
        <v>18599</v>
      </c>
      <c r="I40" s="438">
        <v>52286</v>
      </c>
      <c r="J40" s="304">
        <f t="shared" si="2"/>
        <v>192513</v>
      </c>
      <c r="K40" s="284">
        <f t="shared" si="3"/>
        <v>163082.26184126985</v>
      </c>
      <c r="L40" s="10">
        <f t="shared" si="4"/>
        <v>29430.73815873015</v>
      </c>
      <c r="M40" s="301">
        <f t="shared" si="5"/>
        <v>-22073.053619047612</v>
      </c>
      <c r="N40" s="10">
        <v>0</v>
      </c>
      <c r="O40" s="10">
        <f t="shared" si="6"/>
        <v>2345</v>
      </c>
      <c r="P40" s="442">
        <v>2345</v>
      </c>
      <c r="Q40" s="10">
        <f t="shared" si="7"/>
        <v>20385.282730158731</v>
      </c>
      <c r="R40" s="14">
        <f t="shared" si="8"/>
        <v>0</v>
      </c>
      <c r="S40" s="2">
        <f t="shared" si="9"/>
        <v>0</v>
      </c>
      <c r="T40" s="130">
        <f t="shared" si="10"/>
        <v>-22073.053619047612</v>
      </c>
      <c r="U40" s="437">
        <f t="shared" si="11"/>
        <v>-1.0827935972843747</v>
      </c>
      <c r="V40" s="126"/>
      <c r="W40" s="526"/>
      <c r="X40" s="526"/>
      <c r="Y40" s="526"/>
      <c r="Z40" s="526"/>
      <c r="AA40" s="526"/>
      <c r="AB40" s="526"/>
      <c r="AC40" s="423"/>
      <c r="AD40" s="423"/>
      <c r="AE40" s="423"/>
      <c r="AF40" s="423"/>
      <c r="AG40" s="423"/>
    </row>
    <row r="41" spans="1:33" x14ac:dyDescent="0.25">
      <c r="A41" s="49">
        <f>+'A) Base RI'!A43</f>
        <v>5472</v>
      </c>
      <c r="B41" s="484" t="str">
        <f>+'A) Base RI'!B43</f>
        <v>Bournens</v>
      </c>
      <c r="C41" s="304">
        <f>+'D) Ecrêtage'!C41</f>
        <v>20143.161388888886</v>
      </c>
      <c r="D41" s="440">
        <v>2333</v>
      </c>
      <c r="E41" s="440">
        <f t="shared" si="0"/>
        <v>42351</v>
      </c>
      <c r="F41" s="518">
        <f t="shared" si="1"/>
        <v>2.1025001578630613</v>
      </c>
      <c r="G41" s="440">
        <v>44684</v>
      </c>
      <c r="H41" s="440">
        <v>12075</v>
      </c>
      <c r="I41" s="438">
        <v>22688</v>
      </c>
      <c r="J41" s="304">
        <f t="shared" si="2"/>
        <v>79447</v>
      </c>
      <c r="K41" s="284">
        <f t="shared" si="3"/>
        <v>161145.29111111109</v>
      </c>
      <c r="L41" s="10">
        <f t="shared" si="4"/>
        <v>0</v>
      </c>
      <c r="M41" s="301">
        <f t="shared" si="5"/>
        <v>0</v>
      </c>
      <c r="N41" s="10">
        <v>0</v>
      </c>
      <c r="O41" s="10">
        <f t="shared" si="6"/>
        <v>41011</v>
      </c>
      <c r="P41" s="442">
        <v>41011</v>
      </c>
      <c r="Q41" s="10">
        <f t="shared" si="7"/>
        <v>20143.161388888886</v>
      </c>
      <c r="R41" s="14">
        <f t="shared" si="8"/>
        <v>20867.838611111114</v>
      </c>
      <c r="S41" s="2">
        <f t="shared" si="9"/>
        <v>-15650.878958333335</v>
      </c>
      <c r="T41" s="130">
        <f t="shared" si="10"/>
        <v>-15650.878958333335</v>
      </c>
      <c r="U41" s="437">
        <f t="shared" si="11"/>
        <v>-0.77698225497843021</v>
      </c>
      <c r="V41" s="126"/>
      <c r="W41" s="526"/>
      <c r="X41" s="526"/>
      <c r="Y41" s="526"/>
      <c r="Z41" s="526"/>
      <c r="AA41" s="526"/>
      <c r="AB41" s="526"/>
      <c r="AC41" s="423"/>
      <c r="AD41" s="423"/>
      <c r="AE41" s="423"/>
      <c r="AF41" s="423"/>
      <c r="AG41" s="423"/>
    </row>
    <row r="42" spans="1:33" x14ac:dyDescent="0.25">
      <c r="A42" s="49">
        <f>+'A) Base RI'!A44</f>
        <v>5473</v>
      </c>
      <c r="B42" s="484" t="str">
        <f>+'A) Base RI'!B44</f>
        <v>Boussens</v>
      </c>
      <c r="C42" s="304">
        <f>+'D) Ecrêtage'!C42</f>
        <v>37775.140592592586</v>
      </c>
      <c r="D42" s="440">
        <v>0</v>
      </c>
      <c r="E42" s="440">
        <f t="shared" si="0"/>
        <v>0</v>
      </c>
      <c r="F42" s="518">
        <f t="shared" si="1"/>
        <v>0</v>
      </c>
      <c r="G42" s="440">
        <v>0</v>
      </c>
      <c r="H42" s="440">
        <v>0</v>
      </c>
      <c r="I42" s="438">
        <v>0</v>
      </c>
      <c r="J42" s="304">
        <f t="shared" si="2"/>
        <v>0</v>
      </c>
      <c r="K42" s="284">
        <f t="shared" si="3"/>
        <v>302201.12474074069</v>
      </c>
      <c r="L42" s="10">
        <f t="shared" si="4"/>
        <v>0</v>
      </c>
      <c r="M42" s="301">
        <f t="shared" si="5"/>
        <v>0</v>
      </c>
      <c r="N42" s="10">
        <v>0</v>
      </c>
      <c r="O42" s="10">
        <f t="shared" si="6"/>
        <v>0</v>
      </c>
      <c r="P42" s="442">
        <v>0</v>
      </c>
      <c r="Q42" s="10">
        <f t="shared" si="7"/>
        <v>37775.140592592586</v>
      </c>
      <c r="R42" s="14">
        <f t="shared" si="8"/>
        <v>0</v>
      </c>
      <c r="S42" s="2">
        <f t="shared" si="9"/>
        <v>0</v>
      </c>
      <c r="T42" s="130">
        <f t="shared" si="10"/>
        <v>0</v>
      </c>
      <c r="U42" s="437">
        <f t="shared" si="11"/>
        <v>0</v>
      </c>
      <c r="V42" s="126"/>
      <c r="W42" s="526"/>
      <c r="X42" s="526"/>
      <c r="Y42" s="526"/>
      <c r="Z42" s="526"/>
      <c r="AA42" s="526"/>
      <c r="AB42" s="526"/>
      <c r="AC42" s="423"/>
      <c r="AD42" s="423"/>
      <c r="AE42" s="423"/>
      <c r="AF42" s="423"/>
      <c r="AG42" s="423"/>
    </row>
    <row r="43" spans="1:33" x14ac:dyDescent="0.25">
      <c r="A43" s="49">
        <f>+'A) Base RI'!A45</f>
        <v>5474</v>
      </c>
      <c r="B43" s="484" t="str">
        <f>+'A) Base RI'!B45</f>
        <v>La Chaux (Cossonay)</v>
      </c>
      <c r="C43" s="304">
        <f>+'D) Ecrêtage'!C43</f>
        <v>13182.521580086577</v>
      </c>
      <c r="D43" s="440">
        <v>109294</v>
      </c>
      <c r="E43" s="440">
        <f t="shared" si="0"/>
        <v>202877</v>
      </c>
      <c r="F43" s="518">
        <f t="shared" si="1"/>
        <v>15.389847744035901</v>
      </c>
      <c r="G43" s="440">
        <v>312171</v>
      </c>
      <c r="H43" s="440">
        <v>15727</v>
      </c>
      <c r="I43" s="438">
        <v>74268</v>
      </c>
      <c r="J43" s="304">
        <f t="shared" si="2"/>
        <v>402166</v>
      </c>
      <c r="K43" s="284">
        <f t="shared" si="3"/>
        <v>105460.17264069262</v>
      </c>
      <c r="L43" s="10">
        <f t="shared" si="4"/>
        <v>296705.82735930738</v>
      </c>
      <c r="M43" s="301">
        <f t="shared" si="5"/>
        <v>-222529.37051948055</v>
      </c>
      <c r="N43" s="10">
        <v>0</v>
      </c>
      <c r="O43" s="10">
        <f t="shared" si="6"/>
        <v>10223</v>
      </c>
      <c r="P43" s="442">
        <v>10223</v>
      </c>
      <c r="Q43" s="10">
        <f t="shared" si="7"/>
        <v>13182.521580086577</v>
      </c>
      <c r="R43" s="14">
        <f t="shared" si="8"/>
        <v>0</v>
      </c>
      <c r="S43" s="2">
        <f t="shared" si="9"/>
        <v>0</v>
      </c>
      <c r="T43" s="130">
        <f t="shared" si="10"/>
        <v>-222529.37051948055</v>
      </c>
      <c r="U43" s="437">
        <f t="shared" si="11"/>
        <v>-16.880637681309153</v>
      </c>
      <c r="V43" s="126"/>
      <c r="W43" s="526"/>
      <c r="X43" s="526"/>
      <c r="Y43" s="526"/>
      <c r="Z43" s="526"/>
      <c r="AA43" s="526"/>
      <c r="AB43" s="526"/>
      <c r="AC43" s="423"/>
      <c r="AD43" s="423"/>
      <c r="AE43" s="423"/>
      <c r="AF43" s="423"/>
      <c r="AG43" s="423"/>
    </row>
    <row r="44" spans="1:33" x14ac:dyDescent="0.25">
      <c r="A44" s="49">
        <f>+'A) Base RI'!A46</f>
        <v>5475</v>
      </c>
      <c r="B44" s="484" t="str">
        <f>+'A) Base RI'!B46</f>
        <v>Chavannes-le-Veyron</v>
      </c>
      <c r="C44" s="304">
        <f>+'D) Ecrêtage'!C44</f>
        <v>3874.6645454545451</v>
      </c>
      <c r="D44" s="440">
        <v>1808</v>
      </c>
      <c r="E44" s="440">
        <f t="shared" si="0"/>
        <v>22782</v>
      </c>
      <c r="F44" s="518">
        <f t="shared" si="1"/>
        <v>5.8797348087142334</v>
      </c>
      <c r="G44" s="440">
        <v>24590</v>
      </c>
      <c r="H44" s="440">
        <v>6052</v>
      </c>
      <c r="I44" s="438">
        <v>23586</v>
      </c>
      <c r="J44" s="304">
        <f t="shared" si="2"/>
        <v>54228</v>
      </c>
      <c r="K44" s="284">
        <f t="shared" si="3"/>
        <v>30997.316363636361</v>
      </c>
      <c r="L44" s="10">
        <f t="shared" si="4"/>
        <v>23230.683636363639</v>
      </c>
      <c r="M44" s="301">
        <f t="shared" si="5"/>
        <v>-17423.01272727273</v>
      </c>
      <c r="N44" s="10">
        <v>0</v>
      </c>
      <c r="O44" s="10">
        <f t="shared" si="6"/>
        <v>22323</v>
      </c>
      <c r="P44" s="442">
        <v>22323</v>
      </c>
      <c r="Q44" s="10">
        <f t="shared" si="7"/>
        <v>3874.6645454545451</v>
      </c>
      <c r="R44" s="14">
        <f t="shared" si="8"/>
        <v>18448.335454545457</v>
      </c>
      <c r="S44" s="2">
        <f t="shared" si="9"/>
        <v>-13836.251590909093</v>
      </c>
      <c r="T44" s="130">
        <f t="shared" si="10"/>
        <v>-31259.26431818182</v>
      </c>
      <c r="U44" s="437">
        <f t="shared" si="11"/>
        <v>-8.0676053246603647</v>
      </c>
      <c r="V44" s="126"/>
      <c r="W44" s="526"/>
      <c r="X44" s="526"/>
      <c r="Y44" s="526"/>
      <c r="Z44" s="526"/>
      <c r="AA44" s="526"/>
      <c r="AB44" s="526"/>
      <c r="AC44" s="423"/>
      <c r="AD44" s="423"/>
      <c r="AE44" s="423"/>
      <c r="AF44" s="423"/>
      <c r="AG44" s="423"/>
    </row>
    <row r="45" spans="1:33" x14ac:dyDescent="0.25">
      <c r="A45" s="49">
        <f>+'A) Base RI'!A47</f>
        <v>5476</v>
      </c>
      <c r="B45" s="484" t="str">
        <f>+'A) Base RI'!B47</f>
        <v>Chevilly</v>
      </c>
      <c r="C45" s="304">
        <f>+'D) Ecrêtage'!C45</f>
        <v>11839.396756756756</v>
      </c>
      <c r="D45" s="440">
        <v>0</v>
      </c>
      <c r="E45" s="440">
        <f t="shared" si="0"/>
        <v>35064</v>
      </c>
      <c r="F45" s="518">
        <f t="shared" si="1"/>
        <v>2.9616373807211875</v>
      </c>
      <c r="G45" s="440">
        <v>35064</v>
      </c>
      <c r="H45" s="440">
        <v>17559</v>
      </c>
      <c r="I45" s="438">
        <v>31202</v>
      </c>
      <c r="J45" s="304">
        <f t="shared" si="2"/>
        <v>83825</v>
      </c>
      <c r="K45" s="284">
        <f t="shared" si="3"/>
        <v>94715.174054054049</v>
      </c>
      <c r="L45" s="10">
        <f t="shared" si="4"/>
        <v>0</v>
      </c>
      <c r="M45" s="301">
        <f t="shared" si="5"/>
        <v>0</v>
      </c>
      <c r="N45" s="10">
        <v>0</v>
      </c>
      <c r="O45" s="10">
        <f t="shared" si="6"/>
        <v>17658</v>
      </c>
      <c r="P45" s="442">
        <v>17658</v>
      </c>
      <c r="Q45" s="10">
        <f t="shared" si="7"/>
        <v>11839.396756756756</v>
      </c>
      <c r="R45" s="14">
        <f t="shared" si="8"/>
        <v>5818.6032432432439</v>
      </c>
      <c r="S45" s="2">
        <f t="shared" si="9"/>
        <v>-4363.9524324324329</v>
      </c>
      <c r="T45" s="130">
        <f t="shared" si="10"/>
        <v>-4363.9524324324329</v>
      </c>
      <c r="U45" s="437">
        <f t="shared" si="11"/>
        <v>-0.36859584336017126</v>
      </c>
      <c r="V45" s="126"/>
      <c r="W45" s="526"/>
      <c r="X45" s="526"/>
      <c r="Y45" s="526"/>
      <c r="Z45" s="526"/>
      <c r="AA45" s="526"/>
      <c r="AB45" s="526"/>
      <c r="AC45" s="423"/>
      <c r="AD45" s="423"/>
      <c r="AE45" s="423"/>
      <c r="AF45" s="423"/>
      <c r="AG45" s="423"/>
    </row>
    <row r="46" spans="1:33" x14ac:dyDescent="0.25">
      <c r="A46" s="49">
        <f>+'A) Base RI'!A48</f>
        <v>5477</v>
      </c>
      <c r="B46" s="484" t="str">
        <f>+'A) Base RI'!B48</f>
        <v>Cossonay</v>
      </c>
      <c r="C46" s="304">
        <f>+'D) Ecrêtage'!C46</f>
        <v>119154.03251798562</v>
      </c>
      <c r="D46" s="440">
        <v>156873</v>
      </c>
      <c r="E46" s="440">
        <f t="shared" si="0"/>
        <v>859128</v>
      </c>
      <c r="F46" s="518">
        <f t="shared" si="1"/>
        <v>7.2102301688389741</v>
      </c>
      <c r="G46" s="440">
        <v>1016001</v>
      </c>
      <c r="H46" s="440">
        <v>404441</v>
      </c>
      <c r="I46" s="438">
        <v>671831</v>
      </c>
      <c r="J46" s="304">
        <f t="shared" si="2"/>
        <v>2092273</v>
      </c>
      <c r="K46" s="284">
        <f t="shared" si="3"/>
        <v>953232.26014388492</v>
      </c>
      <c r="L46" s="10">
        <f t="shared" si="4"/>
        <v>1139040.7398561151</v>
      </c>
      <c r="M46" s="301">
        <f t="shared" si="5"/>
        <v>-854280.55489208631</v>
      </c>
      <c r="N46" s="10">
        <v>0</v>
      </c>
      <c r="O46" s="10">
        <f t="shared" si="6"/>
        <v>36280</v>
      </c>
      <c r="P46" s="442">
        <v>36280</v>
      </c>
      <c r="Q46" s="10">
        <f t="shared" si="7"/>
        <v>119154.03251798562</v>
      </c>
      <c r="R46" s="14">
        <f t="shared" si="8"/>
        <v>0</v>
      </c>
      <c r="S46" s="2">
        <f t="shared" si="9"/>
        <v>0</v>
      </c>
      <c r="T46" s="130">
        <f t="shared" si="10"/>
        <v>-854280.55489208631</v>
      </c>
      <c r="U46" s="437">
        <f t="shared" si="11"/>
        <v>-7.1695479946357468</v>
      </c>
      <c r="V46" s="126"/>
      <c r="W46" s="526"/>
      <c r="X46" s="526"/>
      <c r="Y46" s="526"/>
      <c r="Z46" s="526"/>
      <c r="AA46" s="526"/>
      <c r="AB46" s="526"/>
      <c r="AC46" s="423"/>
      <c r="AD46" s="423"/>
      <c r="AE46" s="423"/>
      <c r="AF46" s="423"/>
      <c r="AG46" s="423"/>
    </row>
    <row r="47" spans="1:33" x14ac:dyDescent="0.25">
      <c r="A47" s="49">
        <f>+'A) Base RI'!A49</f>
        <v>5478</v>
      </c>
      <c r="B47" s="484" t="str">
        <f>+'A) Base RI'!B49</f>
        <v>Cottens</v>
      </c>
      <c r="C47" s="304">
        <f>+'D) Ecrêtage'!C47</f>
        <v>16291.497837837833</v>
      </c>
      <c r="D47" s="440">
        <v>0</v>
      </c>
      <c r="E47" s="440">
        <f t="shared" si="0"/>
        <v>756535</v>
      </c>
      <c r="F47" s="518">
        <f t="shared" si="1"/>
        <v>46.437412172311682</v>
      </c>
      <c r="G47" s="440">
        <v>756535</v>
      </c>
      <c r="H47" s="440">
        <v>19390</v>
      </c>
      <c r="I47" s="438">
        <v>78593</v>
      </c>
      <c r="J47" s="304">
        <f t="shared" si="2"/>
        <v>854518</v>
      </c>
      <c r="K47" s="284">
        <f t="shared" si="3"/>
        <v>130331.98270270266</v>
      </c>
      <c r="L47" s="10">
        <f t="shared" si="4"/>
        <v>724186.01729729737</v>
      </c>
      <c r="M47" s="301">
        <f t="shared" si="5"/>
        <v>-543139.51297297305</v>
      </c>
      <c r="N47" s="10">
        <v>0</v>
      </c>
      <c r="O47" s="10">
        <f t="shared" si="6"/>
        <v>3814</v>
      </c>
      <c r="P47" s="442">
        <v>3814</v>
      </c>
      <c r="Q47" s="10">
        <f t="shared" si="7"/>
        <v>16291.497837837833</v>
      </c>
      <c r="R47" s="14">
        <f t="shared" si="8"/>
        <v>0</v>
      </c>
      <c r="S47" s="2">
        <f t="shared" si="9"/>
        <v>0</v>
      </c>
      <c r="T47" s="130">
        <f t="shared" si="10"/>
        <v>-543139.51297297305</v>
      </c>
      <c r="U47" s="437">
        <f t="shared" si="11"/>
        <v>-33.338832216612026</v>
      </c>
      <c r="V47" s="126"/>
      <c r="W47" s="526"/>
      <c r="X47" s="526"/>
      <c r="Y47" s="526"/>
      <c r="Z47" s="526"/>
      <c r="AA47" s="526"/>
      <c r="AB47" s="526"/>
      <c r="AC47" s="423"/>
      <c r="AD47" s="423"/>
      <c r="AE47" s="423"/>
      <c r="AF47" s="423"/>
      <c r="AG47" s="423"/>
    </row>
    <row r="48" spans="1:33" x14ac:dyDescent="0.25">
      <c r="A48" s="49">
        <f>+'A) Base RI'!A50</f>
        <v>5479</v>
      </c>
      <c r="B48" s="484" t="str">
        <f>+'A) Base RI'!B50</f>
        <v>Cuarnens</v>
      </c>
      <c r="C48" s="304">
        <f>+'D) Ecrêtage'!C48</f>
        <v>18068.978311688308</v>
      </c>
      <c r="D48" s="440">
        <v>27198</v>
      </c>
      <c r="E48" s="440">
        <f t="shared" si="0"/>
        <v>81673</v>
      </c>
      <c r="F48" s="518">
        <f t="shared" si="1"/>
        <v>4.5200674100742075</v>
      </c>
      <c r="G48" s="440">
        <v>108871</v>
      </c>
      <c r="H48" s="440">
        <v>19351</v>
      </c>
      <c r="I48" s="438">
        <v>82296</v>
      </c>
      <c r="J48" s="304">
        <f t="shared" si="2"/>
        <v>210518</v>
      </c>
      <c r="K48" s="284">
        <f t="shared" si="3"/>
        <v>144551.82649350647</v>
      </c>
      <c r="L48" s="10">
        <f t="shared" si="4"/>
        <v>65966.173506493535</v>
      </c>
      <c r="M48" s="301">
        <f t="shared" si="5"/>
        <v>-49474.630129870151</v>
      </c>
      <c r="N48" s="10">
        <v>0</v>
      </c>
      <c r="O48" s="10">
        <f t="shared" si="6"/>
        <v>72366</v>
      </c>
      <c r="P48" s="442">
        <v>72366</v>
      </c>
      <c r="Q48" s="10">
        <f t="shared" si="7"/>
        <v>18068.978311688308</v>
      </c>
      <c r="R48" s="14">
        <f t="shared" si="8"/>
        <v>54297.021688311695</v>
      </c>
      <c r="S48" s="2">
        <f t="shared" si="9"/>
        <v>-40722.766266233768</v>
      </c>
      <c r="T48" s="130">
        <f t="shared" si="10"/>
        <v>-90197.396396103926</v>
      </c>
      <c r="U48" s="437">
        <f t="shared" si="11"/>
        <v>-4.9918371055743531</v>
      </c>
      <c r="V48" s="126"/>
      <c r="W48" s="526"/>
      <c r="X48" s="526"/>
      <c r="Y48" s="526"/>
      <c r="Z48" s="526"/>
      <c r="AA48" s="526"/>
      <c r="AB48" s="526"/>
      <c r="AC48" s="423"/>
      <c r="AD48" s="423"/>
      <c r="AE48" s="423"/>
      <c r="AF48" s="423"/>
      <c r="AG48" s="423"/>
    </row>
    <row r="49" spans="1:33" x14ac:dyDescent="0.25">
      <c r="A49" s="49">
        <f>+'A) Base RI'!A51</f>
        <v>5480</v>
      </c>
      <c r="B49" s="484" t="str">
        <f>+'A) Base RI'!B51</f>
        <v>Daillens</v>
      </c>
      <c r="C49" s="304">
        <f>+'D) Ecrêtage'!C49</f>
        <v>40977.441060606063</v>
      </c>
      <c r="D49" s="440">
        <v>211887</v>
      </c>
      <c r="E49" s="440">
        <f t="shared" si="0"/>
        <v>500621</v>
      </c>
      <c r="F49" s="518">
        <f t="shared" si="1"/>
        <v>12.216990301067758</v>
      </c>
      <c r="G49" s="440">
        <v>712508</v>
      </c>
      <c r="H49" s="440">
        <v>75770</v>
      </c>
      <c r="I49" s="438">
        <v>118514</v>
      </c>
      <c r="J49" s="304">
        <f t="shared" si="2"/>
        <v>906792</v>
      </c>
      <c r="K49" s="284">
        <f t="shared" si="3"/>
        <v>327819.5284848485</v>
      </c>
      <c r="L49" s="10">
        <f t="shared" si="4"/>
        <v>578972.47151515144</v>
      </c>
      <c r="M49" s="301">
        <f t="shared" si="5"/>
        <v>-434229.35363636358</v>
      </c>
      <c r="N49" s="10">
        <v>0</v>
      </c>
      <c r="O49" s="10">
        <f t="shared" si="6"/>
        <v>11641</v>
      </c>
      <c r="P49" s="442">
        <v>11641</v>
      </c>
      <c r="Q49" s="10">
        <f t="shared" si="7"/>
        <v>40977.441060606063</v>
      </c>
      <c r="R49" s="14">
        <f t="shared" si="8"/>
        <v>0</v>
      </c>
      <c r="S49" s="2">
        <f t="shared" si="9"/>
        <v>0</v>
      </c>
      <c r="T49" s="130">
        <f t="shared" si="10"/>
        <v>-434229.35363636358</v>
      </c>
      <c r="U49" s="437">
        <f t="shared" si="11"/>
        <v>-10.596790389964415</v>
      </c>
      <c r="V49" s="126"/>
      <c r="W49" s="526"/>
      <c r="X49" s="526"/>
      <c r="Y49" s="526"/>
      <c r="Z49" s="526"/>
      <c r="AA49" s="526"/>
      <c r="AB49" s="526"/>
      <c r="AC49" s="423"/>
      <c r="AD49" s="423"/>
      <c r="AE49" s="423"/>
      <c r="AF49" s="423"/>
      <c r="AG49" s="423"/>
    </row>
    <row r="50" spans="1:33" x14ac:dyDescent="0.25">
      <c r="A50" s="49">
        <f>+'A) Base RI'!A52</f>
        <v>5481</v>
      </c>
      <c r="B50" s="484" t="str">
        <f>+'A) Base RI'!B52</f>
        <v>Dizy</v>
      </c>
      <c r="C50" s="304">
        <f>+'D) Ecrêtage'!C50</f>
        <v>8124.1672000000008</v>
      </c>
      <c r="D50" s="440">
        <v>0</v>
      </c>
      <c r="E50" s="440">
        <f t="shared" si="0"/>
        <v>52092</v>
      </c>
      <c r="F50" s="518">
        <f t="shared" si="1"/>
        <v>6.4119802950387328</v>
      </c>
      <c r="G50" s="440">
        <v>52092</v>
      </c>
      <c r="H50" s="440">
        <v>9316</v>
      </c>
      <c r="I50" s="438">
        <v>42051</v>
      </c>
      <c r="J50" s="304">
        <f t="shared" si="2"/>
        <v>103459</v>
      </c>
      <c r="K50" s="284">
        <f t="shared" si="3"/>
        <v>64993.337600000006</v>
      </c>
      <c r="L50" s="10">
        <f t="shared" si="4"/>
        <v>38465.662399999994</v>
      </c>
      <c r="M50" s="301">
        <f t="shared" si="5"/>
        <v>-28849.246799999994</v>
      </c>
      <c r="N50" s="10">
        <v>0</v>
      </c>
      <c r="O50" s="10">
        <f t="shared" si="6"/>
        <v>5105</v>
      </c>
      <c r="P50" s="442">
        <v>5105</v>
      </c>
      <c r="Q50" s="10">
        <f t="shared" si="7"/>
        <v>8124.1672000000008</v>
      </c>
      <c r="R50" s="14">
        <f t="shared" si="8"/>
        <v>0</v>
      </c>
      <c r="S50" s="2">
        <f t="shared" si="9"/>
        <v>0</v>
      </c>
      <c r="T50" s="130">
        <f t="shared" si="10"/>
        <v>-28849.246799999994</v>
      </c>
      <c r="U50" s="437">
        <f t="shared" si="11"/>
        <v>-3.5510405054194343</v>
      </c>
      <c r="V50" s="126"/>
      <c r="W50" s="526"/>
      <c r="X50" s="526"/>
      <c r="Y50" s="526"/>
      <c r="Z50" s="526"/>
      <c r="AA50" s="526"/>
      <c r="AB50" s="526"/>
      <c r="AC50" s="423"/>
      <c r="AD50" s="423"/>
      <c r="AE50" s="423"/>
      <c r="AF50" s="423"/>
      <c r="AG50" s="423"/>
    </row>
    <row r="51" spans="1:33" x14ac:dyDescent="0.25">
      <c r="A51" s="49">
        <f>+'A) Base RI'!A53</f>
        <v>5482</v>
      </c>
      <c r="B51" s="484" t="str">
        <f>+'A) Base RI'!B53</f>
        <v>Eclépens</v>
      </c>
      <c r="C51" s="304">
        <f>+'D) Ecrêtage'!C51</f>
        <v>70911.930217391302</v>
      </c>
      <c r="D51" s="440">
        <v>146186</v>
      </c>
      <c r="E51" s="440">
        <f t="shared" si="0"/>
        <v>92102</v>
      </c>
      <c r="F51" s="518">
        <f t="shared" si="1"/>
        <v>1.2988223521436706</v>
      </c>
      <c r="G51" s="440">
        <v>238288</v>
      </c>
      <c r="H51" s="440">
        <v>121638</v>
      </c>
      <c r="I51" s="438">
        <v>120083</v>
      </c>
      <c r="J51" s="304">
        <f t="shared" si="2"/>
        <v>480009</v>
      </c>
      <c r="K51" s="284">
        <f t="shared" si="3"/>
        <v>567295.44173913042</v>
      </c>
      <c r="L51" s="10">
        <f t="shared" si="4"/>
        <v>0</v>
      </c>
      <c r="M51" s="301">
        <f t="shared" si="5"/>
        <v>0</v>
      </c>
      <c r="N51" s="10">
        <v>7008</v>
      </c>
      <c r="O51" s="10">
        <f t="shared" si="6"/>
        <v>48614</v>
      </c>
      <c r="P51" s="442">
        <v>55622</v>
      </c>
      <c r="Q51" s="10">
        <f t="shared" si="7"/>
        <v>70911.930217391302</v>
      </c>
      <c r="R51" s="14">
        <f t="shared" si="8"/>
        <v>0</v>
      </c>
      <c r="S51" s="2">
        <f t="shared" si="9"/>
        <v>0</v>
      </c>
      <c r="T51" s="130">
        <f t="shared" si="10"/>
        <v>0</v>
      </c>
      <c r="U51" s="437">
        <f t="shared" si="11"/>
        <v>0</v>
      </c>
      <c r="V51" s="126"/>
      <c r="W51" s="526"/>
      <c r="X51" s="526"/>
      <c r="Y51" s="526"/>
      <c r="Z51" s="526"/>
      <c r="AA51" s="526"/>
      <c r="AB51" s="526"/>
      <c r="AC51" s="423"/>
      <c r="AD51" s="423"/>
      <c r="AE51" s="423"/>
      <c r="AF51" s="423"/>
      <c r="AG51" s="423"/>
    </row>
    <row r="52" spans="1:33" x14ac:dyDescent="0.25">
      <c r="A52" s="49">
        <f>+'A) Base RI'!A54</f>
        <v>5483</v>
      </c>
      <c r="B52" s="484" t="str">
        <f>+'A) Base RI'!B54</f>
        <v>Ferreyres</v>
      </c>
      <c r="C52" s="304">
        <f>+'D) Ecrêtage'!C52</f>
        <v>10820.315000000001</v>
      </c>
      <c r="D52" s="440">
        <v>856</v>
      </c>
      <c r="E52" s="440">
        <f t="shared" si="0"/>
        <v>36941</v>
      </c>
      <c r="F52" s="518">
        <f t="shared" si="1"/>
        <v>3.4140410884526005</v>
      </c>
      <c r="G52" s="440">
        <v>37797</v>
      </c>
      <c r="H52" s="440">
        <v>12741</v>
      </c>
      <c r="I52" s="438">
        <v>31399</v>
      </c>
      <c r="J52" s="304">
        <f t="shared" si="2"/>
        <v>81937</v>
      </c>
      <c r="K52" s="284">
        <f t="shared" si="3"/>
        <v>86562.52</v>
      </c>
      <c r="L52" s="10">
        <f t="shared" si="4"/>
        <v>0</v>
      </c>
      <c r="M52" s="301">
        <f t="shared" si="5"/>
        <v>0</v>
      </c>
      <c r="N52" s="10">
        <v>0</v>
      </c>
      <c r="O52" s="10">
        <f t="shared" si="6"/>
        <v>9917</v>
      </c>
      <c r="P52" s="442">
        <v>9917</v>
      </c>
      <c r="Q52" s="10">
        <f t="shared" si="7"/>
        <v>10820.315000000001</v>
      </c>
      <c r="R52" s="14">
        <f t="shared" si="8"/>
        <v>0</v>
      </c>
      <c r="S52" s="2">
        <f t="shared" si="9"/>
        <v>0</v>
      </c>
      <c r="T52" s="130">
        <f t="shared" si="10"/>
        <v>0</v>
      </c>
      <c r="U52" s="437">
        <f t="shared" si="11"/>
        <v>0</v>
      </c>
      <c r="V52" s="126"/>
      <c r="W52" s="526"/>
      <c r="X52" s="526"/>
      <c r="Y52" s="526"/>
      <c r="Z52" s="526"/>
      <c r="AA52" s="526"/>
      <c r="AB52" s="526"/>
      <c r="AC52" s="423"/>
      <c r="AD52" s="423"/>
      <c r="AE52" s="423"/>
      <c r="AF52" s="423"/>
      <c r="AG52" s="423"/>
    </row>
    <row r="53" spans="1:33" x14ac:dyDescent="0.25">
      <c r="A53" s="49">
        <f>+'A) Base RI'!A55</f>
        <v>5484</v>
      </c>
      <c r="B53" s="484" t="str">
        <f>+'A) Base RI'!B55</f>
        <v>Gollion</v>
      </c>
      <c r="C53" s="304">
        <f>+'D) Ecrêtage'!C53</f>
        <v>34996.98554054054</v>
      </c>
      <c r="D53" s="440">
        <v>79631</v>
      </c>
      <c r="E53" s="440">
        <f t="shared" si="0"/>
        <v>272274</v>
      </c>
      <c r="F53" s="518">
        <f t="shared" si="1"/>
        <v>7.779927207861876</v>
      </c>
      <c r="G53" s="440">
        <v>351905</v>
      </c>
      <c r="H53" s="440">
        <v>37387</v>
      </c>
      <c r="I53" s="438">
        <v>135222</v>
      </c>
      <c r="J53" s="304">
        <f t="shared" si="2"/>
        <v>524514</v>
      </c>
      <c r="K53" s="284">
        <f t="shared" si="3"/>
        <v>279975.88432432432</v>
      </c>
      <c r="L53" s="10">
        <f t="shared" si="4"/>
        <v>244538.11567567568</v>
      </c>
      <c r="M53" s="301">
        <f t="shared" si="5"/>
        <v>-183403.58675675676</v>
      </c>
      <c r="N53" s="10">
        <v>0</v>
      </c>
      <c r="O53" s="10">
        <f t="shared" si="6"/>
        <v>80649</v>
      </c>
      <c r="P53" s="442">
        <v>80649</v>
      </c>
      <c r="Q53" s="10">
        <f t="shared" si="7"/>
        <v>34996.98554054054</v>
      </c>
      <c r="R53" s="14">
        <f t="shared" si="8"/>
        <v>45652.01445945946</v>
      </c>
      <c r="S53" s="2">
        <f t="shared" si="9"/>
        <v>-34239.010844594595</v>
      </c>
      <c r="T53" s="130">
        <f t="shared" si="10"/>
        <v>-217642.59760135136</v>
      </c>
      <c r="U53" s="437">
        <f t="shared" si="11"/>
        <v>-6.2188955488533137</v>
      </c>
      <c r="V53" s="126"/>
      <c r="W53" s="526"/>
      <c r="X53" s="526"/>
      <c r="Y53" s="526"/>
      <c r="Z53" s="526"/>
      <c r="AA53" s="526"/>
      <c r="AB53" s="526"/>
      <c r="AC53" s="423"/>
      <c r="AD53" s="423"/>
      <c r="AE53" s="423"/>
      <c r="AF53" s="423"/>
      <c r="AG53" s="423"/>
    </row>
    <row r="54" spans="1:33" x14ac:dyDescent="0.25">
      <c r="A54" s="49">
        <f>+'A) Base RI'!A56</f>
        <v>5485</v>
      </c>
      <c r="B54" s="484" t="str">
        <f>+'A) Base RI'!B56</f>
        <v>Grancy</v>
      </c>
      <c r="C54" s="304">
        <f>+'D) Ecrêtage'!C54</f>
        <v>14542.352714285715</v>
      </c>
      <c r="D54" s="440">
        <v>0</v>
      </c>
      <c r="E54" s="440">
        <f t="shared" si="0"/>
        <v>27862</v>
      </c>
      <c r="F54" s="518">
        <f t="shared" si="1"/>
        <v>1.9159210718792221</v>
      </c>
      <c r="G54" s="440">
        <v>27862</v>
      </c>
      <c r="H54" s="440">
        <v>15807</v>
      </c>
      <c r="I54" s="438">
        <v>72694</v>
      </c>
      <c r="J54" s="304">
        <f t="shared" si="2"/>
        <v>116363</v>
      </c>
      <c r="K54" s="284">
        <f t="shared" si="3"/>
        <v>116338.82171428572</v>
      </c>
      <c r="L54" s="10">
        <f t="shared" si="4"/>
        <v>24.178285714282538</v>
      </c>
      <c r="M54" s="301">
        <f t="shared" si="5"/>
        <v>-18.133714285711903</v>
      </c>
      <c r="N54" s="10">
        <v>0</v>
      </c>
      <c r="O54" s="10">
        <f t="shared" si="6"/>
        <v>70166</v>
      </c>
      <c r="P54" s="442">
        <v>70166</v>
      </c>
      <c r="Q54" s="10">
        <f t="shared" si="7"/>
        <v>14542.352714285715</v>
      </c>
      <c r="R54" s="14">
        <f t="shared" si="8"/>
        <v>55623.647285714287</v>
      </c>
      <c r="S54" s="2">
        <f t="shared" si="9"/>
        <v>-41717.735464285717</v>
      </c>
      <c r="T54" s="130">
        <f t="shared" si="10"/>
        <v>-41735.869178571433</v>
      </c>
      <c r="U54" s="437">
        <f t="shared" si="11"/>
        <v>-2.869953026072054</v>
      </c>
      <c r="V54" s="126"/>
      <c r="W54" s="526"/>
      <c r="X54" s="526"/>
      <c r="Y54" s="526"/>
      <c r="Z54" s="526"/>
      <c r="AA54" s="526"/>
      <c r="AB54" s="526"/>
      <c r="AC54" s="423"/>
      <c r="AD54" s="423"/>
      <c r="AE54" s="423"/>
      <c r="AF54" s="423"/>
      <c r="AG54" s="423"/>
    </row>
    <row r="55" spans="1:33" x14ac:dyDescent="0.25">
      <c r="A55" s="49">
        <f>+'A) Base RI'!A57</f>
        <v>5486</v>
      </c>
      <c r="B55" s="484" t="str">
        <f>+'A) Base RI'!B57</f>
        <v>L'Isle</v>
      </c>
      <c r="C55" s="304">
        <f>+'D) Ecrêtage'!C55</f>
        <v>37459.560399999995</v>
      </c>
      <c r="D55" s="440">
        <v>152441</v>
      </c>
      <c r="E55" s="440">
        <f t="shared" si="0"/>
        <v>168579</v>
      </c>
      <c r="F55" s="518">
        <f t="shared" si="1"/>
        <v>4.5002930680414508</v>
      </c>
      <c r="G55" s="440">
        <v>321020</v>
      </c>
      <c r="H55" s="440">
        <v>80508</v>
      </c>
      <c r="I55" s="438">
        <v>169640</v>
      </c>
      <c r="J55" s="304">
        <f t="shared" si="2"/>
        <v>571168</v>
      </c>
      <c r="K55" s="284">
        <f t="shared" si="3"/>
        <v>299676.48319999996</v>
      </c>
      <c r="L55" s="10">
        <f t="shared" si="4"/>
        <v>271491.51680000004</v>
      </c>
      <c r="M55" s="301">
        <f t="shared" si="5"/>
        <v>-203618.63760000002</v>
      </c>
      <c r="N55" s="10">
        <v>0</v>
      </c>
      <c r="O55" s="10">
        <f t="shared" si="6"/>
        <v>127153</v>
      </c>
      <c r="P55" s="442">
        <v>127153</v>
      </c>
      <c r="Q55" s="10">
        <f t="shared" si="7"/>
        <v>37459.560399999995</v>
      </c>
      <c r="R55" s="14">
        <f t="shared" si="8"/>
        <v>89693.439600000012</v>
      </c>
      <c r="S55" s="2">
        <f t="shared" si="9"/>
        <v>-67270.079700000002</v>
      </c>
      <c r="T55" s="130">
        <f t="shared" si="10"/>
        <v>-270888.71730000002</v>
      </c>
      <c r="U55" s="437">
        <f t="shared" si="11"/>
        <v>-7.231497497765619</v>
      </c>
      <c r="V55" s="126"/>
      <c r="W55" s="526"/>
      <c r="X55" s="526"/>
      <c r="Y55" s="526"/>
      <c r="Z55" s="526"/>
      <c r="AA55" s="526"/>
      <c r="AB55" s="526"/>
      <c r="AC55" s="423"/>
      <c r="AD55" s="423"/>
      <c r="AE55" s="423"/>
      <c r="AF55" s="423"/>
      <c r="AG55" s="423"/>
    </row>
    <row r="56" spans="1:33" x14ac:dyDescent="0.25">
      <c r="A56" s="49">
        <f>+'A) Base RI'!A58</f>
        <v>5487</v>
      </c>
      <c r="B56" s="484" t="str">
        <f>+'A) Base RI'!B58</f>
        <v>Lussery-Villars</v>
      </c>
      <c r="C56" s="304">
        <f>+'D) Ecrêtage'!C56</f>
        <v>12889.865466666668</v>
      </c>
      <c r="D56" s="440">
        <v>10437</v>
      </c>
      <c r="E56" s="440">
        <f t="shared" si="0"/>
        <v>63277</v>
      </c>
      <c r="F56" s="518">
        <f t="shared" si="1"/>
        <v>4.9090504601180678</v>
      </c>
      <c r="G56" s="440">
        <v>73714</v>
      </c>
      <c r="H56" s="440">
        <v>33635</v>
      </c>
      <c r="I56" s="438">
        <v>40641</v>
      </c>
      <c r="J56" s="304">
        <f t="shared" si="2"/>
        <v>147990</v>
      </c>
      <c r="K56" s="284">
        <f t="shared" si="3"/>
        <v>103118.92373333334</v>
      </c>
      <c r="L56" s="10">
        <f t="shared" si="4"/>
        <v>44871.076266666656</v>
      </c>
      <c r="M56" s="301">
        <f t="shared" si="5"/>
        <v>-33653.307199999996</v>
      </c>
      <c r="N56" s="10">
        <v>0</v>
      </c>
      <c r="O56" s="10">
        <f t="shared" si="6"/>
        <v>1844</v>
      </c>
      <c r="P56" s="442">
        <v>1844</v>
      </c>
      <c r="Q56" s="10">
        <f t="shared" si="7"/>
        <v>12889.865466666668</v>
      </c>
      <c r="R56" s="14">
        <f t="shared" si="8"/>
        <v>0</v>
      </c>
      <c r="S56" s="2">
        <f t="shared" si="9"/>
        <v>0</v>
      </c>
      <c r="T56" s="130">
        <f t="shared" si="10"/>
        <v>-33653.307199999996</v>
      </c>
      <c r="U56" s="437">
        <f t="shared" si="11"/>
        <v>-2.6108346349329876</v>
      </c>
      <c r="V56" s="126"/>
      <c r="W56" s="526"/>
      <c r="X56" s="526"/>
      <c r="Y56" s="526"/>
      <c r="Z56" s="526"/>
      <c r="AA56" s="526"/>
      <c r="AB56" s="526"/>
      <c r="AC56" s="423"/>
      <c r="AD56" s="423"/>
      <c r="AE56" s="423"/>
      <c r="AF56" s="423"/>
      <c r="AG56" s="423"/>
    </row>
    <row r="57" spans="1:33" x14ac:dyDescent="0.25">
      <c r="A57" s="49">
        <f>+'A) Base RI'!A59</f>
        <v>5488</v>
      </c>
      <c r="B57" s="484" t="str">
        <f>+'A) Base RI'!B59</f>
        <v>Mauraz</v>
      </c>
      <c r="C57" s="304">
        <f>+'D) Ecrêtage'!C57</f>
        <v>1632.1631168831173</v>
      </c>
      <c r="D57" s="440">
        <v>0</v>
      </c>
      <c r="E57" s="440">
        <f t="shared" si="0"/>
        <v>0</v>
      </c>
      <c r="F57" s="518">
        <f t="shared" si="1"/>
        <v>0</v>
      </c>
      <c r="G57" s="440">
        <v>0</v>
      </c>
      <c r="H57" s="440">
        <v>0</v>
      </c>
      <c r="I57" s="438">
        <v>0</v>
      </c>
      <c r="J57" s="304">
        <f t="shared" si="2"/>
        <v>0</v>
      </c>
      <c r="K57" s="284">
        <f t="shared" si="3"/>
        <v>13057.304935064938</v>
      </c>
      <c r="L57" s="10">
        <f t="shared" si="4"/>
        <v>0</v>
      </c>
      <c r="M57" s="301">
        <f t="shared" si="5"/>
        <v>0</v>
      </c>
      <c r="N57" s="10">
        <v>0</v>
      </c>
      <c r="O57" s="10">
        <f t="shared" si="6"/>
        <v>0</v>
      </c>
      <c r="P57" s="442">
        <v>0</v>
      </c>
      <c r="Q57" s="10">
        <f t="shared" si="7"/>
        <v>1632.1631168831173</v>
      </c>
      <c r="R57" s="14">
        <f t="shared" si="8"/>
        <v>0</v>
      </c>
      <c r="S57" s="2">
        <f t="shared" si="9"/>
        <v>0</v>
      </c>
      <c r="T57" s="130">
        <f t="shared" si="10"/>
        <v>0</v>
      </c>
      <c r="U57" s="437">
        <f t="shared" si="11"/>
        <v>0</v>
      </c>
      <c r="V57" s="126"/>
      <c r="W57" s="526"/>
      <c r="X57" s="526"/>
      <c r="Y57" s="526"/>
      <c r="Z57" s="526"/>
      <c r="AA57" s="526"/>
      <c r="AB57" s="526"/>
      <c r="AC57" s="423"/>
      <c r="AD57" s="423"/>
      <c r="AE57" s="423"/>
      <c r="AF57" s="423"/>
      <c r="AG57" s="423"/>
    </row>
    <row r="58" spans="1:33" x14ac:dyDescent="0.25">
      <c r="A58" s="49">
        <f>+'A) Base RI'!A60</f>
        <v>5489</v>
      </c>
      <c r="B58" s="484" t="str">
        <f>+'A) Base RI'!B60</f>
        <v>Mex</v>
      </c>
      <c r="C58" s="304">
        <f>+'D) Ecrêtage'!C58</f>
        <v>58521.207563025193</v>
      </c>
      <c r="D58" s="440">
        <v>58969</v>
      </c>
      <c r="E58" s="440">
        <f t="shared" si="0"/>
        <v>90456</v>
      </c>
      <c r="F58" s="518">
        <f t="shared" si="1"/>
        <v>1.5456960607414365</v>
      </c>
      <c r="G58" s="440">
        <v>149425</v>
      </c>
      <c r="H58" s="440">
        <v>20545</v>
      </c>
      <c r="I58" s="438">
        <v>66716</v>
      </c>
      <c r="J58" s="304">
        <f t="shared" si="2"/>
        <v>236686</v>
      </c>
      <c r="K58" s="284">
        <f t="shared" si="3"/>
        <v>468169.66050420154</v>
      </c>
      <c r="L58" s="10">
        <f t="shared" si="4"/>
        <v>0</v>
      </c>
      <c r="M58" s="301">
        <f t="shared" si="5"/>
        <v>0</v>
      </c>
      <c r="N58" s="10">
        <v>0</v>
      </c>
      <c r="O58" s="10">
        <f t="shared" si="6"/>
        <v>61574</v>
      </c>
      <c r="P58" s="442">
        <v>61574</v>
      </c>
      <c r="Q58" s="10">
        <f t="shared" si="7"/>
        <v>58521.207563025193</v>
      </c>
      <c r="R58" s="14">
        <f t="shared" si="8"/>
        <v>3052.7924369748071</v>
      </c>
      <c r="S58" s="2">
        <f t="shared" si="9"/>
        <v>-2289.5943277311053</v>
      </c>
      <c r="T58" s="130">
        <f t="shared" si="10"/>
        <v>-2289.5943277311053</v>
      </c>
      <c r="U58" s="437">
        <f t="shared" si="11"/>
        <v>-3.9124181182783969E-2</v>
      </c>
      <c r="V58" s="126"/>
      <c r="W58" s="526"/>
      <c r="X58" s="526"/>
      <c r="Y58" s="526"/>
      <c r="Z58" s="526"/>
      <c r="AA58" s="526"/>
      <c r="AB58" s="526"/>
      <c r="AC58" s="423"/>
      <c r="AD58" s="423"/>
      <c r="AE58" s="423"/>
      <c r="AF58" s="423"/>
      <c r="AG58" s="423"/>
    </row>
    <row r="59" spans="1:33" x14ac:dyDescent="0.25">
      <c r="A59" s="49">
        <f>+'A) Base RI'!A61</f>
        <v>5490</v>
      </c>
      <c r="B59" s="484" t="str">
        <f>+'A) Base RI'!B61</f>
        <v>Moiry</v>
      </c>
      <c r="C59" s="304">
        <f>+'D) Ecrêtage'!C59</f>
        <v>8655.909290322581</v>
      </c>
      <c r="D59" s="440">
        <v>12763</v>
      </c>
      <c r="E59" s="440">
        <f t="shared" si="0"/>
        <v>44350</v>
      </c>
      <c r="F59" s="518">
        <f t="shared" si="1"/>
        <v>5.1236673713279179</v>
      </c>
      <c r="G59" s="440">
        <v>57113</v>
      </c>
      <c r="H59" s="440">
        <v>12343</v>
      </c>
      <c r="I59" s="438">
        <v>30611</v>
      </c>
      <c r="J59" s="304">
        <f t="shared" si="2"/>
        <v>100067</v>
      </c>
      <c r="K59" s="284">
        <f t="shared" si="3"/>
        <v>69247.274322580648</v>
      </c>
      <c r="L59" s="10">
        <f t="shared" si="4"/>
        <v>30819.725677419352</v>
      </c>
      <c r="M59" s="301">
        <f t="shared" si="5"/>
        <v>-23114.794258064514</v>
      </c>
      <c r="N59" s="10">
        <v>0</v>
      </c>
      <c r="O59" s="10">
        <f t="shared" si="6"/>
        <v>-4782</v>
      </c>
      <c r="P59" s="442">
        <v>-4782</v>
      </c>
      <c r="Q59" s="10">
        <f t="shared" si="7"/>
        <v>8655.909290322581</v>
      </c>
      <c r="R59" s="14">
        <f t="shared" si="8"/>
        <v>0</v>
      </c>
      <c r="S59" s="2">
        <f t="shared" si="9"/>
        <v>0</v>
      </c>
      <c r="T59" s="130">
        <f t="shared" si="10"/>
        <v>-23114.794258064514</v>
      </c>
      <c r="U59" s="437">
        <f t="shared" si="11"/>
        <v>-2.6704062488163034</v>
      </c>
      <c r="V59" s="126"/>
      <c r="W59" s="526"/>
      <c r="X59" s="526"/>
      <c r="Y59" s="526"/>
      <c r="Z59" s="526"/>
      <c r="AA59" s="526"/>
      <c r="AB59" s="526"/>
      <c r="AC59" s="423"/>
      <c r="AD59" s="423"/>
      <c r="AE59" s="423"/>
      <c r="AF59" s="423"/>
      <c r="AG59" s="423"/>
    </row>
    <row r="60" spans="1:33" x14ac:dyDescent="0.25">
      <c r="A60" s="49">
        <f>+'A) Base RI'!A62</f>
        <v>5491</v>
      </c>
      <c r="B60" s="484" t="str">
        <f>+'A) Base RI'!B62</f>
        <v>Mont-la-Ville</v>
      </c>
      <c r="C60" s="304">
        <f>+'D) Ecrêtage'!C60</f>
        <v>14323.284736842104</v>
      </c>
      <c r="D60" s="440">
        <v>28885</v>
      </c>
      <c r="E60" s="440">
        <f t="shared" si="0"/>
        <v>90780</v>
      </c>
      <c r="F60" s="518">
        <f t="shared" si="1"/>
        <v>6.3379316733470539</v>
      </c>
      <c r="G60" s="440">
        <v>119665</v>
      </c>
      <c r="H60" s="440">
        <v>19032</v>
      </c>
      <c r="I60" s="438">
        <v>80522</v>
      </c>
      <c r="J60" s="304">
        <f t="shared" si="2"/>
        <v>219219</v>
      </c>
      <c r="K60" s="284">
        <f t="shared" si="3"/>
        <v>114586.27789473684</v>
      </c>
      <c r="L60" s="10">
        <f t="shared" si="4"/>
        <v>104632.72210526316</v>
      </c>
      <c r="M60" s="301">
        <f t="shared" si="5"/>
        <v>-78474.541578947377</v>
      </c>
      <c r="N60" s="10">
        <v>0</v>
      </c>
      <c r="O60" s="10">
        <f t="shared" si="6"/>
        <v>-27757</v>
      </c>
      <c r="P60" s="442">
        <v>-27757</v>
      </c>
      <c r="Q60" s="10">
        <f t="shared" si="7"/>
        <v>14323.284736842104</v>
      </c>
      <c r="R60" s="14">
        <f t="shared" si="8"/>
        <v>0</v>
      </c>
      <c r="S60" s="2">
        <f t="shared" si="9"/>
        <v>0</v>
      </c>
      <c r="T60" s="130">
        <f t="shared" si="10"/>
        <v>-78474.541578947377</v>
      </c>
      <c r="U60" s="437">
        <f t="shared" si="11"/>
        <v>-5.4788090176757098</v>
      </c>
      <c r="V60" s="126"/>
      <c r="W60" s="526"/>
      <c r="X60" s="526"/>
      <c r="Y60" s="526"/>
      <c r="Z60" s="526"/>
      <c r="AA60" s="526"/>
      <c r="AB60" s="526"/>
      <c r="AC60" s="423"/>
      <c r="AD60" s="423"/>
      <c r="AE60" s="423"/>
      <c r="AF60" s="423"/>
      <c r="AG60" s="423"/>
    </row>
    <row r="61" spans="1:33" x14ac:dyDescent="0.25">
      <c r="A61" s="49">
        <f>+'A) Base RI'!A63</f>
        <v>5492</v>
      </c>
      <c r="B61" s="484" t="str">
        <f>+'A) Base RI'!B63</f>
        <v>Montricher</v>
      </c>
      <c r="C61" s="304">
        <f>+'D) Ecrêtage'!C61</f>
        <v>157154.96692708335</v>
      </c>
      <c r="D61" s="440">
        <v>0</v>
      </c>
      <c r="E61" s="440">
        <f t="shared" si="0"/>
        <v>209669</v>
      </c>
      <c r="F61" s="518">
        <f t="shared" si="1"/>
        <v>1.3341544597650679</v>
      </c>
      <c r="G61" s="440">
        <v>209669</v>
      </c>
      <c r="H61" s="440">
        <v>98757</v>
      </c>
      <c r="I61" s="438">
        <v>137578</v>
      </c>
      <c r="J61" s="304">
        <f t="shared" si="2"/>
        <v>446004</v>
      </c>
      <c r="K61" s="284">
        <f t="shared" si="3"/>
        <v>1257239.7354166668</v>
      </c>
      <c r="L61" s="10">
        <f t="shared" si="4"/>
        <v>0</v>
      </c>
      <c r="M61" s="301">
        <f t="shared" si="5"/>
        <v>0</v>
      </c>
      <c r="N61" s="10">
        <v>0</v>
      </c>
      <c r="O61" s="10">
        <f t="shared" si="6"/>
        <v>433832</v>
      </c>
      <c r="P61" s="442">
        <v>433832</v>
      </c>
      <c r="Q61" s="10">
        <f t="shared" si="7"/>
        <v>157154.96692708335</v>
      </c>
      <c r="R61" s="14">
        <f t="shared" si="8"/>
        <v>276677.03307291667</v>
      </c>
      <c r="S61" s="2">
        <f t="shared" si="9"/>
        <v>-207507.77480468751</v>
      </c>
      <c r="T61" s="130">
        <f t="shared" si="10"/>
        <v>-207507.77480468751</v>
      </c>
      <c r="U61" s="437">
        <f t="shared" si="11"/>
        <v>-1.3204022682971694</v>
      </c>
      <c r="V61" s="126"/>
      <c r="W61" s="526"/>
      <c r="X61" s="526"/>
      <c r="Y61" s="526"/>
      <c r="Z61" s="526"/>
      <c r="AA61" s="526"/>
      <c r="AB61" s="526"/>
      <c r="AC61" s="423"/>
      <c r="AD61" s="423"/>
      <c r="AE61" s="423"/>
      <c r="AF61" s="423"/>
      <c r="AG61" s="423"/>
    </row>
    <row r="62" spans="1:33" x14ac:dyDescent="0.25">
      <c r="A62" s="49">
        <f>+'A) Base RI'!A64</f>
        <v>5493</v>
      </c>
      <c r="B62" s="484" t="str">
        <f>+'A) Base RI'!B64</f>
        <v>Orny</v>
      </c>
      <c r="C62" s="304">
        <f>+'D) Ecrêtage'!C62</f>
        <v>12885.017723919913</v>
      </c>
      <c r="D62" s="440">
        <v>0</v>
      </c>
      <c r="E62" s="440">
        <f t="shared" si="0"/>
        <v>36292</v>
      </c>
      <c r="F62" s="518">
        <f t="shared" si="1"/>
        <v>2.81660458507768</v>
      </c>
      <c r="G62" s="440">
        <v>36292</v>
      </c>
      <c r="H62" s="440">
        <v>16563</v>
      </c>
      <c r="I62" s="438">
        <v>45474</v>
      </c>
      <c r="J62" s="304">
        <f t="shared" si="2"/>
        <v>98329</v>
      </c>
      <c r="K62" s="284">
        <f t="shared" si="3"/>
        <v>103080.1417913593</v>
      </c>
      <c r="L62" s="10">
        <f t="shared" si="4"/>
        <v>0</v>
      </c>
      <c r="M62" s="301">
        <f t="shared" si="5"/>
        <v>0</v>
      </c>
      <c r="N62" s="10">
        <v>0</v>
      </c>
      <c r="O62" s="10">
        <f t="shared" si="6"/>
        <v>5418</v>
      </c>
      <c r="P62" s="442">
        <v>5418</v>
      </c>
      <c r="Q62" s="10">
        <f t="shared" si="7"/>
        <v>12885.017723919913</v>
      </c>
      <c r="R62" s="14">
        <f t="shared" si="8"/>
        <v>0</v>
      </c>
      <c r="S62" s="2">
        <f t="shared" si="9"/>
        <v>0</v>
      </c>
      <c r="T62" s="130">
        <f t="shared" si="10"/>
        <v>0</v>
      </c>
      <c r="U62" s="437">
        <f t="shared" si="11"/>
        <v>0</v>
      </c>
      <c r="V62" s="126"/>
      <c r="W62" s="526"/>
      <c r="X62" s="526"/>
      <c r="Y62" s="526"/>
      <c r="Z62" s="526"/>
      <c r="AA62" s="526"/>
      <c r="AB62" s="526"/>
      <c r="AC62" s="423"/>
      <c r="AD62" s="423"/>
      <c r="AE62" s="423"/>
      <c r="AF62" s="423"/>
      <c r="AG62" s="423"/>
    </row>
    <row r="63" spans="1:33" x14ac:dyDescent="0.25">
      <c r="A63" s="49">
        <f>+'A) Base RI'!A65</f>
        <v>5494</v>
      </c>
      <c r="B63" s="484" t="str">
        <f>+'A) Base RI'!B65</f>
        <v>Pampigny</v>
      </c>
      <c r="C63" s="304">
        <f>+'D) Ecrêtage'!C63</f>
        <v>36607.87342465754</v>
      </c>
      <c r="D63" s="440">
        <v>4525</v>
      </c>
      <c r="E63" s="440">
        <f t="shared" si="0"/>
        <v>382421</v>
      </c>
      <c r="F63" s="518">
        <f t="shared" si="1"/>
        <v>10.446413960293501</v>
      </c>
      <c r="G63" s="440">
        <v>386946</v>
      </c>
      <c r="H63" s="440">
        <v>87834</v>
      </c>
      <c r="I63" s="438">
        <v>162895</v>
      </c>
      <c r="J63" s="304">
        <f t="shared" si="2"/>
        <v>637675</v>
      </c>
      <c r="K63" s="284">
        <f t="shared" si="3"/>
        <v>292862.98739726032</v>
      </c>
      <c r="L63" s="10">
        <f t="shared" si="4"/>
        <v>344812.01260273968</v>
      </c>
      <c r="M63" s="301">
        <f t="shared" si="5"/>
        <v>-258609.00945205474</v>
      </c>
      <c r="N63" s="10">
        <v>0</v>
      </c>
      <c r="O63" s="10">
        <f t="shared" si="6"/>
        <v>130580</v>
      </c>
      <c r="P63" s="442">
        <v>130580</v>
      </c>
      <c r="Q63" s="10">
        <f t="shared" si="7"/>
        <v>36607.87342465754</v>
      </c>
      <c r="R63" s="14">
        <f t="shared" si="8"/>
        <v>93972.126575342467</v>
      </c>
      <c r="S63" s="2">
        <f t="shared" si="9"/>
        <v>-70479.094931506843</v>
      </c>
      <c r="T63" s="130">
        <f t="shared" si="10"/>
        <v>-329088.10438356159</v>
      </c>
      <c r="U63" s="437">
        <f t="shared" si="11"/>
        <v>-8.98954442302845</v>
      </c>
      <c r="V63" s="126"/>
      <c r="W63" s="526"/>
      <c r="X63" s="526"/>
      <c r="Y63" s="526"/>
      <c r="Z63" s="526"/>
      <c r="AA63" s="526"/>
      <c r="AB63" s="526"/>
      <c r="AC63" s="423"/>
      <c r="AD63" s="423"/>
      <c r="AE63" s="423"/>
      <c r="AF63" s="423"/>
      <c r="AG63" s="423"/>
    </row>
    <row r="64" spans="1:33" x14ac:dyDescent="0.25">
      <c r="A64" s="49">
        <f>+'A) Base RI'!A66</f>
        <v>5495</v>
      </c>
      <c r="B64" s="484" t="str">
        <f>+'A) Base RI'!B66</f>
        <v>Penthalaz</v>
      </c>
      <c r="C64" s="304">
        <f>+'D) Ecrêtage'!C64</f>
        <v>93361.472702702697</v>
      </c>
      <c r="D64" s="440">
        <v>198342</v>
      </c>
      <c r="E64" s="440">
        <f t="shared" si="0"/>
        <v>595905</v>
      </c>
      <c r="F64" s="518">
        <f t="shared" si="1"/>
        <v>6.3827720659203919</v>
      </c>
      <c r="G64" s="440">
        <v>794247</v>
      </c>
      <c r="H64" s="440">
        <v>431515</v>
      </c>
      <c r="I64" s="438">
        <v>336088</v>
      </c>
      <c r="J64" s="304">
        <f t="shared" si="2"/>
        <v>1561850</v>
      </c>
      <c r="K64" s="284">
        <f t="shared" si="3"/>
        <v>746891.78162162157</v>
      </c>
      <c r="L64" s="10">
        <f t="shared" si="4"/>
        <v>814958.21837837843</v>
      </c>
      <c r="M64" s="301">
        <f t="shared" si="5"/>
        <v>-611218.66378378379</v>
      </c>
      <c r="N64" s="10">
        <v>0</v>
      </c>
      <c r="O64" s="10">
        <f t="shared" si="6"/>
        <v>56944</v>
      </c>
      <c r="P64" s="442">
        <v>56944</v>
      </c>
      <c r="Q64" s="10">
        <f t="shared" si="7"/>
        <v>93361.472702702697</v>
      </c>
      <c r="R64" s="14">
        <f t="shared" si="8"/>
        <v>0</v>
      </c>
      <c r="S64" s="2">
        <f t="shared" si="9"/>
        <v>0</v>
      </c>
      <c r="T64" s="130">
        <f t="shared" si="10"/>
        <v>-611218.66378378379</v>
      </c>
      <c r="U64" s="437">
        <f t="shared" si="11"/>
        <v>-6.5467975824474092</v>
      </c>
      <c r="V64" s="126"/>
      <c r="W64" s="526"/>
      <c r="X64" s="526"/>
      <c r="Y64" s="526"/>
      <c r="Z64" s="526"/>
      <c r="AA64" s="526"/>
      <c r="AB64" s="526"/>
      <c r="AC64" s="423"/>
      <c r="AD64" s="423"/>
      <c r="AE64" s="423"/>
      <c r="AF64" s="423"/>
      <c r="AG64" s="423"/>
    </row>
    <row r="65" spans="1:33" x14ac:dyDescent="0.25">
      <c r="A65" s="49">
        <f>+'A) Base RI'!A67</f>
        <v>5496</v>
      </c>
      <c r="B65" s="484" t="str">
        <f>+'A) Base RI'!B67</f>
        <v>Penthaz</v>
      </c>
      <c r="C65" s="304">
        <f>+'D) Ecrêtage'!C65</f>
        <v>60131.11913669065</v>
      </c>
      <c r="D65" s="440">
        <v>261147</v>
      </c>
      <c r="E65" s="440">
        <f t="shared" si="0"/>
        <v>159566</v>
      </c>
      <c r="F65" s="518">
        <f t="shared" si="1"/>
        <v>2.6536342960335233</v>
      </c>
      <c r="G65" s="440">
        <v>420713</v>
      </c>
      <c r="H65" s="440">
        <v>132149</v>
      </c>
      <c r="I65" s="438">
        <v>204134</v>
      </c>
      <c r="J65" s="304">
        <f t="shared" si="2"/>
        <v>756996</v>
      </c>
      <c r="K65" s="284">
        <f t="shared" si="3"/>
        <v>481048.9530935252</v>
      </c>
      <c r="L65" s="10">
        <f t="shared" si="4"/>
        <v>275947.0469064748</v>
      </c>
      <c r="M65" s="301">
        <f t="shared" si="5"/>
        <v>-206960.28517985612</v>
      </c>
      <c r="N65" s="10">
        <v>0</v>
      </c>
      <c r="O65" s="10">
        <f t="shared" si="6"/>
        <v>21865</v>
      </c>
      <c r="P65" s="442">
        <v>21865</v>
      </c>
      <c r="Q65" s="10">
        <f t="shared" si="7"/>
        <v>60131.11913669065</v>
      </c>
      <c r="R65" s="14">
        <f t="shared" si="8"/>
        <v>0</v>
      </c>
      <c r="S65" s="2">
        <f t="shared" si="9"/>
        <v>0</v>
      </c>
      <c r="T65" s="130">
        <f t="shared" si="10"/>
        <v>-206960.28517985612</v>
      </c>
      <c r="U65" s="437">
        <f t="shared" si="11"/>
        <v>-3.441816619268169</v>
      </c>
      <c r="V65" s="126"/>
      <c r="W65" s="526"/>
      <c r="X65" s="526"/>
      <c r="Y65" s="526"/>
      <c r="Z65" s="526"/>
      <c r="AA65" s="526"/>
      <c r="AB65" s="526"/>
      <c r="AC65" s="423"/>
      <c r="AD65" s="423"/>
      <c r="AE65" s="423"/>
      <c r="AF65" s="423"/>
      <c r="AG65" s="423"/>
    </row>
    <row r="66" spans="1:33" x14ac:dyDescent="0.25">
      <c r="A66" s="49">
        <f>+'A) Base RI'!A68</f>
        <v>5497</v>
      </c>
      <c r="B66" s="484" t="str">
        <f>+'A) Base RI'!B68</f>
        <v>Pompaples</v>
      </c>
      <c r="C66" s="304">
        <f>+'D) Ecrêtage'!C66</f>
        <v>20396.986060606061</v>
      </c>
      <c r="D66" s="440">
        <v>73510</v>
      </c>
      <c r="E66" s="440">
        <f t="shared" si="0"/>
        <v>106882</v>
      </c>
      <c r="F66" s="518">
        <f t="shared" si="1"/>
        <v>5.2400879072240825</v>
      </c>
      <c r="G66" s="440">
        <v>180392</v>
      </c>
      <c r="H66" s="440">
        <v>33883</v>
      </c>
      <c r="I66" s="438">
        <v>83369</v>
      </c>
      <c r="J66" s="304">
        <f t="shared" si="2"/>
        <v>297644</v>
      </c>
      <c r="K66" s="284">
        <f t="shared" si="3"/>
        <v>163175.88848484849</v>
      </c>
      <c r="L66" s="10">
        <f t="shared" si="4"/>
        <v>134468.11151515151</v>
      </c>
      <c r="M66" s="301">
        <f t="shared" si="5"/>
        <v>-100851.08363636363</v>
      </c>
      <c r="N66" s="10">
        <v>0</v>
      </c>
      <c r="O66" s="10">
        <f t="shared" si="6"/>
        <v>11913</v>
      </c>
      <c r="P66" s="442">
        <v>11913</v>
      </c>
      <c r="Q66" s="10">
        <f t="shared" si="7"/>
        <v>20396.986060606061</v>
      </c>
      <c r="R66" s="14">
        <f t="shared" si="8"/>
        <v>0</v>
      </c>
      <c r="S66" s="2">
        <f t="shared" si="9"/>
        <v>0</v>
      </c>
      <c r="T66" s="130">
        <f t="shared" si="10"/>
        <v>-100851.08363636363</v>
      </c>
      <c r="U66" s="437">
        <f t="shared" si="11"/>
        <v>-4.9444110682187237</v>
      </c>
      <c r="V66" s="126"/>
      <c r="W66" s="526"/>
      <c r="X66" s="526"/>
      <c r="Y66" s="526"/>
      <c r="Z66" s="526"/>
      <c r="AA66" s="526"/>
      <c r="AB66" s="526"/>
      <c r="AC66" s="423"/>
      <c r="AD66" s="423"/>
      <c r="AE66" s="423"/>
      <c r="AF66" s="423"/>
      <c r="AG66" s="423"/>
    </row>
    <row r="67" spans="1:33" x14ac:dyDescent="0.25">
      <c r="A67" s="49">
        <f>+'A) Base RI'!A69</f>
        <v>5498</v>
      </c>
      <c r="B67" s="484" t="str">
        <f>+'A) Base RI'!B69</f>
        <v>La Sarraz</v>
      </c>
      <c r="C67" s="304">
        <f>+'D) Ecrêtage'!C67</f>
        <v>77508.241969696974</v>
      </c>
      <c r="D67" s="440">
        <v>314314</v>
      </c>
      <c r="E67" s="440">
        <f t="shared" si="0"/>
        <v>354265</v>
      </c>
      <c r="F67" s="518">
        <f t="shared" si="1"/>
        <v>4.5706752081734132</v>
      </c>
      <c r="G67" s="440">
        <v>668579</v>
      </c>
      <c r="H67" s="440">
        <v>263880</v>
      </c>
      <c r="I67" s="438">
        <v>255718</v>
      </c>
      <c r="J67" s="304">
        <f t="shared" si="2"/>
        <v>1188177</v>
      </c>
      <c r="K67" s="284">
        <f t="shared" si="3"/>
        <v>620065.93575757579</v>
      </c>
      <c r="L67" s="10">
        <f t="shared" si="4"/>
        <v>568111.06424242421</v>
      </c>
      <c r="M67" s="301">
        <f t="shared" si="5"/>
        <v>-426083.29818181816</v>
      </c>
      <c r="N67" s="10">
        <v>0</v>
      </c>
      <c r="O67" s="10">
        <f t="shared" si="6"/>
        <v>34066</v>
      </c>
      <c r="P67" s="442">
        <v>34066</v>
      </c>
      <c r="Q67" s="10">
        <f t="shared" si="7"/>
        <v>77508.241969696974</v>
      </c>
      <c r="R67" s="14">
        <f t="shared" si="8"/>
        <v>0</v>
      </c>
      <c r="S67" s="2">
        <f t="shared" si="9"/>
        <v>0</v>
      </c>
      <c r="T67" s="130">
        <f t="shared" si="10"/>
        <v>-426083.29818181816</v>
      </c>
      <c r="U67" s="437">
        <f t="shared" si="11"/>
        <v>-5.4972643857462531</v>
      </c>
      <c r="V67" s="126"/>
      <c r="W67" s="526"/>
      <c r="X67" s="526"/>
      <c r="Y67" s="526"/>
      <c r="Z67" s="526"/>
      <c r="AA67" s="526"/>
      <c r="AB67" s="526"/>
      <c r="AC67" s="423"/>
      <c r="AD67" s="423"/>
      <c r="AE67" s="423"/>
      <c r="AF67" s="423"/>
      <c r="AG67" s="423"/>
    </row>
    <row r="68" spans="1:33" x14ac:dyDescent="0.25">
      <c r="A68" s="49">
        <f>+'A) Base RI'!A70</f>
        <v>5499</v>
      </c>
      <c r="B68" s="484" t="str">
        <f>+'A) Base RI'!B70</f>
        <v>Senarclens</v>
      </c>
      <c r="C68" s="304">
        <f>+'D) Ecrêtage'!C68</f>
        <v>19654.447445255475</v>
      </c>
      <c r="D68" s="440">
        <v>0</v>
      </c>
      <c r="E68" s="440">
        <f t="shared" si="0"/>
        <v>341284</v>
      </c>
      <c r="F68" s="518">
        <f t="shared" si="1"/>
        <v>17.364212397758603</v>
      </c>
      <c r="G68" s="440">
        <v>341284</v>
      </c>
      <c r="H68" s="440">
        <v>18992</v>
      </c>
      <c r="I68" s="438">
        <v>87112</v>
      </c>
      <c r="J68" s="304">
        <f t="shared" si="2"/>
        <v>447388</v>
      </c>
      <c r="K68" s="284">
        <f t="shared" si="3"/>
        <v>157235.5795620438</v>
      </c>
      <c r="L68" s="10">
        <f t="shared" si="4"/>
        <v>290152.42043795623</v>
      </c>
      <c r="M68" s="301">
        <f t="shared" si="5"/>
        <v>-217614.31532846717</v>
      </c>
      <c r="N68" s="10">
        <v>0</v>
      </c>
      <c r="O68" s="10">
        <f t="shared" si="6"/>
        <v>15291</v>
      </c>
      <c r="P68" s="442">
        <v>15291</v>
      </c>
      <c r="Q68" s="10">
        <f t="shared" si="7"/>
        <v>19654.447445255475</v>
      </c>
      <c r="R68" s="14">
        <f t="shared" si="8"/>
        <v>0</v>
      </c>
      <c r="S68" s="2">
        <f t="shared" si="9"/>
        <v>0</v>
      </c>
      <c r="T68" s="130">
        <f t="shared" si="10"/>
        <v>-217614.31532846717</v>
      </c>
      <c r="U68" s="437">
        <f t="shared" si="11"/>
        <v>-11.072013900904583</v>
      </c>
      <c r="V68" s="126"/>
      <c r="W68" s="526"/>
      <c r="X68" s="526"/>
      <c r="Y68" s="526"/>
      <c r="Z68" s="526"/>
      <c r="AA68" s="526"/>
      <c r="AB68" s="526"/>
      <c r="AC68" s="423"/>
      <c r="AD68" s="423"/>
      <c r="AE68" s="423"/>
      <c r="AF68" s="423"/>
      <c r="AG68" s="423"/>
    </row>
    <row r="69" spans="1:33" x14ac:dyDescent="0.25">
      <c r="A69" s="49">
        <f>+'A) Base RI'!A71</f>
        <v>5500</v>
      </c>
      <c r="B69" s="484" t="str">
        <f>+'A) Base RI'!B71</f>
        <v>Sévery</v>
      </c>
      <c r="C69" s="304">
        <f>+'D) Ecrêtage'!C69</f>
        <v>7516.1401369863015</v>
      </c>
      <c r="D69" s="440">
        <v>4930</v>
      </c>
      <c r="E69" s="440">
        <f t="shared" si="0"/>
        <v>100343</v>
      </c>
      <c r="F69" s="518">
        <f t="shared" si="1"/>
        <v>13.350336498679745</v>
      </c>
      <c r="G69" s="440">
        <v>105273</v>
      </c>
      <c r="H69" s="440">
        <v>13557</v>
      </c>
      <c r="I69" s="438">
        <v>28049</v>
      </c>
      <c r="J69" s="304">
        <f t="shared" si="2"/>
        <v>146879</v>
      </c>
      <c r="K69" s="284">
        <f t="shared" si="3"/>
        <v>60129.121095890412</v>
      </c>
      <c r="L69" s="10">
        <f t="shared" si="4"/>
        <v>86749.878904109588</v>
      </c>
      <c r="M69" s="301">
        <f t="shared" si="5"/>
        <v>-65062.409178082191</v>
      </c>
      <c r="N69" s="10">
        <v>0</v>
      </c>
      <c r="O69" s="10">
        <f t="shared" si="6"/>
        <v>4291</v>
      </c>
      <c r="P69" s="442">
        <v>4291</v>
      </c>
      <c r="Q69" s="10">
        <f t="shared" si="7"/>
        <v>7516.1401369863015</v>
      </c>
      <c r="R69" s="14">
        <f t="shared" si="8"/>
        <v>0</v>
      </c>
      <c r="S69" s="2">
        <f t="shared" si="9"/>
        <v>0</v>
      </c>
      <c r="T69" s="130">
        <f t="shared" si="10"/>
        <v>-65062.409178082191</v>
      </c>
      <c r="U69" s="437">
        <f t="shared" si="11"/>
        <v>-8.656359247203957</v>
      </c>
      <c r="V69" s="126"/>
      <c r="W69" s="526"/>
      <c r="X69" s="526"/>
      <c r="Y69" s="526"/>
      <c r="Z69" s="526"/>
      <c r="AA69" s="526"/>
      <c r="AB69" s="526"/>
      <c r="AC69" s="423"/>
      <c r="AD69" s="423"/>
      <c r="AE69" s="423"/>
      <c r="AF69" s="423"/>
      <c r="AG69" s="423"/>
    </row>
    <row r="70" spans="1:33" x14ac:dyDescent="0.25">
      <c r="A70" s="49">
        <f>+'A) Base RI'!A72</f>
        <v>5501</v>
      </c>
      <c r="B70" s="484" t="str">
        <f>+'A) Base RI'!B72</f>
        <v>Sullens</v>
      </c>
      <c r="C70" s="304">
        <f>+'D) Ecrêtage'!C70</f>
        <v>41921.141459854021</v>
      </c>
      <c r="D70" s="440">
        <v>102123</v>
      </c>
      <c r="E70" s="440">
        <f t="shared" ref="E70:E133" si="12">G70-D70</f>
        <v>169938</v>
      </c>
      <c r="F70" s="518">
        <f t="shared" ref="F70:F133" si="13">+E70/C70</f>
        <v>4.0537541221949294</v>
      </c>
      <c r="G70" s="440">
        <v>272061</v>
      </c>
      <c r="H70" s="440">
        <v>29616</v>
      </c>
      <c r="I70" s="438">
        <v>42323</v>
      </c>
      <c r="J70" s="304">
        <f t="shared" ref="J70:J133" si="14">SUM(G70:I70)</f>
        <v>344000</v>
      </c>
      <c r="K70" s="284">
        <f t="shared" ref="K70:K133" si="15">+C70*$L$4</f>
        <v>335369.13167883217</v>
      </c>
      <c r="L70" s="10">
        <f t="shared" ref="L70:L133" si="16">IF(J70&gt;K70,J70-K70,0)</f>
        <v>8630.868321167829</v>
      </c>
      <c r="M70" s="301">
        <f t="shared" ref="M70:M133" si="17">-L70*M$4</f>
        <v>-6473.1512408758717</v>
      </c>
      <c r="N70" s="10">
        <v>0</v>
      </c>
      <c r="O70" s="10">
        <f t="shared" ref="O70:O133" si="18">P70-N70</f>
        <v>54509</v>
      </c>
      <c r="P70" s="442">
        <v>54509</v>
      </c>
      <c r="Q70" s="10">
        <f t="shared" ref="Q70:Q133" si="19">C70*R$4</f>
        <v>41921.141459854021</v>
      </c>
      <c r="R70" s="14">
        <f t="shared" ref="R70:R133" si="20">IF(P70&gt;Q70,P70-Q70,0)</f>
        <v>12587.858540145979</v>
      </c>
      <c r="S70" s="2">
        <f t="shared" ref="S70:S133" si="21">-R70*S$4</f>
        <v>-9440.893905109484</v>
      </c>
      <c r="T70" s="130">
        <f t="shared" ref="T70:T133" si="22">S70+M70</f>
        <v>-15914.045145985356</v>
      </c>
      <c r="U70" s="437">
        <f t="shared" ref="U70:U133" si="23">+T70/C70</f>
        <v>-0.37961860273355191</v>
      </c>
      <c r="V70" s="126"/>
      <c r="W70" s="526"/>
      <c r="X70" s="526"/>
      <c r="Y70" s="526"/>
      <c r="Z70" s="526"/>
      <c r="AA70" s="526"/>
      <c r="AB70" s="526"/>
      <c r="AC70" s="423"/>
      <c r="AD70" s="423"/>
      <c r="AE70" s="423"/>
      <c r="AF70" s="423"/>
      <c r="AG70" s="423"/>
    </row>
    <row r="71" spans="1:33" x14ac:dyDescent="0.25">
      <c r="A71" s="49">
        <f>+'A) Base RI'!A73</f>
        <v>5503</v>
      </c>
      <c r="B71" s="484" t="str">
        <f>+'A) Base RI'!B73</f>
        <v>Vufflens-la-Ville</v>
      </c>
      <c r="C71" s="304">
        <f>+'D) Ecrêtage'!C71</f>
        <v>66677.882338308453</v>
      </c>
      <c r="D71" s="440">
        <v>60669</v>
      </c>
      <c r="E71" s="440">
        <f t="shared" si="12"/>
        <v>54536</v>
      </c>
      <c r="F71" s="518">
        <f t="shared" si="13"/>
        <v>0.81790240012867688</v>
      </c>
      <c r="G71" s="440">
        <v>115205</v>
      </c>
      <c r="H71" s="440">
        <v>128904</v>
      </c>
      <c r="I71" s="438">
        <v>140495</v>
      </c>
      <c r="J71" s="304">
        <f t="shared" si="14"/>
        <v>384604</v>
      </c>
      <c r="K71" s="284">
        <f t="shared" si="15"/>
        <v>533423.05870646762</v>
      </c>
      <c r="L71" s="10">
        <f t="shared" si="16"/>
        <v>0</v>
      </c>
      <c r="M71" s="301">
        <f t="shared" si="17"/>
        <v>0</v>
      </c>
      <c r="N71" s="10">
        <v>0</v>
      </c>
      <c r="O71" s="10">
        <f t="shared" si="18"/>
        <v>46671</v>
      </c>
      <c r="P71" s="442">
        <v>46671</v>
      </c>
      <c r="Q71" s="10">
        <f t="shared" si="19"/>
        <v>66677.882338308453</v>
      </c>
      <c r="R71" s="14">
        <f t="shared" si="20"/>
        <v>0</v>
      </c>
      <c r="S71" s="2">
        <f t="shared" si="21"/>
        <v>0</v>
      </c>
      <c r="T71" s="130">
        <f t="shared" si="22"/>
        <v>0</v>
      </c>
      <c r="U71" s="437">
        <f t="shared" si="23"/>
        <v>0</v>
      </c>
      <c r="V71" s="126"/>
      <c r="W71" s="526"/>
      <c r="X71" s="526"/>
      <c r="Y71" s="526"/>
      <c r="Z71" s="526"/>
      <c r="AA71" s="526"/>
      <c r="AB71" s="526"/>
      <c r="AC71" s="423"/>
      <c r="AD71" s="423"/>
      <c r="AE71" s="423"/>
      <c r="AF71" s="423"/>
      <c r="AG71" s="423"/>
    </row>
    <row r="72" spans="1:33" x14ac:dyDescent="0.25">
      <c r="A72" s="49">
        <f>+'A) Base RI'!A74</f>
        <v>5511</v>
      </c>
      <c r="B72" s="484" t="str">
        <f>+'A) Base RI'!B74</f>
        <v>Assens</v>
      </c>
      <c r="C72" s="304">
        <f>+'D) Ecrêtage'!C72</f>
        <v>44474.742571428564</v>
      </c>
      <c r="D72" s="440">
        <v>72000</v>
      </c>
      <c r="E72" s="440">
        <f t="shared" si="12"/>
        <v>366359</v>
      </c>
      <c r="F72" s="518">
        <f t="shared" si="13"/>
        <v>8.2374619574606847</v>
      </c>
      <c r="G72" s="440">
        <v>438359</v>
      </c>
      <c r="H72" s="440">
        <v>76829</v>
      </c>
      <c r="I72" s="438">
        <v>86393</v>
      </c>
      <c r="J72" s="304">
        <f t="shared" si="14"/>
        <v>601581</v>
      </c>
      <c r="K72" s="284">
        <f t="shared" si="15"/>
        <v>355797.94057142851</v>
      </c>
      <c r="L72" s="10">
        <f t="shared" si="16"/>
        <v>245783.05942857149</v>
      </c>
      <c r="M72" s="301">
        <f t="shared" si="17"/>
        <v>-184337.29457142862</v>
      </c>
      <c r="N72" s="10">
        <v>0</v>
      </c>
      <c r="O72" s="10">
        <f t="shared" si="18"/>
        <v>6296</v>
      </c>
      <c r="P72" s="442">
        <v>6296</v>
      </c>
      <c r="Q72" s="10">
        <f t="shared" si="19"/>
        <v>44474.742571428564</v>
      </c>
      <c r="R72" s="14">
        <f t="shared" si="20"/>
        <v>0</v>
      </c>
      <c r="S72" s="2">
        <f t="shared" si="21"/>
        <v>0</v>
      </c>
      <c r="T72" s="130">
        <f t="shared" si="22"/>
        <v>-184337.29457142862</v>
      </c>
      <c r="U72" s="437">
        <f t="shared" si="23"/>
        <v>-4.1447636099382503</v>
      </c>
      <c r="V72" s="126"/>
      <c r="W72" s="526"/>
      <c r="X72" s="526"/>
      <c r="Y72" s="526"/>
      <c r="Z72" s="526"/>
      <c r="AA72" s="526"/>
      <c r="AB72" s="526"/>
      <c r="AC72" s="423"/>
      <c r="AD72" s="423"/>
      <c r="AE72" s="423"/>
      <c r="AF72" s="423"/>
      <c r="AG72" s="423"/>
    </row>
    <row r="73" spans="1:33" x14ac:dyDescent="0.25">
      <c r="A73" s="49">
        <f>+'A) Base RI'!A75</f>
        <v>5512</v>
      </c>
      <c r="B73" s="484" t="str">
        <f>+'A) Base RI'!B75</f>
        <v>Bercher</v>
      </c>
      <c r="C73" s="304">
        <f>+'D) Ecrêtage'!C73</f>
        <v>40313.482784810127</v>
      </c>
      <c r="D73" s="440">
        <v>303761</v>
      </c>
      <c r="E73" s="440">
        <f t="shared" si="12"/>
        <v>124284</v>
      </c>
      <c r="F73" s="518">
        <f t="shared" si="13"/>
        <v>3.0829387940361594</v>
      </c>
      <c r="G73" s="440">
        <v>428045</v>
      </c>
      <c r="H73" s="440">
        <v>91565</v>
      </c>
      <c r="I73" s="438">
        <v>102963</v>
      </c>
      <c r="J73" s="304">
        <f t="shared" si="14"/>
        <v>622573</v>
      </c>
      <c r="K73" s="284">
        <f t="shared" si="15"/>
        <v>322507.86227848101</v>
      </c>
      <c r="L73" s="10">
        <f t="shared" si="16"/>
        <v>300065.13772151899</v>
      </c>
      <c r="M73" s="301">
        <f t="shared" si="17"/>
        <v>-225048.85329113924</v>
      </c>
      <c r="N73" s="10">
        <v>0</v>
      </c>
      <c r="O73" s="10">
        <f t="shared" si="18"/>
        <v>54283</v>
      </c>
      <c r="P73" s="442">
        <v>54283</v>
      </c>
      <c r="Q73" s="10">
        <f t="shared" si="19"/>
        <v>40313.482784810127</v>
      </c>
      <c r="R73" s="14">
        <f t="shared" si="20"/>
        <v>13969.517215189873</v>
      </c>
      <c r="S73" s="2">
        <f t="shared" si="21"/>
        <v>-10477.137911392405</v>
      </c>
      <c r="T73" s="130">
        <f t="shared" si="22"/>
        <v>-235525.99120253164</v>
      </c>
      <c r="U73" s="437">
        <f t="shared" si="23"/>
        <v>-5.8423627762391295</v>
      </c>
      <c r="V73" s="126"/>
      <c r="W73" s="526"/>
      <c r="X73" s="526"/>
      <c r="Y73" s="526"/>
      <c r="Z73" s="526"/>
      <c r="AA73" s="526"/>
      <c r="AB73" s="526"/>
      <c r="AC73" s="423"/>
      <c r="AD73" s="423"/>
      <c r="AE73" s="423"/>
      <c r="AF73" s="423"/>
      <c r="AG73" s="423"/>
    </row>
    <row r="74" spans="1:33" x14ac:dyDescent="0.25">
      <c r="A74" s="49">
        <f>+'A) Base RI'!A76</f>
        <v>5513</v>
      </c>
      <c r="B74" s="484" t="str">
        <f>+'A) Base RI'!B76</f>
        <v>Bioley-Orjulaz</v>
      </c>
      <c r="C74" s="304">
        <f>+'D) Ecrêtage'!C74</f>
        <v>22644.962352941177</v>
      </c>
      <c r="D74" s="440">
        <v>15333</v>
      </c>
      <c r="E74" s="440">
        <f t="shared" si="12"/>
        <v>63567</v>
      </c>
      <c r="F74" s="518">
        <f t="shared" si="13"/>
        <v>2.8071144040450915</v>
      </c>
      <c r="G74" s="440">
        <v>78900</v>
      </c>
      <c r="H74" s="440">
        <v>14908</v>
      </c>
      <c r="I74" s="438">
        <v>41909</v>
      </c>
      <c r="J74" s="304">
        <f t="shared" si="14"/>
        <v>135717</v>
      </c>
      <c r="K74" s="284">
        <f t="shared" si="15"/>
        <v>181159.69882352941</v>
      </c>
      <c r="L74" s="10">
        <f t="shared" si="16"/>
        <v>0</v>
      </c>
      <c r="M74" s="301">
        <f t="shared" si="17"/>
        <v>0</v>
      </c>
      <c r="N74" s="10">
        <v>0</v>
      </c>
      <c r="O74" s="10">
        <f t="shared" si="18"/>
        <v>7980</v>
      </c>
      <c r="P74" s="442">
        <v>7980</v>
      </c>
      <c r="Q74" s="10">
        <f t="shared" si="19"/>
        <v>22644.962352941177</v>
      </c>
      <c r="R74" s="14">
        <f t="shared" si="20"/>
        <v>0</v>
      </c>
      <c r="S74" s="2">
        <f t="shared" si="21"/>
        <v>0</v>
      </c>
      <c r="T74" s="130">
        <f t="shared" si="22"/>
        <v>0</v>
      </c>
      <c r="U74" s="437">
        <f t="shared" si="23"/>
        <v>0</v>
      </c>
      <c r="V74" s="126"/>
      <c r="W74" s="526"/>
      <c r="X74" s="526"/>
      <c r="Y74" s="526"/>
      <c r="Z74" s="526"/>
      <c r="AA74" s="526"/>
      <c r="AB74" s="526"/>
      <c r="AC74" s="423"/>
      <c r="AD74" s="423"/>
      <c r="AE74" s="423"/>
      <c r="AF74" s="423"/>
      <c r="AG74" s="423"/>
    </row>
    <row r="75" spans="1:33" x14ac:dyDescent="0.25">
      <c r="A75" s="49">
        <f>+'A) Base RI'!A77</f>
        <v>5514</v>
      </c>
      <c r="B75" s="484" t="str">
        <f>+'A) Base RI'!B77</f>
        <v>Bottens</v>
      </c>
      <c r="C75" s="304">
        <f>+'D) Ecrêtage'!C75</f>
        <v>44190.368827586208</v>
      </c>
      <c r="D75" s="440">
        <v>55891</v>
      </c>
      <c r="E75" s="440">
        <f t="shared" si="12"/>
        <v>58373</v>
      </c>
      <c r="F75" s="518">
        <f t="shared" si="13"/>
        <v>1.3209439420555404</v>
      </c>
      <c r="G75" s="440">
        <v>114264</v>
      </c>
      <c r="H75" s="440">
        <v>55755</v>
      </c>
      <c r="I75" s="438">
        <v>104492</v>
      </c>
      <c r="J75" s="304">
        <f t="shared" si="14"/>
        <v>274511</v>
      </c>
      <c r="K75" s="284">
        <f t="shared" si="15"/>
        <v>353522.95062068966</v>
      </c>
      <c r="L75" s="10">
        <f t="shared" si="16"/>
        <v>0</v>
      </c>
      <c r="M75" s="301">
        <f t="shared" si="17"/>
        <v>0</v>
      </c>
      <c r="N75" s="10">
        <v>0</v>
      </c>
      <c r="O75" s="10">
        <f t="shared" si="18"/>
        <v>20888</v>
      </c>
      <c r="P75" s="442">
        <v>20888</v>
      </c>
      <c r="Q75" s="10">
        <f t="shared" si="19"/>
        <v>44190.368827586208</v>
      </c>
      <c r="R75" s="14">
        <f t="shared" si="20"/>
        <v>0</v>
      </c>
      <c r="S75" s="2">
        <f t="shared" si="21"/>
        <v>0</v>
      </c>
      <c r="T75" s="130">
        <f t="shared" si="22"/>
        <v>0</v>
      </c>
      <c r="U75" s="437">
        <f t="shared" si="23"/>
        <v>0</v>
      </c>
      <c r="V75" s="126"/>
      <c r="W75" s="526"/>
      <c r="X75" s="526"/>
      <c r="Y75" s="526"/>
      <c r="Z75" s="526"/>
      <c r="AA75" s="526"/>
      <c r="AB75" s="526"/>
      <c r="AC75" s="423"/>
      <c r="AD75" s="423"/>
      <c r="AE75" s="423"/>
      <c r="AF75" s="423"/>
      <c r="AG75" s="423"/>
    </row>
    <row r="76" spans="1:33" x14ac:dyDescent="0.25">
      <c r="A76" s="49">
        <f>+'A) Base RI'!A78</f>
        <v>5515</v>
      </c>
      <c r="B76" s="484" t="str">
        <f>+'A) Base RI'!B78</f>
        <v>Bretigny-sur-Morrens</v>
      </c>
      <c r="C76" s="304">
        <f>+'D) Ecrêtage'!C76</f>
        <v>29586.483086419765</v>
      </c>
      <c r="D76" s="440">
        <v>61200</v>
      </c>
      <c r="E76" s="440">
        <f t="shared" si="12"/>
        <v>153498</v>
      </c>
      <c r="F76" s="518">
        <f t="shared" si="13"/>
        <v>5.1881124076709133</v>
      </c>
      <c r="G76" s="440">
        <v>214698</v>
      </c>
      <c r="H76" s="440">
        <v>37127</v>
      </c>
      <c r="I76" s="438">
        <v>55573</v>
      </c>
      <c r="J76" s="304">
        <f t="shared" si="14"/>
        <v>307398</v>
      </c>
      <c r="K76" s="284">
        <f t="shared" si="15"/>
        <v>236691.86469135812</v>
      </c>
      <c r="L76" s="10">
        <f t="shared" si="16"/>
        <v>70706.135308641882</v>
      </c>
      <c r="M76" s="301">
        <f t="shared" si="17"/>
        <v>-53029.601481481412</v>
      </c>
      <c r="N76" s="10">
        <v>0</v>
      </c>
      <c r="O76" s="10">
        <f t="shared" si="18"/>
        <v>12370</v>
      </c>
      <c r="P76" s="442">
        <v>12370</v>
      </c>
      <c r="Q76" s="10">
        <f t="shared" si="19"/>
        <v>29586.483086419765</v>
      </c>
      <c r="R76" s="14">
        <f t="shared" si="20"/>
        <v>0</v>
      </c>
      <c r="S76" s="2">
        <f t="shared" si="21"/>
        <v>0</v>
      </c>
      <c r="T76" s="130">
        <f t="shared" si="22"/>
        <v>-53029.601481481412</v>
      </c>
      <c r="U76" s="437">
        <f t="shared" si="23"/>
        <v>-1.7923590758180403</v>
      </c>
      <c r="V76" s="126"/>
      <c r="W76" s="526"/>
      <c r="X76" s="526"/>
      <c r="Y76" s="526"/>
      <c r="Z76" s="526"/>
      <c r="AA76" s="526"/>
      <c r="AB76" s="526"/>
      <c r="AC76" s="423"/>
      <c r="AD76" s="423"/>
      <c r="AE76" s="423"/>
      <c r="AF76" s="423"/>
      <c r="AG76" s="423"/>
    </row>
    <row r="77" spans="1:33" x14ac:dyDescent="0.25">
      <c r="A77" s="49">
        <f>+'A) Base RI'!A79</f>
        <v>5516</v>
      </c>
      <c r="B77" s="484" t="str">
        <f>+'A) Base RI'!B79</f>
        <v>Cugy</v>
      </c>
      <c r="C77" s="304">
        <f>+'D) Ecrêtage'!C77</f>
        <v>107062.26318376069</v>
      </c>
      <c r="D77" s="440">
        <v>355815</v>
      </c>
      <c r="E77" s="440">
        <f t="shared" si="12"/>
        <v>396528</v>
      </c>
      <c r="F77" s="518">
        <f t="shared" si="13"/>
        <v>3.7037139717418728</v>
      </c>
      <c r="G77" s="440">
        <v>752343</v>
      </c>
      <c r="H77" s="440">
        <v>118806</v>
      </c>
      <c r="I77" s="438">
        <v>202460</v>
      </c>
      <c r="J77" s="304">
        <f t="shared" si="14"/>
        <v>1073609</v>
      </c>
      <c r="K77" s="284">
        <f t="shared" si="15"/>
        <v>856498.10547008552</v>
      </c>
      <c r="L77" s="10">
        <f t="shared" si="16"/>
        <v>217110.89452991448</v>
      </c>
      <c r="M77" s="301">
        <f t="shared" si="17"/>
        <v>-162833.17089743586</v>
      </c>
      <c r="N77" s="10">
        <v>0</v>
      </c>
      <c r="O77" s="10">
        <f t="shared" si="18"/>
        <v>30451</v>
      </c>
      <c r="P77" s="442">
        <v>30451</v>
      </c>
      <c r="Q77" s="10">
        <f t="shared" si="19"/>
        <v>107062.26318376069</v>
      </c>
      <c r="R77" s="14">
        <f t="shared" si="20"/>
        <v>0</v>
      </c>
      <c r="S77" s="2">
        <f t="shared" si="21"/>
        <v>0</v>
      </c>
      <c r="T77" s="130">
        <f t="shared" si="22"/>
        <v>-162833.17089743586</v>
      </c>
      <c r="U77" s="437">
        <f t="shared" si="23"/>
        <v>-1.5209203136118139</v>
      </c>
      <c r="V77" s="126"/>
      <c r="W77" s="526"/>
      <c r="X77" s="526"/>
      <c r="Y77" s="526"/>
      <c r="Z77" s="526"/>
      <c r="AA77" s="526"/>
      <c r="AB77" s="526"/>
      <c r="AC77" s="423"/>
      <c r="AD77" s="423"/>
      <c r="AE77" s="423"/>
      <c r="AF77" s="423"/>
      <c r="AG77" s="423"/>
    </row>
    <row r="78" spans="1:33" x14ac:dyDescent="0.25">
      <c r="A78" s="49">
        <f>+'A) Base RI'!A80</f>
        <v>5518</v>
      </c>
      <c r="B78" s="484" t="str">
        <f>+'A) Base RI'!B80</f>
        <v>Echallens</v>
      </c>
      <c r="C78" s="304">
        <f>+'D) Ecrêtage'!C78</f>
        <v>178756.07310344829</v>
      </c>
      <c r="D78" s="440">
        <v>949578</v>
      </c>
      <c r="E78" s="440">
        <f t="shared" si="12"/>
        <v>1198599</v>
      </c>
      <c r="F78" s="518">
        <f t="shared" si="13"/>
        <v>6.7052211384524893</v>
      </c>
      <c r="G78" s="440">
        <v>2148177</v>
      </c>
      <c r="H78" s="440">
        <v>409541</v>
      </c>
      <c r="I78" s="438">
        <v>460519</v>
      </c>
      <c r="J78" s="304">
        <f t="shared" si="14"/>
        <v>3018237</v>
      </c>
      <c r="K78" s="284">
        <f t="shared" si="15"/>
        <v>1430048.5848275863</v>
      </c>
      <c r="L78" s="10">
        <f t="shared" si="16"/>
        <v>1588188.4151724137</v>
      </c>
      <c r="M78" s="301">
        <f t="shared" si="17"/>
        <v>-1191141.3113793102</v>
      </c>
      <c r="N78" s="10">
        <v>0</v>
      </c>
      <c r="O78" s="10">
        <f t="shared" si="18"/>
        <v>43552</v>
      </c>
      <c r="P78" s="442">
        <v>43552</v>
      </c>
      <c r="Q78" s="10">
        <f t="shared" si="19"/>
        <v>178756.07310344829</v>
      </c>
      <c r="R78" s="14">
        <f t="shared" si="20"/>
        <v>0</v>
      </c>
      <c r="S78" s="2">
        <f t="shared" si="21"/>
        <v>0</v>
      </c>
      <c r="T78" s="130">
        <f t="shared" si="22"/>
        <v>-1191141.3113793102</v>
      </c>
      <c r="U78" s="437">
        <f t="shared" si="23"/>
        <v>-6.6635012209626154</v>
      </c>
      <c r="V78" s="126"/>
      <c r="W78" s="526"/>
      <c r="X78" s="526"/>
      <c r="Y78" s="526"/>
      <c r="Z78" s="526"/>
      <c r="AA78" s="526"/>
      <c r="AB78" s="526"/>
      <c r="AC78" s="423"/>
      <c r="AD78" s="423"/>
      <c r="AE78" s="423"/>
      <c r="AF78" s="423"/>
      <c r="AG78" s="423"/>
    </row>
    <row r="79" spans="1:33" x14ac:dyDescent="0.25">
      <c r="A79" s="49">
        <f>+'A) Base RI'!A81</f>
        <v>5520</v>
      </c>
      <c r="B79" s="484" t="str">
        <f>+'A) Base RI'!B81</f>
        <v>Essertines-sur-Yverdon</v>
      </c>
      <c r="C79" s="304">
        <f>+'D) Ecrêtage'!C79</f>
        <v>29733.806712328769</v>
      </c>
      <c r="D79" s="440">
        <v>22432</v>
      </c>
      <c r="E79" s="440">
        <f t="shared" si="12"/>
        <v>191271</v>
      </c>
      <c r="F79" s="518">
        <f t="shared" si="13"/>
        <v>6.4327787508180627</v>
      </c>
      <c r="G79" s="440">
        <v>213703</v>
      </c>
      <c r="H79" s="440">
        <v>68677</v>
      </c>
      <c r="I79" s="438">
        <v>82853</v>
      </c>
      <c r="J79" s="304">
        <f t="shared" si="14"/>
        <v>365233</v>
      </c>
      <c r="K79" s="284">
        <f t="shared" si="15"/>
        <v>237870.45369863015</v>
      </c>
      <c r="L79" s="10">
        <f t="shared" si="16"/>
        <v>127362.54630136985</v>
      </c>
      <c r="M79" s="301">
        <f t="shared" si="17"/>
        <v>-95521.909726027385</v>
      </c>
      <c r="N79" s="10">
        <v>0</v>
      </c>
      <c r="O79" s="10">
        <f t="shared" si="18"/>
        <v>92890</v>
      </c>
      <c r="P79" s="442">
        <v>92890</v>
      </c>
      <c r="Q79" s="10">
        <f t="shared" si="19"/>
        <v>29733.806712328769</v>
      </c>
      <c r="R79" s="14">
        <f t="shared" si="20"/>
        <v>63156.193287671231</v>
      </c>
      <c r="S79" s="2">
        <f t="shared" si="21"/>
        <v>-47367.144965753425</v>
      </c>
      <c r="T79" s="130">
        <f t="shared" si="22"/>
        <v>-142889.05469178082</v>
      </c>
      <c r="U79" s="437">
        <f t="shared" si="23"/>
        <v>-4.8056091866815551</v>
      </c>
      <c r="V79" s="126"/>
      <c r="W79" s="526"/>
      <c r="X79" s="526"/>
      <c r="Y79" s="526"/>
      <c r="Z79" s="526"/>
      <c r="AA79" s="526"/>
      <c r="AB79" s="526"/>
      <c r="AC79" s="423"/>
      <c r="AD79" s="423"/>
      <c r="AE79" s="423"/>
      <c r="AF79" s="423"/>
      <c r="AG79" s="423"/>
    </row>
    <row r="80" spans="1:33" x14ac:dyDescent="0.25">
      <c r="A80" s="49">
        <f>+'A) Base RI'!A82</f>
        <v>5521</v>
      </c>
      <c r="B80" s="484" t="str">
        <f>+'A) Base RI'!B82</f>
        <v>Etagnières</v>
      </c>
      <c r="C80" s="304">
        <f>+'D) Ecrêtage'!C80</f>
        <v>46797.314657534247</v>
      </c>
      <c r="D80" s="440">
        <v>59618</v>
      </c>
      <c r="E80" s="440">
        <f t="shared" si="12"/>
        <v>231868</v>
      </c>
      <c r="F80" s="518">
        <f t="shared" si="13"/>
        <v>4.9547287423824402</v>
      </c>
      <c r="G80" s="440">
        <v>291486</v>
      </c>
      <c r="H80" s="440">
        <v>81765</v>
      </c>
      <c r="I80" s="438">
        <v>91943</v>
      </c>
      <c r="J80" s="304">
        <f t="shared" si="14"/>
        <v>465194</v>
      </c>
      <c r="K80" s="284">
        <f t="shared" si="15"/>
        <v>374378.51726027398</v>
      </c>
      <c r="L80" s="10">
        <f t="shared" si="16"/>
        <v>90815.482739726023</v>
      </c>
      <c r="M80" s="301">
        <f t="shared" si="17"/>
        <v>-68111.612054794517</v>
      </c>
      <c r="N80" s="10">
        <v>0</v>
      </c>
      <c r="O80" s="10">
        <f t="shared" si="18"/>
        <v>45116</v>
      </c>
      <c r="P80" s="442">
        <v>45116</v>
      </c>
      <c r="Q80" s="10">
        <f t="shared" si="19"/>
        <v>46797.314657534247</v>
      </c>
      <c r="R80" s="14">
        <f t="shared" si="20"/>
        <v>0</v>
      </c>
      <c r="S80" s="2">
        <f t="shared" si="21"/>
        <v>0</v>
      </c>
      <c r="T80" s="130">
        <f t="shared" si="22"/>
        <v>-68111.612054794517</v>
      </c>
      <c r="U80" s="437">
        <f t="shared" si="23"/>
        <v>-1.4554598389510096</v>
      </c>
      <c r="V80" s="126"/>
      <c r="W80" s="526"/>
      <c r="X80" s="526"/>
      <c r="Y80" s="526"/>
      <c r="Z80" s="526"/>
      <c r="AA80" s="526"/>
      <c r="AB80" s="526"/>
      <c r="AC80" s="423"/>
      <c r="AD80" s="423"/>
      <c r="AE80" s="423"/>
      <c r="AF80" s="423"/>
      <c r="AG80" s="423"/>
    </row>
    <row r="81" spans="1:33" x14ac:dyDescent="0.25">
      <c r="A81" s="49">
        <f>+'A) Base RI'!A83</f>
        <v>5522</v>
      </c>
      <c r="B81" s="484" t="str">
        <f>+'A) Base RI'!B83</f>
        <v>Fey</v>
      </c>
      <c r="C81" s="304">
        <f>+'D) Ecrêtage'!C81</f>
        <v>23726.940933333331</v>
      </c>
      <c r="D81" s="440">
        <v>1672</v>
      </c>
      <c r="E81" s="440">
        <f t="shared" si="12"/>
        <v>216512</v>
      </c>
      <c r="F81" s="518">
        <f t="shared" si="13"/>
        <v>9.1251544229129085</v>
      </c>
      <c r="G81" s="440">
        <v>218184</v>
      </c>
      <c r="H81" s="440">
        <v>53724</v>
      </c>
      <c r="I81" s="438">
        <v>60410</v>
      </c>
      <c r="J81" s="304">
        <f t="shared" si="14"/>
        <v>332318</v>
      </c>
      <c r="K81" s="284">
        <f t="shared" si="15"/>
        <v>189815.52746666665</v>
      </c>
      <c r="L81" s="10">
        <f t="shared" si="16"/>
        <v>142502.47253333335</v>
      </c>
      <c r="M81" s="301">
        <f t="shared" si="17"/>
        <v>-106876.85440000001</v>
      </c>
      <c r="N81" s="10">
        <v>0</v>
      </c>
      <c r="O81" s="10">
        <f t="shared" si="18"/>
        <v>26942</v>
      </c>
      <c r="P81" s="442">
        <v>26942</v>
      </c>
      <c r="Q81" s="10">
        <f t="shared" si="19"/>
        <v>23726.940933333331</v>
      </c>
      <c r="R81" s="14">
        <f t="shared" si="20"/>
        <v>3215.0590666666685</v>
      </c>
      <c r="S81" s="2">
        <f t="shared" si="21"/>
        <v>-2411.2943000000014</v>
      </c>
      <c r="T81" s="130">
        <f t="shared" si="22"/>
        <v>-109288.14870000002</v>
      </c>
      <c r="U81" s="437">
        <f t="shared" si="23"/>
        <v>-4.6060783396844931</v>
      </c>
      <c r="V81" s="126"/>
      <c r="W81" s="526"/>
      <c r="X81" s="526"/>
      <c r="Y81" s="526"/>
      <c r="Z81" s="526"/>
      <c r="AA81" s="526"/>
      <c r="AB81" s="526"/>
      <c r="AC81" s="423"/>
      <c r="AD81" s="423"/>
      <c r="AE81" s="423"/>
      <c r="AF81" s="423"/>
      <c r="AG81" s="423"/>
    </row>
    <row r="82" spans="1:33" x14ac:dyDescent="0.25">
      <c r="A82" s="49">
        <f>+'A) Base RI'!A84</f>
        <v>5523</v>
      </c>
      <c r="B82" s="484" t="str">
        <f>+'A) Base RI'!B84</f>
        <v>Froideville</v>
      </c>
      <c r="C82" s="304">
        <f>+'D) Ecrêtage'!C82</f>
        <v>85868.846805555557</v>
      </c>
      <c r="D82" s="440">
        <v>177246</v>
      </c>
      <c r="E82" s="440">
        <f t="shared" si="12"/>
        <v>367538</v>
      </c>
      <c r="F82" s="518">
        <f t="shared" si="13"/>
        <v>4.2802251768009185</v>
      </c>
      <c r="G82" s="440">
        <v>544784</v>
      </c>
      <c r="H82" s="440">
        <v>113226</v>
      </c>
      <c r="I82" s="438">
        <v>191580</v>
      </c>
      <c r="J82" s="304">
        <f t="shared" si="14"/>
        <v>849590</v>
      </c>
      <c r="K82" s="284">
        <f t="shared" si="15"/>
        <v>686950.77444444445</v>
      </c>
      <c r="L82" s="10">
        <f t="shared" si="16"/>
        <v>162639.22555555555</v>
      </c>
      <c r="M82" s="301">
        <f t="shared" si="17"/>
        <v>-121979.41916666666</v>
      </c>
      <c r="N82" s="10">
        <v>0</v>
      </c>
      <c r="O82" s="10">
        <f t="shared" si="18"/>
        <v>10033</v>
      </c>
      <c r="P82" s="442">
        <v>10033</v>
      </c>
      <c r="Q82" s="10">
        <f t="shared" si="19"/>
        <v>85868.846805555557</v>
      </c>
      <c r="R82" s="14">
        <f t="shared" si="20"/>
        <v>0</v>
      </c>
      <c r="S82" s="2">
        <f t="shared" si="21"/>
        <v>0</v>
      </c>
      <c r="T82" s="130">
        <f t="shared" si="22"/>
        <v>-121979.41916666666</v>
      </c>
      <c r="U82" s="437">
        <f t="shared" si="23"/>
        <v>-1.4205317027592226</v>
      </c>
      <c r="V82" s="126"/>
      <c r="W82" s="526"/>
      <c r="X82" s="526"/>
      <c r="Y82" s="526"/>
      <c r="Z82" s="526"/>
      <c r="AA82" s="526"/>
      <c r="AB82" s="526"/>
      <c r="AC82" s="423"/>
      <c r="AD82" s="423"/>
      <c r="AE82" s="423"/>
      <c r="AF82" s="423"/>
      <c r="AG82" s="423"/>
    </row>
    <row r="83" spans="1:33" x14ac:dyDescent="0.25">
      <c r="A83" s="49">
        <f>+'A) Base RI'!A85</f>
        <v>5527</v>
      </c>
      <c r="B83" s="484" t="str">
        <f>+'A) Base RI'!B85</f>
        <v>Morrens</v>
      </c>
      <c r="C83" s="304">
        <f>+'D) Ecrêtage'!C83</f>
        <v>40564.204594594594</v>
      </c>
      <c r="D83" s="440">
        <v>95284</v>
      </c>
      <c r="E83" s="440">
        <f t="shared" si="12"/>
        <v>239826</v>
      </c>
      <c r="F83" s="518">
        <f t="shared" si="13"/>
        <v>5.9122569367958997</v>
      </c>
      <c r="G83" s="440">
        <v>335110</v>
      </c>
      <c r="H83" s="440">
        <v>32220</v>
      </c>
      <c r="I83" s="438">
        <v>68735</v>
      </c>
      <c r="J83" s="304">
        <f t="shared" si="14"/>
        <v>436065</v>
      </c>
      <c r="K83" s="284">
        <f t="shared" si="15"/>
        <v>324513.63675675675</v>
      </c>
      <c r="L83" s="10">
        <f t="shared" si="16"/>
        <v>111551.36324324325</v>
      </c>
      <c r="M83" s="301">
        <f t="shared" si="17"/>
        <v>-83663.522432432437</v>
      </c>
      <c r="N83" s="10">
        <v>0</v>
      </c>
      <c r="O83" s="10">
        <f t="shared" si="18"/>
        <v>14157</v>
      </c>
      <c r="P83" s="442">
        <v>14157</v>
      </c>
      <c r="Q83" s="10">
        <f t="shared" si="19"/>
        <v>40564.204594594594</v>
      </c>
      <c r="R83" s="14">
        <f t="shared" si="20"/>
        <v>0</v>
      </c>
      <c r="S83" s="2">
        <f t="shared" si="21"/>
        <v>0</v>
      </c>
      <c r="T83" s="130">
        <f t="shared" si="22"/>
        <v>-83663.522432432437</v>
      </c>
      <c r="U83" s="437">
        <f t="shared" si="23"/>
        <v>-2.0624963134019167</v>
      </c>
      <c r="V83" s="126"/>
      <c r="W83" s="526"/>
      <c r="X83" s="526"/>
      <c r="Y83" s="526"/>
      <c r="Z83" s="526"/>
      <c r="AA83" s="526"/>
      <c r="AB83" s="526"/>
      <c r="AC83" s="423"/>
      <c r="AD83" s="423"/>
      <c r="AE83" s="423"/>
      <c r="AF83" s="423"/>
      <c r="AG83" s="423"/>
    </row>
    <row r="84" spans="1:33" x14ac:dyDescent="0.25">
      <c r="A84" s="49">
        <f>+'A) Base RI'!A86</f>
        <v>5529</v>
      </c>
      <c r="B84" s="484" t="str">
        <f>+'A) Base RI'!B86</f>
        <v>Oulens-sous-Echallens</v>
      </c>
      <c r="C84" s="304">
        <f>+'D) Ecrêtage'!C84</f>
        <v>20201.245428571427</v>
      </c>
      <c r="D84" s="440">
        <v>30193</v>
      </c>
      <c r="E84" s="440">
        <f t="shared" si="12"/>
        <v>152101</v>
      </c>
      <c r="F84" s="518">
        <f t="shared" si="13"/>
        <v>7.5292882578852041</v>
      </c>
      <c r="G84" s="440">
        <v>182294</v>
      </c>
      <c r="H84" s="440">
        <v>17598</v>
      </c>
      <c r="I84" s="438">
        <v>49471</v>
      </c>
      <c r="J84" s="304">
        <f t="shared" si="14"/>
        <v>249363</v>
      </c>
      <c r="K84" s="284">
        <f t="shared" si="15"/>
        <v>161609.96342857141</v>
      </c>
      <c r="L84" s="10">
        <f t="shared" si="16"/>
        <v>87753.036571428587</v>
      </c>
      <c r="M84" s="301">
        <f t="shared" si="17"/>
        <v>-65814.77742857144</v>
      </c>
      <c r="N84" s="10">
        <v>0</v>
      </c>
      <c r="O84" s="10">
        <f t="shared" si="18"/>
        <v>-10471</v>
      </c>
      <c r="P84" s="442">
        <v>-10471</v>
      </c>
      <c r="Q84" s="10">
        <f t="shared" si="19"/>
        <v>20201.245428571427</v>
      </c>
      <c r="R84" s="14">
        <f t="shared" si="20"/>
        <v>0</v>
      </c>
      <c r="S84" s="2">
        <f t="shared" si="21"/>
        <v>0</v>
      </c>
      <c r="T84" s="130">
        <f t="shared" si="22"/>
        <v>-65814.77742857144</v>
      </c>
      <c r="U84" s="437">
        <f t="shared" si="23"/>
        <v>-3.2579564295321601</v>
      </c>
      <c r="V84" s="126"/>
      <c r="W84" s="526"/>
      <c r="X84" s="526"/>
      <c r="Y84" s="526"/>
      <c r="Z84" s="526"/>
      <c r="AA84" s="526"/>
      <c r="AB84" s="526"/>
      <c r="AC84" s="423"/>
      <c r="AD84" s="423"/>
      <c r="AE84" s="423"/>
      <c r="AF84" s="423"/>
      <c r="AG84" s="423"/>
    </row>
    <row r="85" spans="1:33" x14ac:dyDescent="0.25">
      <c r="A85" s="49">
        <f>+'A) Base RI'!A87</f>
        <v>5530</v>
      </c>
      <c r="B85" s="484" t="str">
        <f>+'A) Base RI'!B87</f>
        <v>Pailly</v>
      </c>
      <c r="C85" s="304">
        <f>+'D) Ecrêtage'!C85</f>
        <v>18302.009495614031</v>
      </c>
      <c r="D85" s="440">
        <v>89550</v>
      </c>
      <c r="E85" s="440">
        <f t="shared" si="12"/>
        <v>468955</v>
      </c>
      <c r="F85" s="518">
        <f t="shared" si="13"/>
        <v>25.623142645204194</v>
      </c>
      <c r="G85" s="440">
        <v>558505</v>
      </c>
      <c r="H85" s="440">
        <v>16110</v>
      </c>
      <c r="I85" s="438">
        <v>45610</v>
      </c>
      <c r="J85" s="304">
        <f t="shared" si="14"/>
        <v>620225</v>
      </c>
      <c r="K85" s="284">
        <f t="shared" si="15"/>
        <v>146416.07596491225</v>
      </c>
      <c r="L85" s="10">
        <f t="shared" si="16"/>
        <v>473808.92403508775</v>
      </c>
      <c r="M85" s="301">
        <f t="shared" si="17"/>
        <v>-355356.69302631583</v>
      </c>
      <c r="N85" s="10">
        <v>0</v>
      </c>
      <c r="O85" s="10">
        <f t="shared" si="18"/>
        <v>42670</v>
      </c>
      <c r="P85" s="442">
        <v>42670</v>
      </c>
      <c r="Q85" s="10">
        <f t="shared" si="19"/>
        <v>18302.009495614031</v>
      </c>
      <c r="R85" s="14">
        <f t="shared" si="20"/>
        <v>24367.990504385969</v>
      </c>
      <c r="S85" s="2">
        <f t="shared" si="21"/>
        <v>-18275.992878289479</v>
      </c>
      <c r="T85" s="130">
        <f t="shared" si="22"/>
        <v>-373632.68590460531</v>
      </c>
      <c r="U85" s="437">
        <f t="shared" si="23"/>
        <v>-20.414844937882052</v>
      </c>
      <c r="V85" s="126"/>
      <c r="W85" s="526"/>
      <c r="X85" s="526"/>
      <c r="Y85" s="526"/>
      <c r="Z85" s="526"/>
      <c r="AA85" s="526"/>
      <c r="AB85" s="526"/>
      <c r="AC85" s="423"/>
      <c r="AD85" s="423"/>
      <c r="AE85" s="423"/>
      <c r="AF85" s="423"/>
      <c r="AG85" s="423"/>
    </row>
    <row r="86" spans="1:33" x14ac:dyDescent="0.25">
      <c r="A86" s="49">
        <f>+'A) Base RI'!A88</f>
        <v>5531</v>
      </c>
      <c r="B86" s="484" t="str">
        <f>+'A) Base RI'!B88</f>
        <v>Penthéréaz</v>
      </c>
      <c r="C86" s="304">
        <f>+'D) Ecrêtage'!C86</f>
        <v>13843.062702702704</v>
      </c>
      <c r="D86" s="440">
        <v>114716</v>
      </c>
      <c r="E86" s="440">
        <f t="shared" si="12"/>
        <v>25488</v>
      </c>
      <c r="F86" s="518">
        <f t="shared" si="13"/>
        <v>1.8412110489843949</v>
      </c>
      <c r="G86" s="440">
        <v>140204</v>
      </c>
      <c r="H86" s="440">
        <v>12047</v>
      </c>
      <c r="I86" s="438">
        <v>33704</v>
      </c>
      <c r="J86" s="304">
        <f t="shared" si="14"/>
        <v>185955</v>
      </c>
      <c r="K86" s="284">
        <f t="shared" si="15"/>
        <v>110744.50162162163</v>
      </c>
      <c r="L86" s="10">
        <f t="shared" si="16"/>
        <v>75210.498378378368</v>
      </c>
      <c r="M86" s="301">
        <f t="shared" si="17"/>
        <v>-56407.873783783776</v>
      </c>
      <c r="N86" s="10">
        <v>0</v>
      </c>
      <c r="O86" s="10">
        <f t="shared" si="18"/>
        <v>27135</v>
      </c>
      <c r="P86" s="442">
        <v>27135</v>
      </c>
      <c r="Q86" s="10">
        <f t="shared" si="19"/>
        <v>13843.062702702704</v>
      </c>
      <c r="R86" s="14">
        <f t="shared" si="20"/>
        <v>13291.937297297296</v>
      </c>
      <c r="S86" s="2">
        <f t="shared" si="21"/>
        <v>-9968.9529729729729</v>
      </c>
      <c r="T86" s="130">
        <f t="shared" si="22"/>
        <v>-66376.826756756753</v>
      </c>
      <c r="U86" s="437">
        <f t="shared" si="23"/>
        <v>-4.7949524019563547</v>
      </c>
      <c r="V86" s="126"/>
      <c r="W86" s="526"/>
      <c r="X86" s="526"/>
      <c r="Y86" s="526"/>
      <c r="Z86" s="526"/>
      <c r="AA86" s="526"/>
      <c r="AB86" s="526"/>
      <c r="AC86" s="423"/>
      <c r="AD86" s="423"/>
      <c r="AE86" s="423"/>
      <c r="AF86" s="423"/>
      <c r="AG86" s="423"/>
    </row>
    <row r="87" spans="1:33" x14ac:dyDescent="0.25">
      <c r="A87" s="49">
        <f>+'A) Base RI'!A89</f>
        <v>5533</v>
      </c>
      <c r="B87" s="484" t="str">
        <f>+'A) Base RI'!B89</f>
        <v>Poliez-Pittet</v>
      </c>
      <c r="C87" s="304">
        <f>+'D) Ecrêtage'!C87</f>
        <v>27190.167945205478</v>
      </c>
      <c r="D87" s="440">
        <v>12175</v>
      </c>
      <c r="E87" s="440">
        <f t="shared" si="12"/>
        <v>84475</v>
      </c>
      <c r="F87" s="518">
        <f t="shared" si="13"/>
        <v>3.1068215602874099</v>
      </c>
      <c r="G87" s="440">
        <v>96650</v>
      </c>
      <c r="H87" s="440">
        <v>23721</v>
      </c>
      <c r="I87" s="438">
        <v>66685</v>
      </c>
      <c r="J87" s="304">
        <f t="shared" si="14"/>
        <v>187056</v>
      </c>
      <c r="K87" s="284">
        <f t="shared" si="15"/>
        <v>217521.34356164382</v>
      </c>
      <c r="L87" s="10">
        <f t="shared" si="16"/>
        <v>0</v>
      </c>
      <c r="M87" s="301">
        <f t="shared" si="17"/>
        <v>0</v>
      </c>
      <c r="N87" s="10">
        <v>0</v>
      </c>
      <c r="O87" s="10">
        <f t="shared" si="18"/>
        <v>71413</v>
      </c>
      <c r="P87" s="442">
        <v>71413</v>
      </c>
      <c r="Q87" s="10">
        <f t="shared" si="19"/>
        <v>27190.167945205478</v>
      </c>
      <c r="R87" s="14">
        <f t="shared" si="20"/>
        <v>44222.832054794519</v>
      </c>
      <c r="S87" s="2">
        <f t="shared" si="21"/>
        <v>-33167.124041095885</v>
      </c>
      <c r="T87" s="130">
        <f t="shared" si="22"/>
        <v>-33167.124041095885</v>
      </c>
      <c r="U87" s="437">
        <f t="shared" si="23"/>
        <v>-1.2198204920225342</v>
      </c>
      <c r="V87" s="126"/>
      <c r="W87" s="526"/>
      <c r="X87" s="526"/>
      <c r="Y87" s="526"/>
      <c r="Z87" s="526"/>
      <c r="AA87" s="526"/>
      <c r="AB87" s="526"/>
      <c r="AC87" s="423"/>
      <c r="AD87" s="423"/>
      <c r="AE87" s="423"/>
      <c r="AF87" s="423"/>
      <c r="AG87" s="423"/>
    </row>
    <row r="88" spans="1:33" x14ac:dyDescent="0.25">
      <c r="A88" s="49">
        <f>+'A) Base RI'!A90</f>
        <v>5534</v>
      </c>
      <c r="B88" s="484" t="str">
        <f>+'A) Base RI'!B90</f>
        <v>Rueyres</v>
      </c>
      <c r="C88" s="304">
        <f>+'D) Ecrêtage'!C88</f>
        <v>9755.351210045661</v>
      </c>
      <c r="D88" s="440">
        <v>7804</v>
      </c>
      <c r="E88" s="440">
        <f t="shared" si="12"/>
        <v>33477</v>
      </c>
      <c r="F88" s="518">
        <f t="shared" si="13"/>
        <v>3.4316550249392104</v>
      </c>
      <c r="G88" s="440">
        <v>41281</v>
      </c>
      <c r="H88" s="440">
        <v>15166</v>
      </c>
      <c r="I88" s="438">
        <v>21317</v>
      </c>
      <c r="J88" s="304">
        <f t="shared" si="14"/>
        <v>77764</v>
      </c>
      <c r="K88" s="284">
        <f t="shared" si="15"/>
        <v>78042.809680365288</v>
      </c>
      <c r="L88" s="10">
        <f t="shared" si="16"/>
        <v>0</v>
      </c>
      <c r="M88" s="301">
        <f t="shared" si="17"/>
        <v>0</v>
      </c>
      <c r="N88" s="10">
        <v>0</v>
      </c>
      <c r="O88" s="10">
        <f t="shared" si="18"/>
        <v>12201</v>
      </c>
      <c r="P88" s="442">
        <v>12201</v>
      </c>
      <c r="Q88" s="10">
        <f t="shared" si="19"/>
        <v>9755.351210045661</v>
      </c>
      <c r="R88" s="14">
        <f t="shared" si="20"/>
        <v>2445.648789954339</v>
      </c>
      <c r="S88" s="2">
        <f t="shared" si="21"/>
        <v>-1834.2365924657543</v>
      </c>
      <c r="T88" s="130">
        <f t="shared" si="22"/>
        <v>-1834.2365924657543</v>
      </c>
      <c r="U88" s="437">
        <f t="shared" si="23"/>
        <v>-0.1880236347182388</v>
      </c>
      <c r="V88" s="126"/>
      <c r="W88" s="526"/>
      <c r="X88" s="526"/>
      <c r="Y88" s="526"/>
      <c r="Z88" s="526"/>
      <c r="AA88" s="526"/>
      <c r="AB88" s="526"/>
      <c r="AC88" s="423"/>
      <c r="AD88" s="423"/>
      <c r="AE88" s="423"/>
      <c r="AF88" s="423"/>
      <c r="AG88" s="423"/>
    </row>
    <row r="89" spans="1:33" x14ac:dyDescent="0.25">
      <c r="A89" s="49">
        <f>+'A) Base RI'!A91</f>
        <v>5535</v>
      </c>
      <c r="B89" s="484" t="str">
        <f>+'A) Base RI'!B91</f>
        <v>Saint-Barthélemy</v>
      </c>
      <c r="C89" s="304">
        <f>+'D) Ecrêtage'!C89</f>
        <v>22496.850133333337</v>
      </c>
      <c r="D89" s="440">
        <v>0</v>
      </c>
      <c r="E89" s="440">
        <f t="shared" si="12"/>
        <v>70383</v>
      </c>
      <c r="F89" s="518">
        <f t="shared" si="13"/>
        <v>3.1285713147777199</v>
      </c>
      <c r="G89" s="440">
        <v>70383</v>
      </c>
      <c r="H89" s="440">
        <v>22633</v>
      </c>
      <c r="I89" s="438">
        <v>63628</v>
      </c>
      <c r="J89" s="304">
        <f t="shared" si="14"/>
        <v>156644</v>
      </c>
      <c r="K89" s="284">
        <f t="shared" si="15"/>
        <v>179974.8010666667</v>
      </c>
      <c r="L89" s="10">
        <f t="shared" si="16"/>
        <v>0</v>
      </c>
      <c r="M89" s="301">
        <f t="shared" si="17"/>
        <v>0</v>
      </c>
      <c r="N89" s="10">
        <v>0</v>
      </c>
      <c r="O89" s="10">
        <f t="shared" si="18"/>
        <v>5915</v>
      </c>
      <c r="P89" s="442">
        <v>5915</v>
      </c>
      <c r="Q89" s="10">
        <f t="shared" si="19"/>
        <v>22496.850133333337</v>
      </c>
      <c r="R89" s="14">
        <f t="shared" si="20"/>
        <v>0</v>
      </c>
      <c r="S89" s="2">
        <f t="shared" si="21"/>
        <v>0</v>
      </c>
      <c r="T89" s="130">
        <f t="shared" si="22"/>
        <v>0</v>
      </c>
      <c r="U89" s="437">
        <f t="shared" si="23"/>
        <v>0</v>
      </c>
      <c r="V89" s="126"/>
      <c r="W89" s="526"/>
      <c r="X89" s="526"/>
      <c r="Y89" s="526"/>
      <c r="Z89" s="526"/>
      <c r="AA89" s="526"/>
      <c r="AB89" s="526"/>
      <c r="AC89" s="423"/>
      <c r="AD89" s="423"/>
      <c r="AE89" s="423"/>
      <c r="AF89" s="423"/>
      <c r="AG89" s="423"/>
    </row>
    <row r="90" spans="1:33" x14ac:dyDescent="0.25">
      <c r="A90" s="49">
        <f>+'A) Base RI'!A92</f>
        <v>5537</v>
      </c>
      <c r="B90" s="484" t="str">
        <f>+'A) Base RI'!B92</f>
        <v>Villars-le-Terroir</v>
      </c>
      <c r="C90" s="304">
        <f>+'D) Ecrêtage'!C90</f>
        <v>37963.269999999997</v>
      </c>
      <c r="D90" s="440">
        <v>107664</v>
      </c>
      <c r="E90" s="440">
        <f t="shared" si="12"/>
        <v>100487</v>
      </c>
      <c r="F90" s="518">
        <f t="shared" si="13"/>
        <v>2.6469532261051278</v>
      </c>
      <c r="G90" s="440">
        <v>208151</v>
      </c>
      <c r="H90" s="440">
        <v>52707</v>
      </c>
      <c r="I90" s="438">
        <v>98780</v>
      </c>
      <c r="J90" s="304">
        <f t="shared" si="14"/>
        <v>359638</v>
      </c>
      <c r="K90" s="284">
        <f t="shared" si="15"/>
        <v>303706.15999999997</v>
      </c>
      <c r="L90" s="10">
        <f t="shared" si="16"/>
        <v>55931.840000000026</v>
      </c>
      <c r="M90" s="301">
        <f t="shared" si="17"/>
        <v>-41948.880000000019</v>
      </c>
      <c r="N90" s="10">
        <v>0</v>
      </c>
      <c r="O90" s="10">
        <f t="shared" si="18"/>
        <v>9974</v>
      </c>
      <c r="P90" s="442">
        <v>9974</v>
      </c>
      <c r="Q90" s="10">
        <f t="shared" si="19"/>
        <v>37963.269999999997</v>
      </c>
      <c r="R90" s="14">
        <f t="shared" si="20"/>
        <v>0</v>
      </c>
      <c r="S90" s="2">
        <f t="shared" si="21"/>
        <v>0</v>
      </c>
      <c r="T90" s="130">
        <f t="shared" si="22"/>
        <v>-41948.880000000019</v>
      </c>
      <c r="U90" s="437">
        <f t="shared" si="23"/>
        <v>-1.1049859508941149</v>
      </c>
      <c r="V90" s="126"/>
      <c r="W90" s="526"/>
      <c r="X90" s="526"/>
      <c r="Y90" s="526"/>
      <c r="Z90" s="526"/>
      <c r="AA90" s="526"/>
      <c r="AB90" s="526"/>
      <c r="AC90" s="423"/>
      <c r="AD90" s="423"/>
      <c r="AE90" s="423"/>
      <c r="AF90" s="423"/>
      <c r="AG90" s="423"/>
    </row>
    <row r="91" spans="1:33" x14ac:dyDescent="0.25">
      <c r="A91" s="49">
        <f>+'A) Base RI'!A93</f>
        <v>5539</v>
      </c>
      <c r="B91" s="484" t="str">
        <f>+'A) Base RI'!B93</f>
        <v>Vuarrens</v>
      </c>
      <c r="C91" s="304">
        <f>+'D) Ecrêtage'!C91</f>
        <v>35961.61534013605</v>
      </c>
      <c r="D91" s="440">
        <v>60256</v>
      </c>
      <c r="E91" s="440">
        <f t="shared" si="12"/>
        <v>81494</v>
      </c>
      <c r="F91" s="518">
        <f t="shared" si="13"/>
        <v>2.2661384709558958</v>
      </c>
      <c r="G91" s="440">
        <v>141750</v>
      </c>
      <c r="H91" s="440">
        <v>45269</v>
      </c>
      <c r="I91" s="438">
        <v>84784</v>
      </c>
      <c r="J91" s="304">
        <f t="shared" si="14"/>
        <v>271803</v>
      </c>
      <c r="K91" s="284">
        <f t="shared" si="15"/>
        <v>287692.9227210884</v>
      </c>
      <c r="L91" s="10">
        <f t="shared" si="16"/>
        <v>0</v>
      </c>
      <c r="M91" s="301">
        <f t="shared" si="17"/>
        <v>0</v>
      </c>
      <c r="N91" s="10">
        <v>0</v>
      </c>
      <c r="O91" s="10">
        <f t="shared" si="18"/>
        <v>84633</v>
      </c>
      <c r="P91" s="442">
        <v>84633</v>
      </c>
      <c r="Q91" s="10">
        <f t="shared" si="19"/>
        <v>35961.61534013605</v>
      </c>
      <c r="R91" s="14">
        <f t="shared" si="20"/>
        <v>48671.38465986395</v>
      </c>
      <c r="S91" s="2">
        <f t="shared" si="21"/>
        <v>-36503.538494897963</v>
      </c>
      <c r="T91" s="130">
        <f t="shared" si="22"/>
        <v>-36503.538494897963</v>
      </c>
      <c r="U91" s="437">
        <f t="shared" si="23"/>
        <v>-1.0150694886655185</v>
      </c>
      <c r="V91" s="126"/>
      <c r="W91" s="526"/>
      <c r="X91" s="526"/>
      <c r="Y91" s="526"/>
      <c r="Z91" s="526"/>
      <c r="AA91" s="526"/>
      <c r="AB91" s="526"/>
      <c r="AC91" s="423"/>
      <c r="AD91" s="423"/>
      <c r="AE91" s="423"/>
      <c r="AF91" s="423"/>
      <c r="AG91" s="423"/>
    </row>
    <row r="92" spans="1:33" x14ac:dyDescent="0.25">
      <c r="A92" s="49">
        <f>+'A) Base RI'!A94</f>
        <v>5540</v>
      </c>
      <c r="B92" s="484" t="str">
        <f>+'A) Base RI'!B94</f>
        <v>Montilliez</v>
      </c>
      <c r="C92" s="304">
        <f>+'D) Ecrêtage'!C92</f>
        <v>66256.548551724132</v>
      </c>
      <c r="D92" s="440">
        <v>126545</v>
      </c>
      <c r="E92" s="440">
        <f t="shared" si="12"/>
        <v>443555</v>
      </c>
      <c r="F92" s="518">
        <f t="shared" si="13"/>
        <v>6.6945080855476853</v>
      </c>
      <c r="G92" s="440">
        <v>570100</v>
      </c>
      <c r="H92" s="440">
        <v>130123</v>
      </c>
      <c r="I92" s="438">
        <v>146320</v>
      </c>
      <c r="J92" s="304">
        <f t="shared" si="14"/>
        <v>846543</v>
      </c>
      <c r="K92" s="284">
        <f t="shared" si="15"/>
        <v>530052.38841379306</v>
      </c>
      <c r="L92" s="10">
        <f t="shared" si="16"/>
        <v>316490.61158620694</v>
      </c>
      <c r="M92" s="301">
        <f t="shared" si="17"/>
        <v>-237367.95868965521</v>
      </c>
      <c r="N92" s="10">
        <v>0</v>
      </c>
      <c r="O92" s="10">
        <f t="shared" si="18"/>
        <v>88050</v>
      </c>
      <c r="P92" s="442">
        <v>88050</v>
      </c>
      <c r="Q92" s="10">
        <f t="shared" si="19"/>
        <v>66256.548551724132</v>
      </c>
      <c r="R92" s="14">
        <f t="shared" si="20"/>
        <v>21793.451448275868</v>
      </c>
      <c r="S92" s="2">
        <f t="shared" si="21"/>
        <v>-16345.088586206901</v>
      </c>
      <c r="T92" s="130">
        <f t="shared" si="22"/>
        <v>-253713.0472758621</v>
      </c>
      <c r="U92" s="437">
        <f t="shared" si="23"/>
        <v>-3.8292523957506983</v>
      </c>
      <c r="V92" s="126"/>
      <c r="W92" s="526"/>
      <c r="X92" s="526"/>
      <c r="Y92" s="526"/>
      <c r="Z92" s="526"/>
      <c r="AA92" s="526"/>
      <c r="AB92" s="526"/>
      <c r="AC92" s="423"/>
      <c r="AD92" s="423"/>
      <c r="AE92" s="423"/>
      <c r="AF92" s="423"/>
      <c r="AG92" s="423"/>
    </row>
    <row r="93" spans="1:33" x14ac:dyDescent="0.25">
      <c r="A93" s="49">
        <f>+'A) Base RI'!A95</f>
        <v>5541</v>
      </c>
      <c r="B93" s="484" t="str">
        <f>+'A) Base RI'!B95</f>
        <v>Goumoëns</v>
      </c>
      <c r="C93" s="304">
        <f>+'D) Ecrêtage'!C93</f>
        <v>36998.611258278142</v>
      </c>
      <c r="D93" s="440">
        <v>43349</v>
      </c>
      <c r="E93" s="440">
        <f t="shared" si="12"/>
        <v>143119</v>
      </c>
      <c r="F93" s="518">
        <f t="shared" si="13"/>
        <v>3.8682262693840506</v>
      </c>
      <c r="G93" s="440">
        <v>186468</v>
      </c>
      <c r="H93" s="440">
        <v>32620</v>
      </c>
      <c r="I93" s="438">
        <v>91701</v>
      </c>
      <c r="J93" s="304">
        <f t="shared" si="14"/>
        <v>310789</v>
      </c>
      <c r="K93" s="284">
        <f t="shared" si="15"/>
        <v>295988.89006622514</v>
      </c>
      <c r="L93" s="10">
        <f t="shared" si="16"/>
        <v>14800.10993377486</v>
      </c>
      <c r="M93" s="301">
        <f t="shared" si="17"/>
        <v>-11100.082450331145</v>
      </c>
      <c r="N93" s="10">
        <v>0</v>
      </c>
      <c r="O93" s="10">
        <f t="shared" si="18"/>
        <v>40602</v>
      </c>
      <c r="P93" s="442">
        <v>40602</v>
      </c>
      <c r="Q93" s="10">
        <f t="shared" si="19"/>
        <v>36998.611258278142</v>
      </c>
      <c r="R93" s="14">
        <f t="shared" si="20"/>
        <v>3603.3887417218575</v>
      </c>
      <c r="S93" s="2">
        <f t="shared" si="21"/>
        <v>-2702.5415562913931</v>
      </c>
      <c r="T93" s="130">
        <f t="shared" si="22"/>
        <v>-13802.624006622538</v>
      </c>
      <c r="U93" s="437">
        <f t="shared" si="23"/>
        <v>-0.3730578942617559</v>
      </c>
      <c r="V93" s="126"/>
      <c r="W93" s="526"/>
      <c r="X93" s="526"/>
      <c r="Y93" s="526"/>
      <c r="Z93" s="526"/>
      <c r="AA93" s="526"/>
      <c r="AB93" s="526"/>
      <c r="AC93" s="423"/>
      <c r="AD93" s="423"/>
      <c r="AE93" s="423"/>
      <c r="AF93" s="423"/>
      <c r="AG93" s="423"/>
    </row>
    <row r="94" spans="1:33" x14ac:dyDescent="0.25">
      <c r="A94" s="49">
        <f>+'A) Base RI'!A96</f>
        <v>5551</v>
      </c>
      <c r="B94" s="484" t="str">
        <f>+'A) Base RI'!B96</f>
        <v>Bonvillars</v>
      </c>
      <c r="C94" s="304">
        <f>+'D) Ecrêtage'!C94</f>
        <v>19156.634727272725</v>
      </c>
      <c r="D94" s="440">
        <v>74672</v>
      </c>
      <c r="E94" s="440">
        <f t="shared" si="12"/>
        <v>58689</v>
      </c>
      <c r="F94" s="518">
        <f t="shared" si="13"/>
        <v>3.0636383078519649</v>
      </c>
      <c r="G94" s="440">
        <v>133361</v>
      </c>
      <c r="H94" s="440">
        <v>32672</v>
      </c>
      <c r="I94" s="438">
        <v>58000</v>
      </c>
      <c r="J94" s="304">
        <f t="shared" si="14"/>
        <v>224033</v>
      </c>
      <c r="K94" s="284">
        <f t="shared" si="15"/>
        <v>153253.0778181818</v>
      </c>
      <c r="L94" s="10">
        <f t="shared" si="16"/>
        <v>70779.922181818198</v>
      </c>
      <c r="M94" s="301">
        <f t="shared" si="17"/>
        <v>-53084.941636363648</v>
      </c>
      <c r="N94" s="10">
        <v>0</v>
      </c>
      <c r="O94" s="10">
        <f t="shared" si="18"/>
        <v>22184</v>
      </c>
      <c r="P94" s="442">
        <v>22184</v>
      </c>
      <c r="Q94" s="10">
        <f t="shared" si="19"/>
        <v>19156.634727272725</v>
      </c>
      <c r="R94" s="14">
        <f t="shared" si="20"/>
        <v>3027.3652727272747</v>
      </c>
      <c r="S94" s="2">
        <f t="shared" si="21"/>
        <v>-2270.523954545456</v>
      </c>
      <c r="T94" s="130">
        <f t="shared" si="22"/>
        <v>-55355.465590909102</v>
      </c>
      <c r="U94" s="437">
        <f t="shared" si="23"/>
        <v>-2.8896236932524055</v>
      </c>
      <c r="V94" s="126"/>
      <c r="W94" s="526"/>
      <c r="X94" s="526"/>
      <c r="Y94" s="526"/>
      <c r="Z94" s="526"/>
      <c r="AA94" s="526"/>
      <c r="AB94" s="526"/>
      <c r="AC94" s="423"/>
      <c r="AD94" s="423"/>
      <c r="AE94" s="423"/>
      <c r="AF94" s="423"/>
      <c r="AG94" s="423"/>
    </row>
    <row r="95" spans="1:33" x14ac:dyDescent="0.25">
      <c r="A95" s="49">
        <f>+'A) Base RI'!A97</f>
        <v>5552</v>
      </c>
      <c r="B95" s="484" t="str">
        <f>+'A) Base RI'!B97</f>
        <v>Bullet</v>
      </c>
      <c r="C95" s="304">
        <f>+'D) Ecrêtage'!C95</f>
        <v>17556.417482517485</v>
      </c>
      <c r="D95" s="440">
        <v>0</v>
      </c>
      <c r="E95" s="440">
        <f t="shared" si="12"/>
        <v>258455</v>
      </c>
      <c r="F95" s="518">
        <f t="shared" si="13"/>
        <v>14.721397475160696</v>
      </c>
      <c r="G95" s="440">
        <v>258455</v>
      </c>
      <c r="H95" s="440">
        <v>43806</v>
      </c>
      <c r="I95" s="438">
        <v>50093</v>
      </c>
      <c r="J95" s="304">
        <f t="shared" si="14"/>
        <v>352354</v>
      </c>
      <c r="K95" s="284">
        <f t="shared" si="15"/>
        <v>140451.33986013988</v>
      </c>
      <c r="L95" s="10">
        <f t="shared" si="16"/>
        <v>211902.66013986012</v>
      </c>
      <c r="M95" s="301">
        <f t="shared" si="17"/>
        <v>-158926.99510489509</v>
      </c>
      <c r="N95" s="10">
        <v>0</v>
      </c>
      <c r="O95" s="10">
        <f t="shared" si="18"/>
        <v>51675</v>
      </c>
      <c r="P95" s="442">
        <v>51675</v>
      </c>
      <c r="Q95" s="10">
        <f t="shared" si="19"/>
        <v>17556.417482517485</v>
      </c>
      <c r="R95" s="14">
        <f t="shared" si="20"/>
        <v>34118.582517482515</v>
      </c>
      <c r="S95" s="2">
        <f t="shared" si="21"/>
        <v>-25588.936888111886</v>
      </c>
      <c r="T95" s="130">
        <f t="shared" si="22"/>
        <v>-184515.93199300696</v>
      </c>
      <c r="U95" s="437">
        <f t="shared" si="23"/>
        <v>-10.509885184534156</v>
      </c>
      <c r="V95" s="126"/>
      <c r="W95" s="526"/>
      <c r="X95" s="526"/>
      <c r="Y95" s="526"/>
      <c r="Z95" s="526"/>
      <c r="AA95" s="526"/>
      <c r="AB95" s="526"/>
      <c r="AC95" s="423"/>
      <c r="AD95" s="423"/>
      <c r="AE95" s="423"/>
      <c r="AF95" s="423"/>
      <c r="AG95" s="423"/>
    </row>
    <row r="96" spans="1:33" x14ac:dyDescent="0.25">
      <c r="A96" s="49">
        <f>+'A) Base RI'!A98</f>
        <v>5553</v>
      </c>
      <c r="B96" s="484" t="str">
        <f>+'A) Base RI'!B98</f>
        <v>Champagne</v>
      </c>
      <c r="C96" s="304">
        <f>+'D) Ecrêtage'!C96</f>
        <v>38681.377846153839</v>
      </c>
      <c r="D96" s="440">
        <v>101383</v>
      </c>
      <c r="E96" s="440">
        <f t="shared" si="12"/>
        <v>201151</v>
      </c>
      <c r="F96" s="518">
        <f t="shared" si="13"/>
        <v>5.2002025574174526</v>
      </c>
      <c r="G96" s="440">
        <v>302534</v>
      </c>
      <c r="H96" s="440">
        <v>70610</v>
      </c>
      <c r="I96" s="438">
        <v>129442</v>
      </c>
      <c r="J96" s="304">
        <f t="shared" si="14"/>
        <v>502586</v>
      </c>
      <c r="K96" s="284">
        <f t="shared" si="15"/>
        <v>309451.02276923071</v>
      </c>
      <c r="L96" s="10">
        <f t="shared" si="16"/>
        <v>193134.97723076929</v>
      </c>
      <c r="M96" s="301">
        <f t="shared" si="17"/>
        <v>-144851.23292307695</v>
      </c>
      <c r="N96" s="10">
        <v>0</v>
      </c>
      <c r="O96" s="10">
        <f t="shared" si="18"/>
        <v>35731</v>
      </c>
      <c r="P96" s="442">
        <v>35731</v>
      </c>
      <c r="Q96" s="10">
        <f t="shared" si="19"/>
        <v>38681.377846153839</v>
      </c>
      <c r="R96" s="14">
        <f t="shared" si="20"/>
        <v>0</v>
      </c>
      <c r="S96" s="2">
        <f t="shared" si="21"/>
        <v>0</v>
      </c>
      <c r="T96" s="130">
        <f t="shared" si="22"/>
        <v>-144851.23292307695</v>
      </c>
      <c r="U96" s="437">
        <f t="shared" si="23"/>
        <v>-3.7447278506776298</v>
      </c>
      <c r="V96" s="126"/>
      <c r="W96" s="526"/>
      <c r="X96" s="526"/>
      <c r="Y96" s="526"/>
      <c r="Z96" s="526"/>
      <c r="AA96" s="526"/>
      <c r="AB96" s="526"/>
      <c r="AC96" s="423"/>
      <c r="AD96" s="423"/>
      <c r="AE96" s="423"/>
      <c r="AF96" s="423"/>
      <c r="AG96" s="423"/>
    </row>
    <row r="97" spans="1:33" x14ac:dyDescent="0.25">
      <c r="A97" s="49">
        <f>+'A) Base RI'!A99</f>
        <v>5554</v>
      </c>
      <c r="B97" s="484" t="str">
        <f>+'A) Base RI'!B99</f>
        <v>Concise</v>
      </c>
      <c r="C97" s="304">
        <f>+'D) Ecrêtage'!C97</f>
        <v>32327.871066666674</v>
      </c>
      <c r="D97" s="440">
        <v>109697</v>
      </c>
      <c r="E97" s="440">
        <f t="shared" si="12"/>
        <v>180063</v>
      </c>
      <c r="F97" s="518">
        <f t="shared" si="13"/>
        <v>5.5698997199250551</v>
      </c>
      <c r="G97" s="440">
        <v>289760</v>
      </c>
      <c r="H97" s="440">
        <v>91125</v>
      </c>
      <c r="I97" s="438">
        <v>122366</v>
      </c>
      <c r="J97" s="304">
        <f t="shared" si="14"/>
        <v>503251</v>
      </c>
      <c r="K97" s="284">
        <f t="shared" si="15"/>
        <v>258622.96853333339</v>
      </c>
      <c r="L97" s="10">
        <f t="shared" si="16"/>
        <v>244628.03146666661</v>
      </c>
      <c r="M97" s="301">
        <f t="shared" si="17"/>
        <v>-183471.02359999996</v>
      </c>
      <c r="N97" s="10">
        <v>0</v>
      </c>
      <c r="O97" s="10">
        <f t="shared" si="18"/>
        <v>50185</v>
      </c>
      <c r="P97" s="442">
        <v>50185</v>
      </c>
      <c r="Q97" s="10">
        <f t="shared" si="19"/>
        <v>32327.871066666674</v>
      </c>
      <c r="R97" s="14">
        <f t="shared" si="20"/>
        <v>17857.128933333326</v>
      </c>
      <c r="S97" s="2">
        <f t="shared" si="21"/>
        <v>-13392.846699999995</v>
      </c>
      <c r="T97" s="130">
        <f t="shared" si="22"/>
        <v>-196863.87029999995</v>
      </c>
      <c r="U97" s="437">
        <f t="shared" si="23"/>
        <v>-6.0896020617635616</v>
      </c>
      <c r="V97" s="126"/>
      <c r="W97" s="526"/>
      <c r="X97" s="526"/>
      <c r="Y97" s="526"/>
      <c r="Z97" s="526"/>
      <c r="AA97" s="526"/>
      <c r="AB97" s="526"/>
      <c r="AC97" s="423"/>
      <c r="AD97" s="423"/>
      <c r="AE97" s="423"/>
      <c r="AF97" s="423"/>
      <c r="AG97" s="423"/>
    </row>
    <row r="98" spans="1:33" x14ac:dyDescent="0.25">
      <c r="A98" s="49">
        <f>+'A) Base RI'!A100</f>
        <v>5555</v>
      </c>
      <c r="B98" s="484" t="str">
        <f>+'A) Base RI'!B100</f>
        <v>Corcelles-près-Concise</v>
      </c>
      <c r="C98" s="304">
        <f>+'D) Ecrêtage'!C98</f>
        <v>13599.529565217395</v>
      </c>
      <c r="D98" s="440">
        <v>112807</v>
      </c>
      <c r="E98" s="440">
        <f t="shared" si="12"/>
        <v>136264</v>
      </c>
      <c r="F98" s="518">
        <f t="shared" si="13"/>
        <v>10.01975835609147</v>
      </c>
      <c r="G98" s="440">
        <v>249071</v>
      </c>
      <c r="H98" s="440">
        <v>26737</v>
      </c>
      <c r="I98" s="438">
        <v>50553</v>
      </c>
      <c r="J98" s="304">
        <f t="shared" si="14"/>
        <v>326361</v>
      </c>
      <c r="K98" s="284">
        <f t="shared" si="15"/>
        <v>108796.23652173916</v>
      </c>
      <c r="L98" s="10">
        <f t="shared" si="16"/>
        <v>217564.76347826084</v>
      </c>
      <c r="M98" s="301">
        <f t="shared" si="17"/>
        <v>-163173.57260869563</v>
      </c>
      <c r="N98" s="10">
        <v>0</v>
      </c>
      <c r="O98" s="10">
        <f t="shared" si="18"/>
        <v>21080</v>
      </c>
      <c r="P98" s="442">
        <v>21080</v>
      </c>
      <c r="Q98" s="10">
        <f t="shared" si="19"/>
        <v>13599.529565217395</v>
      </c>
      <c r="R98" s="14">
        <f t="shared" si="20"/>
        <v>7480.4704347826046</v>
      </c>
      <c r="S98" s="2">
        <f t="shared" si="21"/>
        <v>-5610.3528260869534</v>
      </c>
      <c r="T98" s="130">
        <f t="shared" si="22"/>
        <v>-168783.92543478258</v>
      </c>
      <c r="U98" s="437">
        <f t="shared" si="23"/>
        <v>-12.411012059304603</v>
      </c>
      <c r="V98" s="126"/>
      <c r="W98" s="526"/>
      <c r="X98" s="526"/>
      <c r="Y98" s="526"/>
      <c r="Z98" s="526"/>
      <c r="AA98" s="526"/>
      <c r="AB98" s="526"/>
      <c r="AC98" s="423"/>
      <c r="AD98" s="423"/>
      <c r="AE98" s="423"/>
      <c r="AF98" s="423"/>
      <c r="AG98" s="423"/>
    </row>
    <row r="99" spans="1:33" x14ac:dyDescent="0.25">
      <c r="A99" s="49">
        <f>+'A) Base RI'!A101</f>
        <v>5556</v>
      </c>
      <c r="B99" s="484" t="str">
        <f>+'A) Base RI'!B101</f>
        <v>Fiez</v>
      </c>
      <c r="C99" s="304">
        <f>+'D) Ecrêtage'!C99</f>
        <v>13816.427753623188</v>
      </c>
      <c r="D99" s="440">
        <v>0</v>
      </c>
      <c r="E99" s="440">
        <f t="shared" si="12"/>
        <v>32415</v>
      </c>
      <c r="F99" s="518">
        <f t="shared" si="13"/>
        <v>2.3461201822952802</v>
      </c>
      <c r="G99" s="440">
        <v>32415</v>
      </c>
      <c r="H99" s="440">
        <v>19780</v>
      </c>
      <c r="I99" s="438">
        <v>62374</v>
      </c>
      <c r="J99" s="304">
        <f t="shared" si="14"/>
        <v>114569</v>
      </c>
      <c r="K99" s="284">
        <f t="shared" si="15"/>
        <v>110531.4220289855</v>
      </c>
      <c r="L99" s="10">
        <f t="shared" si="16"/>
        <v>4037.5779710144998</v>
      </c>
      <c r="M99" s="301">
        <f t="shared" si="17"/>
        <v>-3028.1834782608748</v>
      </c>
      <c r="N99" s="10">
        <v>0</v>
      </c>
      <c r="O99" s="10">
        <f t="shared" si="18"/>
        <v>34820</v>
      </c>
      <c r="P99" s="442">
        <v>34820</v>
      </c>
      <c r="Q99" s="10">
        <f t="shared" si="19"/>
        <v>13816.427753623188</v>
      </c>
      <c r="R99" s="14">
        <f t="shared" si="20"/>
        <v>21003.572246376811</v>
      </c>
      <c r="S99" s="2">
        <f t="shared" si="21"/>
        <v>-15752.679184782608</v>
      </c>
      <c r="T99" s="130">
        <f t="shared" si="22"/>
        <v>-18780.862663043481</v>
      </c>
      <c r="U99" s="437">
        <f t="shared" si="23"/>
        <v>-1.3593139267216472</v>
      </c>
      <c r="V99" s="126"/>
      <c r="W99" s="526"/>
      <c r="X99" s="526"/>
      <c r="Y99" s="526"/>
      <c r="Z99" s="526"/>
      <c r="AA99" s="526"/>
      <c r="AB99" s="526"/>
      <c r="AC99" s="423"/>
      <c r="AD99" s="423"/>
      <c r="AE99" s="423"/>
      <c r="AF99" s="423"/>
      <c r="AG99" s="423"/>
    </row>
    <row r="100" spans="1:33" x14ac:dyDescent="0.25">
      <c r="A100" s="49">
        <f>+'A) Base RI'!A102</f>
        <v>5557</v>
      </c>
      <c r="B100" s="484" t="str">
        <f>+'A) Base RI'!B102</f>
        <v>Fontaines-sur-Grandson</v>
      </c>
      <c r="C100" s="304">
        <f>+'D) Ecrêtage'!C100</f>
        <v>5880.3275362318818</v>
      </c>
      <c r="D100" s="440">
        <v>1867</v>
      </c>
      <c r="E100" s="440">
        <f t="shared" si="12"/>
        <v>11876</v>
      </c>
      <c r="F100" s="518">
        <f t="shared" si="13"/>
        <v>2.0196153916300639</v>
      </c>
      <c r="G100" s="440">
        <v>13743</v>
      </c>
      <c r="H100" s="440">
        <v>9556</v>
      </c>
      <c r="I100" s="438">
        <v>30000</v>
      </c>
      <c r="J100" s="304">
        <f t="shared" si="14"/>
        <v>53299</v>
      </c>
      <c r="K100" s="284">
        <f t="shared" si="15"/>
        <v>47042.620289855055</v>
      </c>
      <c r="L100" s="10">
        <f t="shared" si="16"/>
        <v>6256.3797101449454</v>
      </c>
      <c r="M100" s="301">
        <f t="shared" si="17"/>
        <v>-4692.2847826087091</v>
      </c>
      <c r="N100" s="10">
        <v>0</v>
      </c>
      <c r="O100" s="10">
        <f t="shared" si="18"/>
        <v>8704</v>
      </c>
      <c r="P100" s="442">
        <v>8704</v>
      </c>
      <c r="Q100" s="10">
        <f t="shared" si="19"/>
        <v>5880.3275362318818</v>
      </c>
      <c r="R100" s="14">
        <f t="shared" si="20"/>
        <v>2823.6724637681182</v>
      </c>
      <c r="S100" s="2">
        <f t="shared" si="21"/>
        <v>-2117.7543478260886</v>
      </c>
      <c r="T100" s="130">
        <f t="shared" si="22"/>
        <v>-6810.0391304347977</v>
      </c>
      <c r="U100" s="437">
        <f t="shared" si="23"/>
        <v>-1.1581054096858481</v>
      </c>
      <c r="V100" s="126"/>
      <c r="W100" s="526"/>
      <c r="X100" s="526"/>
      <c r="Y100" s="526"/>
      <c r="Z100" s="526"/>
      <c r="AA100" s="526"/>
      <c r="AB100" s="526"/>
      <c r="AC100" s="423"/>
      <c r="AD100" s="423"/>
      <c r="AE100" s="423"/>
      <c r="AF100" s="423"/>
      <c r="AG100" s="423"/>
    </row>
    <row r="101" spans="1:33" x14ac:dyDescent="0.25">
      <c r="A101" s="49">
        <f>+'A) Base RI'!A103</f>
        <v>5559</v>
      </c>
      <c r="B101" s="484" t="str">
        <f>+'A) Base RI'!B103</f>
        <v>Giez</v>
      </c>
      <c r="C101" s="304">
        <f>+'D) Ecrêtage'!C101</f>
        <v>16897.618636363641</v>
      </c>
      <c r="D101" s="440">
        <v>20481</v>
      </c>
      <c r="E101" s="440">
        <f t="shared" si="12"/>
        <v>70098</v>
      </c>
      <c r="F101" s="518">
        <f t="shared" si="13"/>
        <v>4.1483951974835822</v>
      </c>
      <c r="G101" s="440">
        <v>90579</v>
      </c>
      <c r="H101" s="440">
        <v>18402</v>
      </c>
      <c r="I101" s="438">
        <v>42966</v>
      </c>
      <c r="J101" s="304">
        <f t="shared" si="14"/>
        <v>151947</v>
      </c>
      <c r="K101" s="284">
        <f t="shared" si="15"/>
        <v>135180.94909090913</v>
      </c>
      <c r="L101" s="10">
        <f t="shared" si="16"/>
        <v>16766.050909090874</v>
      </c>
      <c r="M101" s="301">
        <f t="shared" si="17"/>
        <v>-12574.538181818156</v>
      </c>
      <c r="N101" s="10">
        <v>0</v>
      </c>
      <c r="O101" s="10">
        <f t="shared" si="18"/>
        <v>10641</v>
      </c>
      <c r="P101" s="442">
        <v>10641</v>
      </c>
      <c r="Q101" s="10">
        <f t="shared" si="19"/>
        <v>16897.618636363641</v>
      </c>
      <c r="R101" s="14">
        <f t="shared" si="20"/>
        <v>0</v>
      </c>
      <c r="S101" s="2">
        <f t="shared" si="21"/>
        <v>0</v>
      </c>
      <c r="T101" s="130">
        <f t="shared" si="22"/>
        <v>-12574.538181818156</v>
      </c>
      <c r="U101" s="437">
        <f t="shared" si="23"/>
        <v>-0.7441603726786552</v>
      </c>
      <c r="V101" s="126"/>
      <c r="W101" s="526"/>
      <c r="X101" s="526"/>
      <c r="Y101" s="526"/>
      <c r="Z101" s="526"/>
      <c r="AA101" s="526"/>
      <c r="AB101" s="526"/>
      <c r="AC101" s="423"/>
      <c r="AD101" s="423"/>
      <c r="AE101" s="423"/>
      <c r="AF101" s="423"/>
      <c r="AG101" s="423"/>
    </row>
    <row r="102" spans="1:33" x14ac:dyDescent="0.25">
      <c r="A102" s="49">
        <f>+'A) Base RI'!A104</f>
        <v>5560</v>
      </c>
      <c r="B102" s="484" t="str">
        <f>+'A) Base RI'!B104</f>
        <v>Grandevent</v>
      </c>
      <c r="C102" s="304">
        <f>+'D) Ecrêtage'!C102</f>
        <v>6167.8957352941179</v>
      </c>
      <c r="D102" s="440">
        <v>0</v>
      </c>
      <c r="E102" s="440">
        <f t="shared" si="12"/>
        <v>20683</v>
      </c>
      <c r="F102" s="518">
        <f t="shared" si="13"/>
        <v>3.3533316527461898</v>
      </c>
      <c r="G102" s="440">
        <v>20683</v>
      </c>
      <c r="H102" s="440">
        <v>9868</v>
      </c>
      <c r="I102" s="438">
        <v>25823</v>
      </c>
      <c r="J102" s="304">
        <f t="shared" si="14"/>
        <v>56374</v>
      </c>
      <c r="K102" s="284">
        <f t="shared" si="15"/>
        <v>49343.165882352943</v>
      </c>
      <c r="L102" s="10">
        <f t="shared" si="16"/>
        <v>7030.8341176470567</v>
      </c>
      <c r="M102" s="301">
        <f t="shared" si="17"/>
        <v>-5273.1255882352925</v>
      </c>
      <c r="N102" s="10">
        <v>0</v>
      </c>
      <c r="O102" s="10">
        <f t="shared" si="18"/>
        <v>11648</v>
      </c>
      <c r="P102" s="442">
        <v>11648</v>
      </c>
      <c r="Q102" s="10">
        <f t="shared" si="19"/>
        <v>6167.8957352941179</v>
      </c>
      <c r="R102" s="14">
        <f t="shared" si="20"/>
        <v>5480.1042647058821</v>
      </c>
      <c r="S102" s="2">
        <f t="shared" si="21"/>
        <v>-4110.0781985294116</v>
      </c>
      <c r="T102" s="130">
        <f t="shared" si="22"/>
        <v>-9383.203786764705</v>
      </c>
      <c r="U102" s="437">
        <f t="shared" si="23"/>
        <v>-1.5212974066782379</v>
      </c>
      <c r="V102" s="126"/>
      <c r="W102" s="526"/>
      <c r="X102" s="526"/>
      <c r="Y102" s="526"/>
      <c r="Z102" s="526"/>
      <c r="AA102" s="526"/>
      <c r="AB102" s="526"/>
      <c r="AC102" s="423"/>
      <c r="AD102" s="423"/>
      <c r="AE102" s="423"/>
      <c r="AF102" s="423"/>
      <c r="AG102" s="423"/>
    </row>
    <row r="103" spans="1:33" x14ac:dyDescent="0.25">
      <c r="A103" s="49">
        <f>+'A) Base RI'!A105</f>
        <v>5561</v>
      </c>
      <c r="B103" s="484" t="str">
        <f>+'A) Base RI'!B105</f>
        <v>Grandson</v>
      </c>
      <c r="C103" s="304">
        <f>+'D) Ecrêtage'!C103</f>
        <v>114753.11985507245</v>
      </c>
      <c r="D103" s="440">
        <v>483024</v>
      </c>
      <c r="E103" s="440">
        <f t="shared" si="12"/>
        <v>1053863</v>
      </c>
      <c r="F103" s="518">
        <f t="shared" si="13"/>
        <v>9.1837415952697157</v>
      </c>
      <c r="G103" s="440">
        <v>1536887</v>
      </c>
      <c r="H103" s="440">
        <v>371166</v>
      </c>
      <c r="I103" s="438">
        <v>365698</v>
      </c>
      <c r="J103" s="304">
        <f t="shared" si="14"/>
        <v>2273751</v>
      </c>
      <c r="K103" s="284">
        <f t="shared" si="15"/>
        <v>918024.95884057961</v>
      </c>
      <c r="L103" s="10">
        <f t="shared" si="16"/>
        <v>1355726.0411594203</v>
      </c>
      <c r="M103" s="301">
        <f t="shared" si="17"/>
        <v>-1016794.5308695652</v>
      </c>
      <c r="N103" s="10">
        <v>0</v>
      </c>
      <c r="O103" s="10">
        <f t="shared" si="18"/>
        <v>62863</v>
      </c>
      <c r="P103" s="442">
        <v>62863</v>
      </c>
      <c r="Q103" s="10">
        <f t="shared" si="19"/>
        <v>114753.11985507245</v>
      </c>
      <c r="R103" s="14">
        <f t="shared" si="20"/>
        <v>0</v>
      </c>
      <c r="S103" s="2">
        <f t="shared" si="21"/>
        <v>0</v>
      </c>
      <c r="T103" s="130">
        <f t="shared" si="22"/>
        <v>-1016794.5308695652</v>
      </c>
      <c r="U103" s="437">
        <f t="shared" si="23"/>
        <v>-8.8607136098236516</v>
      </c>
      <c r="V103" s="126"/>
      <c r="W103" s="526"/>
      <c r="X103" s="526"/>
      <c r="Y103" s="526"/>
      <c r="Z103" s="526"/>
      <c r="AA103" s="526"/>
      <c r="AB103" s="526"/>
      <c r="AC103" s="423"/>
      <c r="AD103" s="423"/>
      <c r="AE103" s="423"/>
      <c r="AF103" s="423"/>
      <c r="AG103" s="423"/>
    </row>
    <row r="104" spans="1:33" x14ac:dyDescent="0.25">
      <c r="A104" s="49">
        <f>+'A) Base RI'!A106</f>
        <v>5562</v>
      </c>
      <c r="B104" s="484" t="str">
        <f>+'A) Base RI'!B106</f>
        <v>Mauborget</v>
      </c>
      <c r="C104" s="304">
        <f>+'D) Ecrêtage'!C104</f>
        <v>6037.1574285714287</v>
      </c>
      <c r="D104" s="440">
        <v>2000</v>
      </c>
      <c r="E104" s="440">
        <f t="shared" si="12"/>
        <v>38058</v>
      </c>
      <c r="F104" s="518">
        <f t="shared" si="13"/>
        <v>6.3039601750133016</v>
      </c>
      <c r="G104" s="440">
        <v>40058</v>
      </c>
      <c r="H104" s="440">
        <v>5334</v>
      </c>
      <c r="I104" s="438">
        <v>8650</v>
      </c>
      <c r="J104" s="304">
        <f t="shared" si="14"/>
        <v>54042</v>
      </c>
      <c r="K104" s="284">
        <f t="shared" si="15"/>
        <v>48297.259428571429</v>
      </c>
      <c r="L104" s="10">
        <f t="shared" si="16"/>
        <v>5744.7405714285705</v>
      </c>
      <c r="M104" s="301">
        <f t="shared" si="17"/>
        <v>-4308.5554285714279</v>
      </c>
      <c r="N104" s="10">
        <v>0</v>
      </c>
      <c r="O104" s="10">
        <f t="shared" si="18"/>
        <v>7737</v>
      </c>
      <c r="P104" s="442">
        <v>7737</v>
      </c>
      <c r="Q104" s="10">
        <f t="shared" si="19"/>
        <v>6037.1574285714287</v>
      </c>
      <c r="R104" s="14">
        <f t="shared" si="20"/>
        <v>1699.8425714285713</v>
      </c>
      <c r="S104" s="2">
        <f t="shared" si="21"/>
        <v>-1274.8819285714285</v>
      </c>
      <c r="T104" s="130">
        <f t="shared" si="22"/>
        <v>-5583.4373571428569</v>
      </c>
      <c r="U104" s="437">
        <f t="shared" si="23"/>
        <v>-0.92484541329313397</v>
      </c>
      <c r="V104" s="126"/>
      <c r="W104" s="526"/>
      <c r="X104" s="526"/>
      <c r="Y104" s="526"/>
      <c r="Z104" s="526"/>
      <c r="AA104" s="526"/>
      <c r="AB104" s="526"/>
      <c r="AC104" s="423"/>
      <c r="AD104" s="423"/>
      <c r="AE104" s="423"/>
      <c r="AF104" s="423"/>
      <c r="AG104" s="423"/>
    </row>
    <row r="105" spans="1:33" x14ac:dyDescent="0.25">
      <c r="A105" s="49">
        <f>+'A) Base RI'!A107</f>
        <v>5563</v>
      </c>
      <c r="B105" s="484" t="str">
        <f>+'A) Base RI'!B107</f>
        <v>Mutrux</v>
      </c>
      <c r="C105" s="304">
        <f>+'D) Ecrêtage'!C105</f>
        <v>4073.5824999999995</v>
      </c>
      <c r="D105" s="440">
        <v>12164</v>
      </c>
      <c r="E105" s="440">
        <f t="shared" si="12"/>
        <v>58284</v>
      </c>
      <c r="F105" s="518">
        <f t="shared" si="13"/>
        <v>14.307799093304236</v>
      </c>
      <c r="G105" s="440">
        <v>70448</v>
      </c>
      <c r="H105" s="440">
        <v>6801</v>
      </c>
      <c r="I105" s="438">
        <v>17191</v>
      </c>
      <c r="J105" s="304">
        <f t="shared" si="14"/>
        <v>94440</v>
      </c>
      <c r="K105" s="284">
        <f t="shared" si="15"/>
        <v>32588.659999999996</v>
      </c>
      <c r="L105" s="10">
        <f t="shared" si="16"/>
        <v>61851.340000000004</v>
      </c>
      <c r="M105" s="301">
        <f t="shared" si="17"/>
        <v>-46388.505000000005</v>
      </c>
      <c r="N105" s="10">
        <v>0</v>
      </c>
      <c r="O105" s="10">
        <f t="shared" si="18"/>
        <v>5871</v>
      </c>
      <c r="P105" s="442">
        <v>5871</v>
      </c>
      <c r="Q105" s="10">
        <f t="shared" si="19"/>
        <v>4073.5824999999995</v>
      </c>
      <c r="R105" s="14">
        <f t="shared" si="20"/>
        <v>1797.4175000000005</v>
      </c>
      <c r="S105" s="2">
        <f t="shared" si="21"/>
        <v>-1348.0631250000004</v>
      </c>
      <c r="T105" s="130">
        <f t="shared" si="22"/>
        <v>-47736.568125000005</v>
      </c>
      <c r="U105" s="437">
        <f t="shared" si="23"/>
        <v>-11.718571582875764</v>
      </c>
      <c r="V105" s="126"/>
      <c r="W105" s="526"/>
      <c r="X105" s="526"/>
      <c r="Y105" s="526"/>
      <c r="Z105" s="526"/>
      <c r="AA105" s="526"/>
      <c r="AB105" s="526"/>
      <c r="AC105" s="423"/>
      <c r="AD105" s="423"/>
      <c r="AE105" s="423"/>
      <c r="AF105" s="423"/>
      <c r="AG105" s="423"/>
    </row>
    <row r="106" spans="1:33" x14ac:dyDescent="0.25">
      <c r="A106" s="49">
        <f>+'A) Base RI'!A108</f>
        <v>5564</v>
      </c>
      <c r="B106" s="484" t="str">
        <f>+'A) Base RI'!B108</f>
        <v>Novalles</v>
      </c>
      <c r="C106" s="304">
        <f>+'D) Ecrêtage'!C106</f>
        <v>2091.5044407894734</v>
      </c>
      <c r="D106" s="440">
        <v>0</v>
      </c>
      <c r="E106" s="440">
        <f t="shared" si="12"/>
        <v>2698</v>
      </c>
      <c r="F106" s="518">
        <f t="shared" si="13"/>
        <v>1.2899805266402373</v>
      </c>
      <c r="G106" s="440">
        <v>2698</v>
      </c>
      <c r="H106" s="440">
        <v>4445</v>
      </c>
      <c r="I106" s="438">
        <v>12738</v>
      </c>
      <c r="J106" s="304">
        <f t="shared" si="14"/>
        <v>19881</v>
      </c>
      <c r="K106" s="284">
        <f t="shared" si="15"/>
        <v>16732.035526315787</v>
      </c>
      <c r="L106" s="10">
        <f t="shared" si="16"/>
        <v>3148.9644736842129</v>
      </c>
      <c r="M106" s="301">
        <f t="shared" si="17"/>
        <v>-2361.7233552631596</v>
      </c>
      <c r="N106" s="10">
        <v>0</v>
      </c>
      <c r="O106" s="10">
        <f t="shared" si="18"/>
        <v>3062</v>
      </c>
      <c r="P106" s="442">
        <v>3062</v>
      </c>
      <c r="Q106" s="10">
        <f t="shared" si="19"/>
        <v>2091.5044407894734</v>
      </c>
      <c r="R106" s="14">
        <f t="shared" si="20"/>
        <v>970.49555921052661</v>
      </c>
      <c r="S106" s="2">
        <f t="shared" si="21"/>
        <v>-727.87166940789496</v>
      </c>
      <c r="T106" s="130">
        <f t="shared" si="22"/>
        <v>-3089.5950246710545</v>
      </c>
      <c r="U106" s="437">
        <f t="shared" si="23"/>
        <v>-1.4772117928206909</v>
      </c>
      <c r="V106" s="126"/>
      <c r="W106" s="526"/>
      <c r="X106" s="526"/>
      <c r="Y106" s="526"/>
      <c r="Z106" s="526"/>
      <c r="AA106" s="526"/>
      <c r="AB106" s="526"/>
      <c r="AC106" s="423"/>
      <c r="AD106" s="423"/>
      <c r="AE106" s="423"/>
      <c r="AF106" s="423"/>
      <c r="AG106" s="423"/>
    </row>
    <row r="107" spans="1:33" x14ac:dyDescent="0.25">
      <c r="A107" s="49">
        <f>+'A) Base RI'!A109</f>
        <v>5565</v>
      </c>
      <c r="B107" s="484" t="str">
        <f>+'A) Base RI'!B109</f>
        <v>Onnens</v>
      </c>
      <c r="C107" s="304">
        <f>+'D) Ecrêtage'!C107</f>
        <v>19690.582047244097</v>
      </c>
      <c r="D107" s="440">
        <v>69047</v>
      </c>
      <c r="E107" s="440">
        <f t="shared" si="12"/>
        <v>59973</v>
      </c>
      <c r="F107" s="518">
        <f t="shared" si="13"/>
        <v>3.0457708084050186</v>
      </c>
      <c r="G107" s="440">
        <v>129020</v>
      </c>
      <c r="H107" s="440">
        <v>33138</v>
      </c>
      <c r="I107" s="438">
        <v>54728</v>
      </c>
      <c r="J107" s="304">
        <f t="shared" si="14"/>
        <v>216886</v>
      </c>
      <c r="K107" s="284">
        <f t="shared" si="15"/>
        <v>157524.65637795278</v>
      </c>
      <c r="L107" s="10">
        <f t="shared" si="16"/>
        <v>59361.343622047221</v>
      </c>
      <c r="M107" s="301">
        <f t="shared" si="17"/>
        <v>-44521.007716535416</v>
      </c>
      <c r="N107" s="10">
        <v>4100</v>
      </c>
      <c r="O107" s="10">
        <f t="shared" si="18"/>
        <v>14312</v>
      </c>
      <c r="P107" s="442">
        <v>18412</v>
      </c>
      <c r="Q107" s="10">
        <f t="shared" si="19"/>
        <v>19690.582047244097</v>
      </c>
      <c r="R107" s="14">
        <f t="shared" si="20"/>
        <v>0</v>
      </c>
      <c r="S107" s="2">
        <f t="shared" si="21"/>
        <v>0</v>
      </c>
      <c r="T107" s="130">
        <f t="shared" si="22"/>
        <v>-44521.007716535416</v>
      </c>
      <c r="U107" s="437">
        <f t="shared" si="23"/>
        <v>-2.2610305581478021</v>
      </c>
      <c r="V107" s="126"/>
      <c r="W107" s="526"/>
      <c r="X107" s="526"/>
      <c r="Y107" s="526"/>
      <c r="Z107" s="526"/>
      <c r="AA107" s="526"/>
      <c r="AB107" s="526"/>
      <c r="AC107" s="423"/>
      <c r="AD107" s="423"/>
      <c r="AE107" s="423"/>
      <c r="AF107" s="423"/>
      <c r="AG107" s="423"/>
    </row>
    <row r="108" spans="1:33" x14ac:dyDescent="0.25">
      <c r="A108" s="49">
        <f>+'A) Base RI'!A110</f>
        <v>5566</v>
      </c>
      <c r="B108" s="484" t="str">
        <f>+'A) Base RI'!B110</f>
        <v>Provence</v>
      </c>
      <c r="C108" s="304">
        <f>+'D) Ecrêtage'!C108</f>
        <v>7598.735102880657</v>
      </c>
      <c r="D108" s="440">
        <v>40326</v>
      </c>
      <c r="E108" s="440">
        <f t="shared" si="12"/>
        <v>378198</v>
      </c>
      <c r="F108" s="518">
        <f t="shared" si="13"/>
        <v>49.771178344751917</v>
      </c>
      <c r="G108" s="440">
        <v>418524</v>
      </c>
      <c r="H108" s="440">
        <v>16847</v>
      </c>
      <c r="I108" s="438">
        <v>33022</v>
      </c>
      <c r="J108" s="304">
        <f t="shared" si="14"/>
        <v>468393</v>
      </c>
      <c r="K108" s="284">
        <f t="shared" si="15"/>
        <v>60789.880823045256</v>
      </c>
      <c r="L108" s="10">
        <f t="shared" si="16"/>
        <v>407603.11917695473</v>
      </c>
      <c r="M108" s="301">
        <f t="shared" si="17"/>
        <v>-305702.33938271605</v>
      </c>
      <c r="N108" s="10">
        <v>0</v>
      </c>
      <c r="O108" s="10">
        <f t="shared" si="18"/>
        <v>33815</v>
      </c>
      <c r="P108" s="442">
        <v>33815</v>
      </c>
      <c r="Q108" s="10">
        <f t="shared" si="19"/>
        <v>7598.735102880657</v>
      </c>
      <c r="R108" s="14">
        <f t="shared" si="20"/>
        <v>26216.264897119341</v>
      </c>
      <c r="S108" s="2">
        <f t="shared" si="21"/>
        <v>-19662.198672839506</v>
      </c>
      <c r="T108" s="130">
        <f t="shared" si="22"/>
        <v>-325364.53805555555</v>
      </c>
      <c r="U108" s="437">
        <f t="shared" si="23"/>
        <v>-42.818249833740204</v>
      </c>
      <c r="V108" s="126"/>
      <c r="W108" s="526"/>
      <c r="X108" s="526"/>
      <c r="Y108" s="526"/>
      <c r="Z108" s="526"/>
      <c r="AA108" s="526"/>
      <c r="AB108" s="526"/>
      <c r="AC108" s="423"/>
      <c r="AD108" s="423"/>
      <c r="AE108" s="423"/>
      <c r="AF108" s="423"/>
      <c r="AG108" s="423"/>
    </row>
    <row r="109" spans="1:33" x14ac:dyDescent="0.25">
      <c r="A109" s="49">
        <f>+'A) Base RI'!A111</f>
        <v>5568</v>
      </c>
      <c r="B109" s="484" t="str">
        <f>+'A) Base RI'!B111</f>
        <v>Sainte-Croix</v>
      </c>
      <c r="C109" s="304">
        <f>+'D) Ecrêtage'!C109</f>
        <v>106515.47628571428</v>
      </c>
      <c r="D109" s="440">
        <v>280265</v>
      </c>
      <c r="E109" s="440">
        <f t="shared" si="12"/>
        <v>1701624</v>
      </c>
      <c r="F109" s="518">
        <f t="shared" si="13"/>
        <v>15.975368644417541</v>
      </c>
      <c r="G109" s="440">
        <v>1981889</v>
      </c>
      <c r="H109" s="440">
        <v>543191</v>
      </c>
      <c r="I109" s="438">
        <v>160372</v>
      </c>
      <c r="J109" s="304">
        <f t="shared" si="14"/>
        <v>2685452</v>
      </c>
      <c r="K109" s="284">
        <f t="shared" si="15"/>
        <v>852123.81028571422</v>
      </c>
      <c r="L109" s="10">
        <f t="shared" si="16"/>
        <v>1833328.1897142858</v>
      </c>
      <c r="M109" s="301">
        <f t="shared" si="17"/>
        <v>-1374996.1422857144</v>
      </c>
      <c r="N109" s="10">
        <v>0</v>
      </c>
      <c r="O109" s="10">
        <f t="shared" si="18"/>
        <v>247521</v>
      </c>
      <c r="P109" s="442">
        <v>247521</v>
      </c>
      <c r="Q109" s="10">
        <f t="shared" si="19"/>
        <v>106515.47628571428</v>
      </c>
      <c r="R109" s="14">
        <f t="shared" si="20"/>
        <v>141005.52371428572</v>
      </c>
      <c r="S109" s="2">
        <f t="shared" si="21"/>
        <v>-105754.1427857143</v>
      </c>
      <c r="T109" s="130">
        <f t="shared" si="22"/>
        <v>-1480750.2850714286</v>
      </c>
      <c r="U109" s="437">
        <f t="shared" si="23"/>
        <v>-13.90173838306373</v>
      </c>
      <c r="V109" s="126"/>
      <c r="W109" s="526"/>
      <c r="X109" s="526"/>
      <c r="Y109" s="526"/>
      <c r="Z109" s="526"/>
      <c r="AA109" s="526"/>
      <c r="AB109" s="526"/>
      <c r="AC109" s="423"/>
      <c r="AD109" s="423"/>
      <c r="AE109" s="423"/>
      <c r="AF109" s="423"/>
      <c r="AG109" s="423"/>
    </row>
    <row r="110" spans="1:33" x14ac:dyDescent="0.25">
      <c r="A110" s="49">
        <f>+'A) Base RI'!A112</f>
        <v>5571</v>
      </c>
      <c r="B110" s="484" t="str">
        <f>+'A) Base RI'!B112</f>
        <v>Tévenon</v>
      </c>
      <c r="C110" s="304">
        <f>+'D) Ecrêtage'!C110</f>
        <v>21380.087226107229</v>
      </c>
      <c r="D110" s="440">
        <v>29817</v>
      </c>
      <c r="E110" s="440">
        <f t="shared" si="12"/>
        <v>171129</v>
      </c>
      <c r="F110" s="518">
        <f t="shared" si="13"/>
        <v>8.004130113699178</v>
      </c>
      <c r="G110" s="440">
        <v>200946</v>
      </c>
      <c r="H110" s="440">
        <v>39828</v>
      </c>
      <c r="I110" s="438">
        <v>111197</v>
      </c>
      <c r="J110" s="304">
        <f t="shared" si="14"/>
        <v>351971</v>
      </c>
      <c r="K110" s="284">
        <f t="shared" si="15"/>
        <v>171040.69780885783</v>
      </c>
      <c r="L110" s="10">
        <f t="shared" si="16"/>
        <v>180930.30219114217</v>
      </c>
      <c r="M110" s="301">
        <f t="shared" si="17"/>
        <v>-135697.72664335661</v>
      </c>
      <c r="N110" s="10">
        <v>0</v>
      </c>
      <c r="O110" s="10">
        <f t="shared" si="18"/>
        <v>52207</v>
      </c>
      <c r="P110" s="442">
        <v>52207</v>
      </c>
      <c r="Q110" s="10">
        <f t="shared" si="19"/>
        <v>21380.087226107229</v>
      </c>
      <c r="R110" s="14">
        <f t="shared" si="20"/>
        <v>30826.912773892771</v>
      </c>
      <c r="S110" s="2">
        <f t="shared" si="21"/>
        <v>-23120.184580419576</v>
      </c>
      <c r="T110" s="130">
        <f t="shared" si="22"/>
        <v>-158817.91122377617</v>
      </c>
      <c r="U110" s="437">
        <f t="shared" si="23"/>
        <v>-7.428309788644996</v>
      </c>
      <c r="V110" s="126"/>
      <c r="W110" s="526"/>
      <c r="X110" s="526"/>
      <c r="Y110" s="526"/>
      <c r="Z110" s="526"/>
      <c r="AA110" s="526"/>
      <c r="AB110" s="526"/>
      <c r="AC110" s="423"/>
      <c r="AD110" s="423"/>
      <c r="AE110" s="423"/>
      <c r="AF110" s="423"/>
      <c r="AG110" s="423"/>
    </row>
    <row r="111" spans="1:33" x14ac:dyDescent="0.25">
      <c r="A111" s="49">
        <f>+'A) Base RI'!A113</f>
        <v>5581</v>
      </c>
      <c r="B111" s="484" t="str">
        <f>+'A) Base RI'!B113</f>
        <v>Belmont-sur-Lausanne</v>
      </c>
      <c r="C111" s="304">
        <f>+'D) Ecrêtage'!C111</f>
        <v>212445.65069444443</v>
      </c>
      <c r="D111" s="440">
        <v>660487</v>
      </c>
      <c r="E111" s="440">
        <f t="shared" si="12"/>
        <v>524189</v>
      </c>
      <c r="F111" s="518">
        <f t="shared" si="13"/>
        <v>2.4674028312018903</v>
      </c>
      <c r="G111" s="440">
        <v>1184676</v>
      </c>
      <c r="H111" s="440">
        <v>1255890</v>
      </c>
      <c r="I111" s="438">
        <v>227149</v>
      </c>
      <c r="J111" s="304">
        <f t="shared" si="14"/>
        <v>2667715</v>
      </c>
      <c r="K111" s="284">
        <f t="shared" si="15"/>
        <v>1699565.2055555554</v>
      </c>
      <c r="L111" s="10">
        <f t="shared" si="16"/>
        <v>968149.79444444459</v>
      </c>
      <c r="M111" s="301">
        <f t="shared" si="17"/>
        <v>-726112.34583333344</v>
      </c>
      <c r="N111" s="10">
        <v>0</v>
      </c>
      <c r="O111" s="10">
        <f t="shared" si="18"/>
        <v>18402</v>
      </c>
      <c r="P111" s="442">
        <v>18402</v>
      </c>
      <c r="Q111" s="10">
        <f t="shared" si="19"/>
        <v>212445.65069444443</v>
      </c>
      <c r="R111" s="14">
        <f t="shared" si="20"/>
        <v>0</v>
      </c>
      <c r="S111" s="2">
        <f t="shared" si="21"/>
        <v>0</v>
      </c>
      <c r="T111" s="130">
        <f t="shared" si="22"/>
        <v>-726112.34583333344</v>
      </c>
      <c r="U111" s="437">
        <f t="shared" si="23"/>
        <v>-3.4178734347340614</v>
      </c>
      <c r="V111" s="126"/>
      <c r="W111" s="526"/>
      <c r="X111" s="526"/>
      <c r="Y111" s="526"/>
      <c r="Z111" s="526"/>
      <c r="AA111" s="526"/>
      <c r="AB111" s="526"/>
      <c r="AC111" s="423"/>
      <c r="AD111" s="423"/>
      <c r="AE111" s="423"/>
      <c r="AF111" s="423"/>
      <c r="AG111" s="423"/>
    </row>
    <row r="112" spans="1:33" x14ac:dyDescent="0.25">
      <c r="A112" s="49">
        <f>+'A) Base RI'!A114</f>
        <v>5582</v>
      </c>
      <c r="B112" s="484" t="str">
        <f>+'A) Base RI'!B114</f>
        <v>Cheseaux-sur-Lausanne</v>
      </c>
      <c r="C112" s="304">
        <f>+'D) Ecrêtage'!C112</f>
        <v>163780.29383561644</v>
      </c>
      <c r="D112" s="440">
        <v>231020</v>
      </c>
      <c r="E112" s="440">
        <f t="shared" si="12"/>
        <v>1048085</v>
      </c>
      <c r="F112" s="518">
        <f t="shared" si="13"/>
        <v>6.3993352036109146</v>
      </c>
      <c r="G112" s="440">
        <v>1279105</v>
      </c>
      <c r="H112" s="440">
        <v>390781</v>
      </c>
      <c r="I112" s="438">
        <v>188372</v>
      </c>
      <c r="J112" s="304">
        <f t="shared" si="14"/>
        <v>1858258</v>
      </c>
      <c r="K112" s="284">
        <f t="shared" si="15"/>
        <v>1310242.3506849315</v>
      </c>
      <c r="L112" s="10">
        <f t="shared" si="16"/>
        <v>548015.6493150685</v>
      </c>
      <c r="M112" s="301">
        <f t="shared" si="17"/>
        <v>-411011.73698630137</v>
      </c>
      <c r="N112" s="10">
        <v>0</v>
      </c>
      <c r="O112" s="10">
        <f t="shared" si="18"/>
        <v>69630</v>
      </c>
      <c r="P112" s="442">
        <v>69630</v>
      </c>
      <c r="Q112" s="10">
        <f t="shared" si="19"/>
        <v>163780.29383561644</v>
      </c>
      <c r="R112" s="14">
        <f t="shared" si="20"/>
        <v>0</v>
      </c>
      <c r="S112" s="2">
        <f t="shared" si="21"/>
        <v>0</v>
      </c>
      <c r="T112" s="130">
        <f t="shared" si="22"/>
        <v>-411011.73698630137</v>
      </c>
      <c r="U112" s="437">
        <f t="shared" si="23"/>
        <v>-2.5095310758132294</v>
      </c>
      <c r="V112" s="126"/>
      <c r="W112" s="526"/>
      <c r="X112" s="526"/>
      <c r="Y112" s="526"/>
      <c r="Z112" s="526"/>
      <c r="AA112" s="526"/>
      <c r="AB112" s="526"/>
      <c r="AC112" s="423"/>
      <c r="AD112" s="423"/>
      <c r="AE112" s="423"/>
      <c r="AF112" s="423"/>
      <c r="AG112" s="423"/>
    </row>
    <row r="113" spans="1:33" x14ac:dyDescent="0.25">
      <c r="A113" s="49">
        <f>+'A) Base RI'!A115</f>
        <v>5583</v>
      </c>
      <c r="B113" s="484" t="str">
        <f>+'A) Base RI'!B115</f>
        <v>Crissier</v>
      </c>
      <c r="C113" s="304">
        <f>+'D) Ecrêtage'!C113</f>
        <v>368095.30976377946</v>
      </c>
      <c r="D113" s="440">
        <v>463329</v>
      </c>
      <c r="E113" s="440">
        <f t="shared" si="12"/>
        <v>1886365</v>
      </c>
      <c r="F113" s="518">
        <f t="shared" si="13"/>
        <v>5.124664590838039</v>
      </c>
      <c r="G113" s="440">
        <v>2349694</v>
      </c>
      <c r="H113" s="440">
        <v>3954133</v>
      </c>
      <c r="I113" s="438">
        <v>279889</v>
      </c>
      <c r="J113" s="304">
        <f t="shared" si="14"/>
        <v>6583716</v>
      </c>
      <c r="K113" s="284">
        <f t="shared" si="15"/>
        <v>2944762.4781102357</v>
      </c>
      <c r="L113" s="10">
        <f t="shared" si="16"/>
        <v>3638953.5218897643</v>
      </c>
      <c r="M113" s="301">
        <f t="shared" si="17"/>
        <v>-2729215.1414173231</v>
      </c>
      <c r="N113" s="10">
        <v>0</v>
      </c>
      <c r="O113" s="10">
        <f t="shared" si="18"/>
        <v>104841</v>
      </c>
      <c r="P113" s="442">
        <v>104841</v>
      </c>
      <c r="Q113" s="10">
        <f t="shared" si="19"/>
        <v>368095.30976377946</v>
      </c>
      <c r="R113" s="14">
        <f t="shared" si="20"/>
        <v>0</v>
      </c>
      <c r="S113" s="2">
        <f t="shared" si="21"/>
        <v>0</v>
      </c>
      <c r="T113" s="130">
        <f t="shared" si="22"/>
        <v>-2729215.1414173231</v>
      </c>
      <c r="U113" s="437">
        <f t="shared" si="23"/>
        <v>-7.4144252019096974</v>
      </c>
      <c r="V113" s="126"/>
      <c r="W113" s="526"/>
      <c r="X113" s="526"/>
      <c r="Y113" s="526"/>
      <c r="Z113" s="526"/>
      <c r="AA113" s="526"/>
      <c r="AB113" s="526"/>
      <c r="AC113" s="423"/>
      <c r="AD113" s="423"/>
      <c r="AE113" s="423"/>
      <c r="AF113" s="423"/>
      <c r="AG113" s="423"/>
    </row>
    <row r="114" spans="1:33" x14ac:dyDescent="0.25">
      <c r="A114" s="49">
        <f>+'A) Base RI'!A116</f>
        <v>5584</v>
      </c>
      <c r="B114" s="484" t="str">
        <f>+'A) Base RI'!B116</f>
        <v>Epalinges</v>
      </c>
      <c r="C114" s="304">
        <f>+'D) Ecrêtage'!C114</f>
        <v>482115.91751937981</v>
      </c>
      <c r="D114" s="440">
        <v>1048997</v>
      </c>
      <c r="E114" s="440">
        <f t="shared" si="12"/>
        <v>3006294</v>
      </c>
      <c r="F114" s="518">
        <f t="shared" si="13"/>
        <v>6.2356248585780305</v>
      </c>
      <c r="G114" s="440">
        <v>4055291</v>
      </c>
      <c r="H114" s="440">
        <v>3613685</v>
      </c>
      <c r="I114" s="438">
        <v>691300</v>
      </c>
      <c r="J114" s="304">
        <f t="shared" si="14"/>
        <v>8360276</v>
      </c>
      <c r="K114" s="284">
        <f t="shared" si="15"/>
        <v>3856927.3401550385</v>
      </c>
      <c r="L114" s="10">
        <f t="shared" si="16"/>
        <v>4503348.659844961</v>
      </c>
      <c r="M114" s="301">
        <f t="shared" si="17"/>
        <v>-3377511.4948837208</v>
      </c>
      <c r="N114" s="10">
        <v>12209</v>
      </c>
      <c r="O114" s="10">
        <f t="shared" si="18"/>
        <v>281393</v>
      </c>
      <c r="P114" s="442">
        <v>293602</v>
      </c>
      <c r="Q114" s="10">
        <f t="shared" si="19"/>
        <v>482115.91751937981</v>
      </c>
      <c r="R114" s="14">
        <f t="shared" si="20"/>
        <v>0</v>
      </c>
      <c r="S114" s="2">
        <f t="shared" si="21"/>
        <v>0</v>
      </c>
      <c r="T114" s="130">
        <f t="shared" si="22"/>
        <v>-3377511.4948837208</v>
      </c>
      <c r="U114" s="437">
        <f t="shared" si="23"/>
        <v>-7.0056004627724278</v>
      </c>
      <c r="V114" s="126"/>
      <c r="W114" s="526"/>
      <c r="X114" s="526"/>
      <c r="Y114" s="526"/>
      <c r="Z114" s="526"/>
      <c r="AA114" s="526"/>
      <c r="AB114" s="526"/>
      <c r="AC114" s="423"/>
      <c r="AD114" s="423"/>
      <c r="AE114" s="423"/>
      <c r="AF114" s="423"/>
      <c r="AG114" s="423"/>
    </row>
    <row r="115" spans="1:33" x14ac:dyDescent="0.25">
      <c r="A115" s="49">
        <f>+'A) Base RI'!A117</f>
        <v>5585</v>
      </c>
      <c r="B115" s="484" t="str">
        <f>+'A) Base RI'!B117</f>
        <v>Jouxtens-Mézery</v>
      </c>
      <c r="C115" s="304">
        <f>+'D) Ecrêtage'!C115</f>
        <v>202487.97135593221</v>
      </c>
      <c r="D115" s="440">
        <v>40021</v>
      </c>
      <c r="E115" s="440">
        <f t="shared" si="12"/>
        <v>378751</v>
      </c>
      <c r="F115" s="518">
        <f t="shared" si="13"/>
        <v>1.870486416865887</v>
      </c>
      <c r="G115" s="440">
        <v>418772</v>
      </c>
      <c r="H115" s="440">
        <v>101795</v>
      </c>
      <c r="I115" s="438">
        <v>43376</v>
      </c>
      <c r="J115" s="304">
        <f t="shared" si="14"/>
        <v>563943</v>
      </c>
      <c r="K115" s="284">
        <f t="shared" si="15"/>
        <v>1619903.7708474577</v>
      </c>
      <c r="L115" s="10">
        <f t="shared" si="16"/>
        <v>0</v>
      </c>
      <c r="M115" s="301">
        <f t="shared" si="17"/>
        <v>0</v>
      </c>
      <c r="N115" s="10">
        <v>0</v>
      </c>
      <c r="O115" s="10">
        <f t="shared" si="18"/>
        <v>41246</v>
      </c>
      <c r="P115" s="442">
        <v>41246</v>
      </c>
      <c r="Q115" s="10">
        <f t="shared" si="19"/>
        <v>202487.97135593221</v>
      </c>
      <c r="R115" s="14">
        <f t="shared" si="20"/>
        <v>0</v>
      </c>
      <c r="S115" s="2">
        <f t="shared" si="21"/>
        <v>0</v>
      </c>
      <c r="T115" s="130">
        <f t="shared" si="22"/>
        <v>0</v>
      </c>
      <c r="U115" s="437">
        <f t="shared" si="23"/>
        <v>0</v>
      </c>
      <c r="V115" s="126"/>
      <c r="W115" s="526"/>
      <c r="X115" s="526"/>
      <c r="Y115" s="526"/>
      <c r="Z115" s="526"/>
      <c r="AA115" s="526"/>
      <c r="AB115" s="526"/>
      <c r="AC115" s="423"/>
      <c r="AD115" s="423"/>
      <c r="AE115" s="423"/>
      <c r="AF115" s="423"/>
      <c r="AG115" s="423"/>
    </row>
    <row r="116" spans="1:33" x14ac:dyDescent="0.25">
      <c r="A116" s="49">
        <f>+'A) Base RI'!A118</f>
        <v>5586</v>
      </c>
      <c r="B116" s="484" t="str">
        <f>+'A) Base RI'!B118</f>
        <v>Lausanne</v>
      </c>
      <c r="C116" s="304">
        <f>+'D) Ecrêtage'!C116</f>
        <v>6272364.2800849257</v>
      </c>
      <c r="D116" s="440">
        <v>2672029</v>
      </c>
      <c r="E116" s="440">
        <f t="shared" si="12"/>
        <v>46965188</v>
      </c>
      <c r="F116" s="518">
        <f t="shared" si="13"/>
        <v>7.4876371815834819</v>
      </c>
      <c r="G116" s="440">
        <f>49637217</f>
        <v>49637217</v>
      </c>
      <c r="H116" s="440">
        <v>58165191</v>
      </c>
      <c r="I116" s="438">
        <v>2207810</v>
      </c>
      <c r="J116" s="304">
        <f t="shared" si="14"/>
        <v>110010218</v>
      </c>
      <c r="K116" s="284">
        <f t="shared" si="15"/>
        <v>50178914.240679406</v>
      </c>
      <c r="L116" s="10">
        <f t="shared" si="16"/>
        <v>59831303.759320594</v>
      </c>
      <c r="M116" s="301">
        <f t="shared" si="17"/>
        <v>-44873477.819490448</v>
      </c>
      <c r="N116" s="10">
        <v>0</v>
      </c>
      <c r="O116" s="10">
        <f t="shared" si="18"/>
        <v>2119471</v>
      </c>
      <c r="P116" s="442">
        <v>2119471</v>
      </c>
      <c r="Q116" s="10">
        <f t="shared" si="19"/>
        <v>6272364.2800849257</v>
      </c>
      <c r="R116" s="14">
        <f t="shared" si="20"/>
        <v>0</v>
      </c>
      <c r="S116" s="2">
        <f t="shared" si="21"/>
        <v>0</v>
      </c>
      <c r="T116" s="130">
        <f t="shared" si="22"/>
        <v>-44873477.819490448</v>
      </c>
      <c r="U116" s="437">
        <f t="shared" si="23"/>
        <v>-7.1541568403426457</v>
      </c>
      <c r="V116" s="126"/>
      <c r="W116" s="526"/>
      <c r="X116" s="526"/>
      <c r="Y116" s="526"/>
      <c r="Z116" s="526"/>
      <c r="AA116" s="526"/>
      <c r="AB116" s="526"/>
      <c r="AC116" s="423"/>
      <c r="AD116" s="423"/>
      <c r="AE116" s="423"/>
      <c r="AF116" s="423"/>
      <c r="AG116" s="423"/>
    </row>
    <row r="117" spans="1:33" x14ac:dyDescent="0.25">
      <c r="A117" s="49">
        <f>+'A) Base RI'!A119</f>
        <v>5587</v>
      </c>
      <c r="B117" s="484" t="str">
        <f>+'A) Base RI'!B119</f>
        <v>Le Mont-sur-Lausanne</v>
      </c>
      <c r="C117" s="304">
        <f>+'D) Ecrêtage'!C117</f>
        <v>442860.74013605446</v>
      </c>
      <c r="D117" s="440">
        <v>603365</v>
      </c>
      <c r="E117" s="440">
        <f t="shared" si="12"/>
        <v>2691582</v>
      </c>
      <c r="F117" s="518">
        <f t="shared" si="13"/>
        <v>6.0777164378425139</v>
      </c>
      <c r="G117" s="440">
        <v>3294947</v>
      </c>
      <c r="H117" s="440">
        <v>2452529</v>
      </c>
      <c r="I117" s="438">
        <v>673107</v>
      </c>
      <c r="J117" s="304">
        <f t="shared" si="14"/>
        <v>6420583</v>
      </c>
      <c r="K117" s="284">
        <f t="shared" si="15"/>
        <v>3542885.9210884357</v>
      </c>
      <c r="L117" s="10">
        <f t="shared" si="16"/>
        <v>2877697.0789115643</v>
      </c>
      <c r="M117" s="301">
        <f t="shared" si="17"/>
        <v>-2158272.809183673</v>
      </c>
      <c r="N117" s="10">
        <v>0</v>
      </c>
      <c r="O117" s="10">
        <f t="shared" si="18"/>
        <v>47469</v>
      </c>
      <c r="P117" s="442">
        <v>47469</v>
      </c>
      <c r="Q117" s="10">
        <f t="shared" si="19"/>
        <v>442860.74013605446</v>
      </c>
      <c r="R117" s="14">
        <f t="shared" si="20"/>
        <v>0</v>
      </c>
      <c r="S117" s="2">
        <f t="shared" si="21"/>
        <v>0</v>
      </c>
      <c r="T117" s="130">
        <f t="shared" si="22"/>
        <v>-2158272.809183673</v>
      </c>
      <c r="U117" s="437">
        <f t="shared" si="23"/>
        <v>-4.873479659814989</v>
      </c>
      <c r="V117" s="126"/>
      <c r="W117" s="526"/>
      <c r="X117" s="526"/>
      <c r="Y117" s="526"/>
      <c r="Z117" s="526"/>
      <c r="AA117" s="526"/>
      <c r="AB117" s="526"/>
      <c r="AC117" s="423"/>
      <c r="AD117" s="423"/>
      <c r="AE117" s="423"/>
      <c r="AF117" s="423"/>
      <c r="AG117" s="423"/>
    </row>
    <row r="118" spans="1:33" x14ac:dyDescent="0.25">
      <c r="A118" s="49">
        <f>+'A) Base RI'!A120</f>
        <v>5588</v>
      </c>
      <c r="B118" s="484" t="str">
        <f>+'A) Base RI'!B120</f>
        <v>Paudex</v>
      </c>
      <c r="C118" s="304">
        <f>+'D) Ecrêtage'!C118</f>
        <v>135448.58760472611</v>
      </c>
      <c r="D118" s="440">
        <v>115981</v>
      </c>
      <c r="E118" s="440">
        <f t="shared" si="12"/>
        <v>122493</v>
      </c>
      <c r="F118" s="518">
        <f t="shared" si="13"/>
        <v>0.90435051532221322</v>
      </c>
      <c r="G118" s="440">
        <v>238474</v>
      </c>
      <c r="H118" s="440">
        <v>509099</v>
      </c>
      <c r="I118" s="438">
        <v>39909</v>
      </c>
      <c r="J118" s="304">
        <f t="shared" si="14"/>
        <v>787482</v>
      </c>
      <c r="K118" s="284">
        <f t="shared" si="15"/>
        <v>1083588.7008378089</v>
      </c>
      <c r="L118" s="10">
        <f t="shared" si="16"/>
        <v>0</v>
      </c>
      <c r="M118" s="301">
        <f t="shared" si="17"/>
        <v>0</v>
      </c>
      <c r="N118" s="10">
        <v>0</v>
      </c>
      <c r="O118" s="10">
        <f t="shared" si="18"/>
        <v>0</v>
      </c>
      <c r="P118" s="442">
        <v>0</v>
      </c>
      <c r="Q118" s="10">
        <f t="shared" si="19"/>
        <v>135448.58760472611</v>
      </c>
      <c r="R118" s="14">
        <f t="shared" si="20"/>
        <v>0</v>
      </c>
      <c r="S118" s="2">
        <f t="shared" si="21"/>
        <v>0</v>
      </c>
      <c r="T118" s="130">
        <f t="shared" si="22"/>
        <v>0</v>
      </c>
      <c r="U118" s="437">
        <f t="shared" si="23"/>
        <v>0</v>
      </c>
      <c r="V118" s="126"/>
      <c r="W118" s="526"/>
      <c r="X118" s="526"/>
      <c r="Y118" s="526"/>
      <c r="Z118" s="526"/>
      <c r="AA118" s="526"/>
      <c r="AB118" s="526"/>
      <c r="AC118" s="423"/>
      <c r="AD118" s="423"/>
      <c r="AE118" s="423"/>
      <c r="AF118" s="423"/>
      <c r="AG118" s="423"/>
    </row>
    <row r="119" spans="1:33" x14ac:dyDescent="0.25">
      <c r="A119" s="49">
        <f>+'A) Base RI'!A121</f>
        <v>5589</v>
      </c>
      <c r="B119" s="484" t="str">
        <f>+'A) Base RI'!B121</f>
        <v>Prilly</v>
      </c>
      <c r="C119" s="304">
        <f>+'D) Ecrêtage'!C119</f>
        <v>455017.22467904515</v>
      </c>
      <c r="D119" s="440">
        <v>1154400</v>
      </c>
      <c r="E119" s="440">
        <f t="shared" si="12"/>
        <v>2151303</v>
      </c>
      <c r="F119" s="518">
        <f t="shared" si="13"/>
        <v>4.7279594778361664</v>
      </c>
      <c r="G119" s="440">
        <v>3305703</v>
      </c>
      <c r="H119" s="440">
        <v>3656392</v>
      </c>
      <c r="I119" s="438">
        <v>145135</v>
      </c>
      <c r="J119" s="304">
        <f t="shared" si="14"/>
        <v>7107230</v>
      </c>
      <c r="K119" s="284">
        <f t="shared" si="15"/>
        <v>3640137.7974323612</v>
      </c>
      <c r="L119" s="10">
        <f t="shared" si="16"/>
        <v>3467092.2025676388</v>
      </c>
      <c r="M119" s="301">
        <f t="shared" si="17"/>
        <v>-2600319.1519257291</v>
      </c>
      <c r="N119" s="10">
        <v>0</v>
      </c>
      <c r="O119" s="10">
        <f t="shared" si="18"/>
        <v>21738</v>
      </c>
      <c r="P119" s="442">
        <v>21738</v>
      </c>
      <c r="Q119" s="10">
        <f t="shared" si="19"/>
        <v>455017.22467904515</v>
      </c>
      <c r="R119" s="14">
        <f t="shared" si="20"/>
        <v>0</v>
      </c>
      <c r="S119" s="2">
        <f t="shared" si="21"/>
        <v>0</v>
      </c>
      <c r="T119" s="130">
        <f t="shared" si="22"/>
        <v>-2600319.1519257291</v>
      </c>
      <c r="U119" s="437">
        <f t="shared" si="23"/>
        <v>-5.7147708062258795</v>
      </c>
      <c r="V119" s="126"/>
      <c r="W119" s="526"/>
      <c r="X119" s="526"/>
      <c r="Y119" s="526"/>
      <c r="Z119" s="526"/>
      <c r="AA119" s="526"/>
      <c r="AB119" s="526"/>
      <c r="AC119" s="423"/>
      <c r="AD119" s="423"/>
      <c r="AE119" s="423"/>
      <c r="AF119" s="423"/>
      <c r="AG119" s="423"/>
    </row>
    <row r="120" spans="1:33" x14ac:dyDescent="0.25">
      <c r="A120" s="49">
        <f>+'A) Base RI'!A122</f>
        <v>5590</v>
      </c>
      <c r="B120" s="484" t="str">
        <f>+'A) Base RI'!B122</f>
        <v>Pully</v>
      </c>
      <c r="C120" s="304">
        <f>+'D) Ecrêtage'!C120</f>
        <v>1478979.5848477751</v>
      </c>
      <c r="D120" s="440">
        <v>1826565</v>
      </c>
      <c r="E120" s="440">
        <f t="shared" si="12"/>
        <v>3985693</v>
      </c>
      <c r="F120" s="518">
        <f t="shared" si="13"/>
        <v>2.6948938584640638</v>
      </c>
      <c r="G120" s="440">
        <v>5812258</v>
      </c>
      <c r="H120" s="440">
        <v>8791749</v>
      </c>
      <c r="I120" s="438">
        <v>350758</v>
      </c>
      <c r="J120" s="304">
        <f t="shared" si="14"/>
        <v>14954765</v>
      </c>
      <c r="K120" s="284">
        <f t="shared" si="15"/>
        <v>11831836.6787822</v>
      </c>
      <c r="L120" s="10">
        <f t="shared" si="16"/>
        <v>3122928.3212177996</v>
      </c>
      <c r="M120" s="301">
        <f t="shared" si="17"/>
        <v>-2342196.2409133497</v>
      </c>
      <c r="N120" s="10">
        <v>78102</v>
      </c>
      <c r="O120" s="10">
        <f t="shared" si="18"/>
        <v>521895</v>
      </c>
      <c r="P120" s="442">
        <v>599997</v>
      </c>
      <c r="Q120" s="10">
        <f t="shared" si="19"/>
        <v>1478979.5848477751</v>
      </c>
      <c r="R120" s="14">
        <f t="shared" si="20"/>
        <v>0</v>
      </c>
      <c r="S120" s="2">
        <f t="shared" si="21"/>
        <v>0</v>
      </c>
      <c r="T120" s="130">
        <f t="shared" si="22"/>
        <v>-2342196.2409133497</v>
      </c>
      <c r="U120" s="437">
        <f t="shared" si="23"/>
        <v>-1.5836569110955117</v>
      </c>
      <c r="V120" s="126"/>
      <c r="W120" s="526"/>
      <c r="X120" s="526"/>
      <c r="Y120" s="526"/>
      <c r="Z120" s="526"/>
      <c r="AA120" s="526"/>
      <c r="AB120" s="526"/>
      <c r="AC120" s="423"/>
      <c r="AD120" s="423"/>
      <c r="AE120" s="423"/>
      <c r="AF120" s="423"/>
      <c r="AG120" s="423"/>
    </row>
    <row r="121" spans="1:33" x14ac:dyDescent="0.25">
      <c r="A121" s="49">
        <f>+'A) Base RI'!A123</f>
        <v>5591</v>
      </c>
      <c r="B121" s="484" t="str">
        <f>+'A) Base RI'!B123</f>
        <v>Renens</v>
      </c>
      <c r="C121" s="304">
        <f>+'D) Ecrêtage'!C121</f>
        <v>596748.60283858993</v>
      </c>
      <c r="D121" s="440">
        <v>730641</v>
      </c>
      <c r="E121" s="440">
        <f t="shared" si="12"/>
        <v>3514561</v>
      </c>
      <c r="F121" s="518">
        <f t="shared" si="13"/>
        <v>5.8895169310528361</v>
      </c>
      <c r="G121" s="440">
        <v>4245202</v>
      </c>
      <c r="H121" s="440">
        <v>7993256</v>
      </c>
      <c r="I121" s="438">
        <v>189487</v>
      </c>
      <c r="J121" s="304">
        <f t="shared" si="14"/>
        <v>12427945</v>
      </c>
      <c r="K121" s="284">
        <f t="shared" si="15"/>
        <v>4773988.8227087194</v>
      </c>
      <c r="L121" s="10">
        <f t="shared" si="16"/>
        <v>7653956.1772912806</v>
      </c>
      <c r="M121" s="301">
        <f t="shared" si="17"/>
        <v>-5740467.1329684602</v>
      </c>
      <c r="N121" s="10">
        <v>0</v>
      </c>
      <c r="O121" s="10">
        <f t="shared" si="18"/>
        <v>38153</v>
      </c>
      <c r="P121" s="442">
        <v>38153</v>
      </c>
      <c r="Q121" s="10">
        <f t="shared" si="19"/>
        <v>596748.60283858993</v>
      </c>
      <c r="R121" s="14">
        <f t="shared" si="20"/>
        <v>0</v>
      </c>
      <c r="S121" s="2">
        <f t="shared" si="21"/>
        <v>0</v>
      </c>
      <c r="T121" s="130">
        <f t="shared" si="22"/>
        <v>-5740467.1329684602</v>
      </c>
      <c r="U121" s="437">
        <f t="shared" si="23"/>
        <v>-9.6195736456900534</v>
      </c>
      <c r="V121" s="126"/>
      <c r="W121" s="526"/>
      <c r="X121" s="526"/>
      <c r="Y121" s="526"/>
      <c r="Z121" s="526"/>
      <c r="AA121" s="526"/>
      <c r="AB121" s="526"/>
      <c r="AC121" s="423"/>
      <c r="AD121" s="423"/>
      <c r="AE121" s="423"/>
      <c r="AF121" s="423"/>
      <c r="AG121" s="423"/>
    </row>
    <row r="122" spans="1:33" x14ac:dyDescent="0.25">
      <c r="A122" s="49">
        <f>+'A) Base RI'!A124</f>
        <v>5592</v>
      </c>
      <c r="B122" s="484" t="str">
        <f>+'A) Base RI'!B124</f>
        <v>Romanel-sur-Lausanne</v>
      </c>
      <c r="C122" s="304">
        <f>+'D) Ecrêtage'!C122</f>
        <v>121292.24695035459</v>
      </c>
      <c r="D122" s="440">
        <v>155302</v>
      </c>
      <c r="E122" s="440">
        <f t="shared" si="12"/>
        <v>823588</v>
      </c>
      <c r="F122" s="518">
        <f t="shared" si="13"/>
        <v>6.7901124821036412</v>
      </c>
      <c r="G122" s="440">
        <v>978890</v>
      </c>
      <c r="H122" s="440">
        <v>240061</v>
      </c>
      <c r="I122" s="438">
        <v>21869</v>
      </c>
      <c r="J122" s="304">
        <f t="shared" si="14"/>
        <v>1240820</v>
      </c>
      <c r="K122" s="284">
        <f t="shared" si="15"/>
        <v>970337.9756028367</v>
      </c>
      <c r="L122" s="10">
        <f t="shared" si="16"/>
        <v>270482.0243971633</v>
      </c>
      <c r="M122" s="301">
        <f t="shared" si="17"/>
        <v>-202861.51829787248</v>
      </c>
      <c r="N122" s="10">
        <v>0</v>
      </c>
      <c r="O122" s="10">
        <f t="shared" si="18"/>
        <v>9229</v>
      </c>
      <c r="P122" s="442">
        <v>9229</v>
      </c>
      <c r="Q122" s="10">
        <f t="shared" si="19"/>
        <v>121292.24695035459</v>
      </c>
      <c r="R122" s="14">
        <f t="shared" si="20"/>
        <v>0</v>
      </c>
      <c r="S122" s="2">
        <f t="shared" si="21"/>
        <v>0</v>
      </c>
      <c r="T122" s="130">
        <f t="shared" si="22"/>
        <v>-202861.51829787248</v>
      </c>
      <c r="U122" s="437">
        <f t="shared" si="23"/>
        <v>-1.6725019397233569</v>
      </c>
      <c r="V122" s="126"/>
      <c r="W122" s="526"/>
      <c r="X122" s="526"/>
      <c r="Y122" s="526"/>
      <c r="Z122" s="526"/>
      <c r="AA122" s="526"/>
      <c r="AB122" s="526"/>
      <c r="AC122" s="423"/>
      <c r="AD122" s="423"/>
      <c r="AE122" s="423"/>
      <c r="AF122" s="423"/>
      <c r="AG122" s="423"/>
    </row>
    <row r="123" spans="1:33" x14ac:dyDescent="0.25">
      <c r="A123" s="49">
        <f>+'A) Base RI'!A125</f>
        <v>5601</v>
      </c>
      <c r="B123" s="484" t="str">
        <f>+'A) Base RI'!B125</f>
        <v>Chexbres</v>
      </c>
      <c r="C123" s="304">
        <f>+'D) Ecrêtage'!C123</f>
        <v>98072.029481481484</v>
      </c>
      <c r="D123" s="440">
        <v>206870</v>
      </c>
      <c r="E123" s="440">
        <f t="shared" si="12"/>
        <v>584037</v>
      </c>
      <c r="F123" s="518">
        <f t="shared" si="13"/>
        <v>5.9551841956149296</v>
      </c>
      <c r="G123" s="440">
        <v>790907</v>
      </c>
      <c r="H123" s="440">
        <v>192223</v>
      </c>
      <c r="I123" s="438">
        <v>284548</v>
      </c>
      <c r="J123" s="304">
        <f t="shared" si="14"/>
        <v>1267678</v>
      </c>
      <c r="K123" s="284">
        <f t="shared" si="15"/>
        <v>784576.23585185187</v>
      </c>
      <c r="L123" s="10">
        <f t="shared" si="16"/>
        <v>483101.76414814813</v>
      </c>
      <c r="M123" s="301">
        <f t="shared" si="17"/>
        <v>-362326.32311111107</v>
      </c>
      <c r="N123" s="10">
        <v>0</v>
      </c>
      <c r="O123" s="10">
        <f t="shared" si="18"/>
        <v>34556</v>
      </c>
      <c r="P123" s="442">
        <v>34556</v>
      </c>
      <c r="Q123" s="10">
        <f t="shared" si="19"/>
        <v>98072.029481481484</v>
      </c>
      <c r="R123" s="14">
        <f t="shared" si="20"/>
        <v>0</v>
      </c>
      <c r="S123" s="2">
        <f t="shared" si="21"/>
        <v>0</v>
      </c>
      <c r="T123" s="130">
        <f t="shared" si="22"/>
        <v>-362326.32311111107</v>
      </c>
      <c r="U123" s="437">
        <f t="shared" si="23"/>
        <v>-3.6944919466515942</v>
      </c>
      <c r="V123" s="126"/>
      <c r="W123" s="526"/>
      <c r="X123" s="526"/>
      <c r="Y123" s="526"/>
      <c r="Z123" s="526"/>
      <c r="AA123" s="526"/>
      <c r="AB123" s="526"/>
      <c r="AC123" s="423"/>
      <c r="AD123" s="423"/>
      <c r="AE123" s="423"/>
      <c r="AF123" s="423"/>
      <c r="AG123" s="423"/>
    </row>
    <row r="124" spans="1:33" x14ac:dyDescent="0.25">
      <c r="A124" s="49">
        <f>+'A) Base RI'!A126</f>
        <v>5604</v>
      </c>
      <c r="B124" s="484" t="str">
        <f>+'A) Base RI'!B126</f>
        <v>Forel (Lavaux)</v>
      </c>
      <c r="C124" s="304">
        <f>+'D) Ecrêtage'!C124</f>
        <v>71309.914782608685</v>
      </c>
      <c r="D124" s="440">
        <v>85234</v>
      </c>
      <c r="E124" s="440">
        <f t="shared" si="12"/>
        <v>501575</v>
      </c>
      <c r="F124" s="518">
        <f t="shared" si="13"/>
        <v>7.0337343906394052</v>
      </c>
      <c r="G124" s="440">
        <v>586809</v>
      </c>
      <c r="H124" s="440">
        <v>88590</v>
      </c>
      <c r="I124" s="438">
        <v>284746</v>
      </c>
      <c r="J124" s="304">
        <f t="shared" si="14"/>
        <v>960145</v>
      </c>
      <c r="K124" s="284">
        <f t="shared" si="15"/>
        <v>570479.31826086948</v>
      </c>
      <c r="L124" s="10">
        <f t="shared" si="16"/>
        <v>389665.68173913052</v>
      </c>
      <c r="M124" s="301">
        <f t="shared" si="17"/>
        <v>-292249.26130434789</v>
      </c>
      <c r="N124" s="10">
        <v>0</v>
      </c>
      <c r="O124" s="10">
        <f t="shared" si="18"/>
        <v>36482</v>
      </c>
      <c r="P124" s="442">
        <v>36482</v>
      </c>
      <c r="Q124" s="10">
        <f t="shared" si="19"/>
        <v>71309.914782608685</v>
      </c>
      <c r="R124" s="14">
        <f t="shared" si="20"/>
        <v>0</v>
      </c>
      <c r="S124" s="2">
        <f t="shared" si="21"/>
        <v>0</v>
      </c>
      <c r="T124" s="130">
        <f t="shared" si="22"/>
        <v>-292249.26130434789</v>
      </c>
      <c r="U124" s="437">
        <f t="shared" si="23"/>
        <v>-4.0982977219266381</v>
      </c>
      <c r="V124" s="126"/>
      <c r="W124" s="526"/>
      <c r="X124" s="526"/>
      <c r="Y124" s="526"/>
      <c r="Z124" s="526"/>
      <c r="AA124" s="526"/>
      <c r="AB124" s="526"/>
      <c r="AC124" s="423"/>
      <c r="AD124" s="423"/>
      <c r="AE124" s="423"/>
      <c r="AF124" s="423"/>
      <c r="AG124" s="423"/>
    </row>
    <row r="125" spans="1:33" x14ac:dyDescent="0.25">
      <c r="A125" s="49">
        <f>+'A) Base RI'!A127</f>
        <v>5606</v>
      </c>
      <c r="B125" s="484" t="str">
        <f>+'A) Base RI'!B127</f>
        <v>Lutry</v>
      </c>
      <c r="C125" s="304">
        <f>+'D) Ecrêtage'!C125</f>
        <v>875230.37264550268</v>
      </c>
      <c r="D125" s="440">
        <v>911448</v>
      </c>
      <c r="E125" s="440">
        <f t="shared" si="12"/>
        <v>3688909</v>
      </c>
      <c r="F125" s="518">
        <f t="shared" si="13"/>
        <v>4.2147863183149958</v>
      </c>
      <c r="G125" s="440">
        <v>4600357</v>
      </c>
      <c r="H125" s="440">
        <v>3643608</v>
      </c>
      <c r="I125" s="438">
        <v>1616999</v>
      </c>
      <c r="J125" s="304">
        <f t="shared" si="14"/>
        <v>9860964</v>
      </c>
      <c r="K125" s="284">
        <f t="shared" si="15"/>
        <v>7001842.9811640214</v>
      </c>
      <c r="L125" s="10">
        <f t="shared" si="16"/>
        <v>2859121.0188359786</v>
      </c>
      <c r="M125" s="301">
        <f t="shared" si="17"/>
        <v>-2144340.7641269839</v>
      </c>
      <c r="N125" s="10">
        <v>0</v>
      </c>
      <c r="O125" s="10">
        <f t="shared" si="18"/>
        <v>245737</v>
      </c>
      <c r="P125" s="442">
        <v>245737</v>
      </c>
      <c r="Q125" s="10">
        <f t="shared" si="19"/>
        <v>875230.37264550268</v>
      </c>
      <c r="R125" s="14">
        <f t="shared" si="20"/>
        <v>0</v>
      </c>
      <c r="S125" s="2">
        <f t="shared" si="21"/>
        <v>0</v>
      </c>
      <c r="T125" s="130">
        <f t="shared" si="22"/>
        <v>-2144340.7641269839</v>
      </c>
      <c r="U125" s="437">
        <f t="shared" si="23"/>
        <v>-2.450030107668022</v>
      </c>
      <c r="V125" s="126"/>
      <c r="W125" s="526"/>
      <c r="X125" s="526"/>
      <c r="Y125" s="526"/>
      <c r="Z125" s="526"/>
      <c r="AA125" s="526"/>
      <c r="AB125" s="526"/>
      <c r="AC125" s="423"/>
      <c r="AD125" s="423"/>
      <c r="AE125" s="423"/>
      <c r="AF125" s="423"/>
      <c r="AG125" s="423"/>
    </row>
    <row r="126" spans="1:33" x14ac:dyDescent="0.25">
      <c r="A126" s="49">
        <f>+'A) Base RI'!A128</f>
        <v>5607</v>
      </c>
      <c r="B126" s="484" t="str">
        <f>+'A) Base RI'!B128</f>
        <v>Puidoux</v>
      </c>
      <c r="C126" s="304">
        <f>+'D) Ecrêtage'!C126</f>
        <v>102944.97501110758</v>
      </c>
      <c r="D126" s="440">
        <v>271912</v>
      </c>
      <c r="E126" s="440">
        <f t="shared" si="12"/>
        <v>999319</v>
      </c>
      <c r="F126" s="518">
        <f t="shared" si="13"/>
        <v>9.7073120848509138</v>
      </c>
      <c r="G126" s="440">
        <v>1271231</v>
      </c>
      <c r="H126" s="440">
        <v>309728</v>
      </c>
      <c r="I126" s="438">
        <v>382109</v>
      </c>
      <c r="J126" s="304">
        <f t="shared" si="14"/>
        <v>1963068</v>
      </c>
      <c r="K126" s="284">
        <f t="shared" si="15"/>
        <v>823559.80008886068</v>
      </c>
      <c r="L126" s="10">
        <f t="shared" si="16"/>
        <v>1139508.1999111394</v>
      </c>
      <c r="M126" s="301">
        <f t="shared" si="17"/>
        <v>-854631.14993335458</v>
      </c>
      <c r="N126" s="10">
        <v>0</v>
      </c>
      <c r="O126" s="10">
        <f t="shared" si="18"/>
        <v>-2029</v>
      </c>
      <c r="P126" s="442">
        <v>-2029</v>
      </c>
      <c r="Q126" s="10">
        <f t="shared" si="19"/>
        <v>102944.97501110758</v>
      </c>
      <c r="R126" s="14">
        <f t="shared" si="20"/>
        <v>0</v>
      </c>
      <c r="S126" s="2">
        <f t="shared" si="21"/>
        <v>0</v>
      </c>
      <c r="T126" s="130">
        <f t="shared" si="22"/>
        <v>-854631.14993335458</v>
      </c>
      <c r="U126" s="437">
        <f t="shared" si="23"/>
        <v>-8.3018248325490518</v>
      </c>
      <c r="V126" s="126"/>
      <c r="W126" s="526"/>
      <c r="X126" s="526"/>
      <c r="Y126" s="526"/>
      <c r="Z126" s="526"/>
      <c r="AA126" s="526"/>
      <c r="AB126" s="526"/>
      <c r="AC126" s="423"/>
      <c r="AD126" s="423"/>
      <c r="AE126" s="423"/>
      <c r="AF126" s="423"/>
      <c r="AG126" s="423"/>
    </row>
    <row r="127" spans="1:33" x14ac:dyDescent="0.25">
      <c r="A127" s="49">
        <f>+'A) Base RI'!A129</f>
        <v>5609</v>
      </c>
      <c r="B127" s="484" t="str">
        <f>+'A) Base RI'!B129</f>
        <v>Rivaz</v>
      </c>
      <c r="C127" s="304">
        <f>+'D) Ecrêtage'!C127</f>
        <v>16048.850483870969</v>
      </c>
      <c r="D127" s="440">
        <v>5052</v>
      </c>
      <c r="E127" s="440">
        <f t="shared" si="12"/>
        <v>78893</v>
      </c>
      <c r="F127" s="518">
        <f t="shared" si="13"/>
        <v>4.9158037878966567</v>
      </c>
      <c r="G127" s="440">
        <v>83945</v>
      </c>
      <c r="H127" s="440">
        <v>36768</v>
      </c>
      <c r="I127" s="438">
        <v>34755</v>
      </c>
      <c r="J127" s="304">
        <f t="shared" si="14"/>
        <v>155468</v>
      </c>
      <c r="K127" s="284">
        <f t="shared" si="15"/>
        <v>128390.80387096775</v>
      </c>
      <c r="L127" s="10">
        <f t="shared" si="16"/>
        <v>27077.196129032251</v>
      </c>
      <c r="M127" s="301">
        <f t="shared" si="17"/>
        <v>-20307.897096774188</v>
      </c>
      <c r="N127" s="10">
        <v>0</v>
      </c>
      <c r="O127" s="10">
        <f t="shared" si="18"/>
        <v>21288</v>
      </c>
      <c r="P127" s="442">
        <v>21288</v>
      </c>
      <c r="Q127" s="10">
        <f t="shared" si="19"/>
        <v>16048.850483870969</v>
      </c>
      <c r="R127" s="14">
        <f t="shared" si="20"/>
        <v>5239.1495161290313</v>
      </c>
      <c r="S127" s="2">
        <f t="shared" si="21"/>
        <v>-3929.3621370967735</v>
      </c>
      <c r="T127" s="130">
        <f t="shared" si="22"/>
        <v>-24237.259233870962</v>
      </c>
      <c r="U127" s="437">
        <f t="shared" si="23"/>
        <v>-1.510217772807424</v>
      </c>
      <c r="V127" s="126"/>
      <c r="W127" s="526"/>
      <c r="X127" s="526"/>
      <c r="Y127" s="526"/>
      <c r="Z127" s="526"/>
      <c r="AA127" s="526"/>
      <c r="AB127" s="526"/>
      <c r="AC127" s="423"/>
      <c r="AD127" s="423"/>
      <c r="AE127" s="423"/>
      <c r="AF127" s="423"/>
      <c r="AG127" s="423"/>
    </row>
    <row r="128" spans="1:33" x14ac:dyDescent="0.25">
      <c r="A128" s="49">
        <f>+'A) Base RI'!A130</f>
        <v>5610</v>
      </c>
      <c r="B128" s="484" t="str">
        <f>+'A) Base RI'!B130</f>
        <v>St-Saphorin (Lavaux)</v>
      </c>
      <c r="C128" s="304">
        <f>+'D) Ecrêtage'!C128</f>
        <v>19213.723703703701</v>
      </c>
      <c r="D128" s="440">
        <v>37015</v>
      </c>
      <c r="E128" s="440">
        <f t="shared" si="12"/>
        <v>34603</v>
      </c>
      <c r="F128" s="518">
        <f t="shared" si="13"/>
        <v>1.800952305425825</v>
      </c>
      <c r="G128" s="440">
        <v>71618</v>
      </c>
      <c r="H128" s="440">
        <v>41283</v>
      </c>
      <c r="I128" s="438">
        <v>48800</v>
      </c>
      <c r="J128" s="304">
        <f t="shared" si="14"/>
        <v>161701</v>
      </c>
      <c r="K128" s="284">
        <f t="shared" si="15"/>
        <v>153709.78962962961</v>
      </c>
      <c r="L128" s="10">
        <f t="shared" si="16"/>
        <v>7991.2103703703906</v>
      </c>
      <c r="M128" s="301">
        <f t="shared" si="17"/>
        <v>-5993.4077777777929</v>
      </c>
      <c r="N128" s="10">
        <v>0</v>
      </c>
      <c r="O128" s="10">
        <f t="shared" si="18"/>
        <v>-2371</v>
      </c>
      <c r="P128" s="442">
        <v>-2371</v>
      </c>
      <c r="Q128" s="10">
        <f t="shared" si="19"/>
        <v>19213.723703703701</v>
      </c>
      <c r="R128" s="14">
        <f t="shared" si="20"/>
        <v>0</v>
      </c>
      <c r="S128" s="2">
        <f t="shared" si="21"/>
        <v>0</v>
      </c>
      <c r="T128" s="130">
        <f t="shared" si="22"/>
        <v>-5993.4077777777929</v>
      </c>
      <c r="U128" s="437">
        <f t="shared" si="23"/>
        <v>-0.31193369230257451</v>
      </c>
      <c r="V128" s="126"/>
      <c r="W128" s="526"/>
      <c r="X128" s="526"/>
      <c r="Y128" s="526"/>
      <c r="Z128" s="526"/>
      <c r="AA128" s="526"/>
      <c r="AB128" s="526"/>
      <c r="AC128" s="423"/>
      <c r="AD128" s="423"/>
      <c r="AE128" s="423"/>
      <c r="AF128" s="423"/>
      <c r="AG128" s="423"/>
    </row>
    <row r="129" spans="1:33" x14ac:dyDescent="0.25">
      <c r="A129" s="49">
        <f>+'A) Base RI'!A131</f>
        <v>5611</v>
      </c>
      <c r="B129" s="484" t="str">
        <f>+'A) Base RI'!B131</f>
        <v>Savigny</v>
      </c>
      <c r="C129" s="304">
        <f>+'D) Ecrêtage'!C129</f>
        <v>136715.33886473431</v>
      </c>
      <c r="D129" s="440">
        <v>296860</v>
      </c>
      <c r="E129" s="440">
        <f t="shared" si="12"/>
        <v>892473</v>
      </c>
      <c r="F129" s="518">
        <f t="shared" si="13"/>
        <v>6.5279653871392567</v>
      </c>
      <c r="G129" s="440">
        <v>1189333</v>
      </c>
      <c r="H129" s="440">
        <v>144173</v>
      </c>
      <c r="I129" s="438">
        <v>443158</v>
      </c>
      <c r="J129" s="304">
        <f t="shared" si="14"/>
        <v>1776664</v>
      </c>
      <c r="K129" s="284">
        <f t="shared" si="15"/>
        <v>1093722.7109178745</v>
      </c>
      <c r="L129" s="10">
        <f t="shared" si="16"/>
        <v>682941.28908212553</v>
      </c>
      <c r="M129" s="301">
        <f t="shared" si="17"/>
        <v>-512205.96681159415</v>
      </c>
      <c r="N129" s="10">
        <v>58220</v>
      </c>
      <c r="O129" s="10">
        <f t="shared" si="18"/>
        <v>37542</v>
      </c>
      <c r="P129" s="442">
        <v>95762</v>
      </c>
      <c r="Q129" s="10">
        <f t="shared" si="19"/>
        <v>136715.33886473431</v>
      </c>
      <c r="R129" s="14">
        <f t="shared" si="20"/>
        <v>0</v>
      </c>
      <c r="S129" s="2">
        <f t="shared" si="21"/>
        <v>0</v>
      </c>
      <c r="T129" s="130">
        <f t="shared" si="22"/>
        <v>-512205.96681159415</v>
      </c>
      <c r="U129" s="437">
        <f t="shared" si="23"/>
        <v>-3.7465142614199931</v>
      </c>
      <c r="V129" s="126"/>
      <c r="W129" s="526"/>
      <c r="X129" s="526"/>
      <c r="Y129" s="526"/>
      <c r="Z129" s="526"/>
      <c r="AA129" s="526"/>
      <c r="AB129" s="526"/>
      <c r="AC129" s="423"/>
      <c r="AD129" s="423"/>
      <c r="AE129" s="423"/>
      <c r="AF129" s="423"/>
      <c r="AG129" s="423"/>
    </row>
    <row r="130" spans="1:33" x14ac:dyDescent="0.25">
      <c r="A130" s="49">
        <f>+'A) Base RI'!A132</f>
        <v>5613</v>
      </c>
      <c r="B130" s="484" t="str">
        <f>+'A) Base RI'!B132</f>
        <v>Bourg-en-Lavaux</v>
      </c>
      <c r="C130" s="304">
        <f>+'D) Ecrêtage'!C130</f>
        <v>343828.17631999997</v>
      </c>
      <c r="D130" s="440">
        <v>213528</v>
      </c>
      <c r="E130" s="440">
        <f t="shared" si="12"/>
        <v>1335733</v>
      </c>
      <c r="F130" s="518">
        <f t="shared" si="13"/>
        <v>3.8848852188217315</v>
      </c>
      <c r="G130" s="440">
        <v>1549261</v>
      </c>
      <c r="H130" s="440">
        <v>382357</v>
      </c>
      <c r="I130" s="438">
        <v>623387</v>
      </c>
      <c r="J130" s="304">
        <f t="shared" si="14"/>
        <v>2555005</v>
      </c>
      <c r="K130" s="284">
        <f t="shared" si="15"/>
        <v>2750625.4105599998</v>
      </c>
      <c r="L130" s="10">
        <f t="shared" si="16"/>
        <v>0</v>
      </c>
      <c r="M130" s="301">
        <f t="shared" si="17"/>
        <v>0</v>
      </c>
      <c r="N130" s="10">
        <v>0</v>
      </c>
      <c r="O130" s="10">
        <f t="shared" si="18"/>
        <v>145215</v>
      </c>
      <c r="P130" s="442">
        <v>145215</v>
      </c>
      <c r="Q130" s="10">
        <f t="shared" si="19"/>
        <v>343828.17631999997</v>
      </c>
      <c r="R130" s="14">
        <f t="shared" si="20"/>
        <v>0</v>
      </c>
      <c r="S130" s="2">
        <f t="shared" si="21"/>
        <v>0</v>
      </c>
      <c r="T130" s="130">
        <f t="shared" si="22"/>
        <v>0</v>
      </c>
      <c r="U130" s="437">
        <f t="shared" si="23"/>
        <v>0</v>
      </c>
      <c r="V130" s="126"/>
      <c r="W130" s="526"/>
      <c r="X130" s="526"/>
      <c r="Y130" s="526"/>
      <c r="Z130" s="526"/>
      <c r="AA130" s="526"/>
      <c r="AB130" s="526"/>
      <c r="AC130" s="423"/>
      <c r="AD130" s="423"/>
      <c r="AE130" s="423"/>
      <c r="AF130" s="423"/>
      <c r="AG130" s="423"/>
    </row>
    <row r="131" spans="1:33" x14ac:dyDescent="0.25">
      <c r="A131" s="49">
        <f>+'A) Base RI'!A133</f>
        <v>5621</v>
      </c>
      <c r="B131" s="484" t="str">
        <f>+'A) Base RI'!B133</f>
        <v>Aclens</v>
      </c>
      <c r="C131" s="304">
        <f>+'D) Ecrêtage'!C131</f>
        <v>32411.912521994131</v>
      </c>
      <c r="D131" s="440">
        <v>67577</v>
      </c>
      <c r="E131" s="440">
        <f t="shared" si="12"/>
        <v>171615</v>
      </c>
      <c r="F131" s="518">
        <f t="shared" si="13"/>
        <v>5.2948125132555877</v>
      </c>
      <c r="G131" s="440">
        <v>239192</v>
      </c>
      <c r="H131" s="440">
        <v>21460</v>
      </c>
      <c r="I131" s="438">
        <v>50400</v>
      </c>
      <c r="J131" s="304">
        <f t="shared" si="14"/>
        <v>311052</v>
      </c>
      <c r="K131" s="284">
        <f t="shared" si="15"/>
        <v>259295.30017595305</v>
      </c>
      <c r="L131" s="10">
        <f t="shared" si="16"/>
        <v>51756.699824046955</v>
      </c>
      <c r="M131" s="301">
        <f t="shared" si="17"/>
        <v>-38817.524868035216</v>
      </c>
      <c r="N131" s="10">
        <v>0</v>
      </c>
      <c r="O131" s="10">
        <f t="shared" si="18"/>
        <v>11253</v>
      </c>
      <c r="P131" s="442">
        <v>11253</v>
      </c>
      <c r="Q131" s="10">
        <f t="shared" si="19"/>
        <v>32411.912521994131</v>
      </c>
      <c r="R131" s="14">
        <f t="shared" si="20"/>
        <v>0</v>
      </c>
      <c r="S131" s="2">
        <f t="shared" si="21"/>
        <v>0</v>
      </c>
      <c r="T131" s="130">
        <f t="shared" si="22"/>
        <v>-38817.524868035216</v>
      </c>
      <c r="U131" s="437">
        <f t="shared" si="23"/>
        <v>-1.1976314215242421</v>
      </c>
      <c r="V131" s="126"/>
      <c r="W131" s="526"/>
      <c r="X131" s="526"/>
      <c r="Y131" s="526"/>
      <c r="Z131" s="526"/>
      <c r="AA131" s="526"/>
      <c r="AB131" s="526"/>
      <c r="AC131" s="423"/>
      <c r="AD131" s="423"/>
      <c r="AE131" s="423"/>
      <c r="AF131" s="423"/>
      <c r="AG131" s="423"/>
    </row>
    <row r="132" spans="1:33" x14ac:dyDescent="0.25">
      <c r="A132" s="49">
        <f>+'A) Base RI'!A134</f>
        <v>5622</v>
      </c>
      <c r="B132" s="484" t="str">
        <f>+'A) Base RI'!B134</f>
        <v>Bremblens</v>
      </c>
      <c r="C132" s="304">
        <f>+'D) Ecrêtage'!C132</f>
        <v>27803.201911764703</v>
      </c>
      <c r="D132" s="440">
        <v>7185</v>
      </c>
      <c r="E132" s="440">
        <f t="shared" si="12"/>
        <v>83206</v>
      </c>
      <c r="F132" s="518">
        <f t="shared" si="13"/>
        <v>2.9926768961380685</v>
      </c>
      <c r="G132" s="440">
        <v>90391</v>
      </c>
      <c r="H132" s="440">
        <v>22974</v>
      </c>
      <c r="I132" s="438">
        <v>61470</v>
      </c>
      <c r="J132" s="304">
        <f t="shared" si="14"/>
        <v>174835</v>
      </c>
      <c r="K132" s="284">
        <f t="shared" si="15"/>
        <v>222425.61529411763</v>
      </c>
      <c r="L132" s="10">
        <f t="shared" si="16"/>
        <v>0</v>
      </c>
      <c r="M132" s="301">
        <f t="shared" si="17"/>
        <v>0</v>
      </c>
      <c r="N132" s="10">
        <v>0</v>
      </c>
      <c r="O132" s="10">
        <f t="shared" si="18"/>
        <v>2400</v>
      </c>
      <c r="P132" s="442">
        <v>2400</v>
      </c>
      <c r="Q132" s="10">
        <f t="shared" si="19"/>
        <v>27803.201911764703</v>
      </c>
      <c r="R132" s="14">
        <f t="shared" si="20"/>
        <v>0</v>
      </c>
      <c r="S132" s="2">
        <f t="shared" si="21"/>
        <v>0</v>
      </c>
      <c r="T132" s="130">
        <f t="shared" si="22"/>
        <v>0</v>
      </c>
      <c r="U132" s="437">
        <f t="shared" si="23"/>
        <v>0</v>
      </c>
      <c r="V132" s="126"/>
      <c r="W132" s="526"/>
      <c r="X132" s="526"/>
      <c r="Y132" s="526"/>
      <c r="Z132" s="526"/>
      <c r="AA132" s="526"/>
      <c r="AB132" s="526"/>
      <c r="AC132" s="423"/>
      <c r="AD132" s="423"/>
      <c r="AE132" s="423"/>
      <c r="AF132" s="423"/>
      <c r="AG132" s="423"/>
    </row>
    <row r="133" spans="1:33" x14ac:dyDescent="0.25">
      <c r="A133" s="49">
        <f>+'A) Base RI'!A135</f>
        <v>5623</v>
      </c>
      <c r="B133" s="484" t="str">
        <f>+'A) Base RI'!B135</f>
        <v>Buchillon</v>
      </c>
      <c r="C133" s="304">
        <f>+'D) Ecrêtage'!C133</f>
        <v>94394.012307692305</v>
      </c>
      <c r="D133" s="440">
        <v>0</v>
      </c>
      <c r="E133" s="440">
        <f t="shared" si="12"/>
        <v>80511</v>
      </c>
      <c r="F133" s="518">
        <f t="shared" si="13"/>
        <v>0.85292486283517199</v>
      </c>
      <c r="G133" s="440">
        <v>80511</v>
      </c>
      <c r="H133" s="440">
        <v>71367</v>
      </c>
      <c r="I133" s="438">
        <v>62757</v>
      </c>
      <c r="J133" s="304">
        <f t="shared" si="14"/>
        <v>214635</v>
      </c>
      <c r="K133" s="284">
        <f t="shared" si="15"/>
        <v>755152.09846153844</v>
      </c>
      <c r="L133" s="10">
        <f t="shared" si="16"/>
        <v>0</v>
      </c>
      <c r="M133" s="301">
        <f t="shared" si="17"/>
        <v>0</v>
      </c>
      <c r="N133" s="10">
        <v>0</v>
      </c>
      <c r="O133" s="10">
        <f t="shared" si="18"/>
        <v>12926</v>
      </c>
      <c r="P133" s="442">
        <v>12926</v>
      </c>
      <c r="Q133" s="10">
        <f t="shared" si="19"/>
        <v>94394.012307692305</v>
      </c>
      <c r="R133" s="14">
        <f t="shared" si="20"/>
        <v>0</v>
      </c>
      <c r="S133" s="2">
        <f t="shared" si="21"/>
        <v>0</v>
      </c>
      <c r="T133" s="130">
        <f t="shared" si="22"/>
        <v>0</v>
      </c>
      <c r="U133" s="437">
        <f t="shared" si="23"/>
        <v>0</v>
      </c>
      <c r="V133" s="126"/>
      <c r="W133" s="526"/>
      <c r="X133" s="526"/>
      <c r="Y133" s="526"/>
      <c r="Z133" s="526"/>
      <c r="AA133" s="526"/>
      <c r="AB133" s="526"/>
      <c r="AC133" s="423"/>
      <c r="AD133" s="423"/>
      <c r="AE133" s="423"/>
      <c r="AF133" s="423"/>
      <c r="AG133" s="423"/>
    </row>
    <row r="134" spans="1:33" x14ac:dyDescent="0.25">
      <c r="A134" s="49">
        <f>+'A) Base RI'!A136</f>
        <v>5624</v>
      </c>
      <c r="B134" s="484" t="str">
        <f>+'A) Base RI'!B136</f>
        <v>Bussigny</v>
      </c>
      <c r="C134" s="304">
        <f>+'D) Ecrêtage'!C134</f>
        <v>351876.09247999993</v>
      </c>
      <c r="D134" s="440">
        <v>-5614.3</v>
      </c>
      <c r="E134" s="440">
        <f t="shared" ref="E134:E197" si="24">G134-D134</f>
        <v>1366231.6500000001</v>
      </c>
      <c r="F134" s="518">
        <f t="shared" ref="F134:F197" si="25">+E134/C134</f>
        <v>3.882706666346349</v>
      </c>
      <c r="G134" s="440">
        <v>1360617.35</v>
      </c>
      <c r="H134" s="440">
        <v>2981287.4</v>
      </c>
      <c r="I134" s="438">
        <v>259647.7</v>
      </c>
      <c r="J134" s="304">
        <f t="shared" ref="J134:J197" si="26">SUM(G134:I134)</f>
        <v>4601552.45</v>
      </c>
      <c r="K134" s="284">
        <f t="shared" ref="K134:K197" si="27">+C134*$L$4</f>
        <v>2815008.7398399995</v>
      </c>
      <c r="L134" s="10">
        <f t="shared" ref="L134:L197" si="28">IF(J134&gt;K134,J134-K134,0)</f>
        <v>1786543.7101600007</v>
      </c>
      <c r="M134" s="301">
        <f t="shared" ref="M134:M197" si="29">-L134*M$4</f>
        <v>-1339907.7826200007</v>
      </c>
      <c r="N134" s="10">
        <v>0</v>
      </c>
      <c r="O134" s="10">
        <f t="shared" ref="O134:O197" si="30">P134-N134</f>
        <v>208419.82</v>
      </c>
      <c r="P134" s="442">
        <v>208419.82</v>
      </c>
      <c r="Q134" s="10">
        <f t="shared" ref="Q134:Q197" si="31">C134*R$4</f>
        <v>351876.09247999993</v>
      </c>
      <c r="R134" s="14">
        <f t="shared" ref="R134:R197" si="32">IF(P134&gt;Q134,P134-Q134,0)</f>
        <v>0</v>
      </c>
      <c r="S134" s="2">
        <f t="shared" ref="S134:S197" si="33">-R134*S$4</f>
        <v>0</v>
      </c>
      <c r="T134" s="130">
        <f t="shared" ref="T134:T197" si="34">S134+M134</f>
        <v>-1339907.7826200007</v>
      </c>
      <c r="U134" s="437">
        <f t="shared" ref="U134:U197" si="35">+T134/C134</f>
        <v>-3.8078966183136154</v>
      </c>
      <c r="V134" s="126"/>
      <c r="W134" s="526"/>
      <c r="X134" s="526"/>
      <c r="Y134" s="526"/>
      <c r="Z134" s="526"/>
      <c r="AA134" s="526"/>
      <c r="AB134" s="526"/>
      <c r="AC134" s="423"/>
      <c r="AD134" s="423"/>
      <c r="AE134" s="423"/>
      <c r="AF134" s="423"/>
      <c r="AG134" s="423"/>
    </row>
    <row r="135" spans="1:33" x14ac:dyDescent="0.25">
      <c r="A135" s="49">
        <f>+'A) Base RI'!A137</f>
        <v>5625</v>
      </c>
      <c r="B135" s="484" t="str">
        <f>+'A) Base RI'!B137</f>
        <v>Bussy-Chardonney</v>
      </c>
      <c r="C135" s="304">
        <f>+'D) Ecrêtage'!C135</f>
        <v>17740.486103896103</v>
      </c>
      <c r="D135" s="440">
        <v>0</v>
      </c>
      <c r="E135" s="440">
        <f t="shared" si="24"/>
        <v>76757</v>
      </c>
      <c r="F135" s="518">
        <f t="shared" si="25"/>
        <v>4.3266570910445852</v>
      </c>
      <c r="G135" s="440">
        <v>76757</v>
      </c>
      <c r="H135" s="440">
        <v>38223</v>
      </c>
      <c r="I135" s="438">
        <v>48580</v>
      </c>
      <c r="J135" s="304">
        <f t="shared" si="26"/>
        <v>163560</v>
      </c>
      <c r="K135" s="284">
        <f t="shared" si="27"/>
        <v>141923.88883116882</v>
      </c>
      <c r="L135" s="10">
        <f t="shared" si="28"/>
        <v>21636.111168831179</v>
      </c>
      <c r="M135" s="301">
        <f t="shared" si="29"/>
        <v>-16227.083376623385</v>
      </c>
      <c r="N135" s="10">
        <v>0</v>
      </c>
      <c r="O135" s="10">
        <f t="shared" si="30"/>
        <v>0</v>
      </c>
      <c r="P135" s="442">
        <v>0</v>
      </c>
      <c r="Q135" s="10">
        <f t="shared" si="31"/>
        <v>17740.486103896103</v>
      </c>
      <c r="R135" s="14">
        <f t="shared" si="32"/>
        <v>0</v>
      </c>
      <c r="S135" s="2">
        <f t="shared" si="33"/>
        <v>0</v>
      </c>
      <c r="T135" s="130">
        <f t="shared" si="34"/>
        <v>-16227.083376623385</v>
      </c>
      <c r="U135" s="437">
        <f t="shared" si="35"/>
        <v>-0.91469215001158566</v>
      </c>
      <c r="V135" s="126"/>
      <c r="W135" s="526"/>
      <c r="X135" s="526"/>
      <c r="Y135" s="526"/>
      <c r="Z135" s="526"/>
      <c r="AA135" s="526"/>
      <c r="AB135" s="526"/>
      <c r="AC135" s="423"/>
      <c r="AD135" s="423"/>
      <c r="AE135" s="423"/>
      <c r="AF135" s="423"/>
      <c r="AG135" s="423"/>
    </row>
    <row r="136" spans="1:33" x14ac:dyDescent="0.25">
      <c r="A136" s="49">
        <f>+'A) Base RI'!A138</f>
        <v>5627</v>
      </c>
      <c r="B136" s="484" t="str">
        <f>+'A) Base RI'!B138</f>
        <v>Chavannes-près-Renens</v>
      </c>
      <c r="C136" s="304">
        <f>+'D) Ecrêtage'!C136</f>
        <v>161901.70176344088</v>
      </c>
      <c r="D136" s="440">
        <v>18675</v>
      </c>
      <c r="E136" s="440">
        <f t="shared" si="24"/>
        <v>780691</v>
      </c>
      <c r="F136" s="518">
        <f t="shared" si="25"/>
        <v>4.8220061401250094</v>
      </c>
      <c r="G136" s="440">
        <v>799366</v>
      </c>
      <c r="H136" s="440">
        <v>2480530</v>
      </c>
      <c r="I136" s="438">
        <v>2340</v>
      </c>
      <c r="J136" s="304">
        <f t="shared" si="26"/>
        <v>3282236</v>
      </c>
      <c r="K136" s="284">
        <f t="shared" si="27"/>
        <v>1295213.6141075271</v>
      </c>
      <c r="L136" s="10">
        <f t="shared" si="28"/>
        <v>1987022.3858924729</v>
      </c>
      <c r="M136" s="301">
        <f t="shared" si="29"/>
        <v>-1490266.7894193546</v>
      </c>
      <c r="N136" s="10">
        <v>0</v>
      </c>
      <c r="O136" s="10">
        <f t="shared" si="30"/>
        <v>11150</v>
      </c>
      <c r="P136" s="442">
        <v>11150</v>
      </c>
      <c r="Q136" s="10">
        <f t="shared" si="31"/>
        <v>161901.70176344088</v>
      </c>
      <c r="R136" s="14">
        <f t="shared" si="32"/>
        <v>0</v>
      </c>
      <c r="S136" s="2">
        <f t="shared" si="33"/>
        <v>0</v>
      </c>
      <c r="T136" s="130">
        <f t="shared" si="34"/>
        <v>-1490266.7894193546</v>
      </c>
      <c r="U136" s="437">
        <f t="shared" si="35"/>
        <v>-9.2047629715271633</v>
      </c>
      <c r="V136" s="126"/>
      <c r="W136" s="526"/>
      <c r="X136" s="526"/>
      <c r="Y136" s="526"/>
      <c r="Z136" s="526"/>
      <c r="AA136" s="526"/>
      <c r="AB136" s="526"/>
      <c r="AC136" s="423"/>
      <c r="AD136" s="423"/>
      <c r="AE136" s="423"/>
      <c r="AF136" s="423"/>
      <c r="AG136" s="423"/>
    </row>
    <row r="137" spans="1:33" x14ac:dyDescent="0.25">
      <c r="A137" s="49">
        <f>+'A) Base RI'!A139</f>
        <v>5628</v>
      </c>
      <c r="B137" s="484" t="str">
        <f>+'A) Base RI'!B139</f>
        <v>Chigny</v>
      </c>
      <c r="C137" s="304">
        <f>+'D) Ecrêtage'!C137</f>
        <v>24624.530161290324</v>
      </c>
      <c r="D137" s="440">
        <v>0</v>
      </c>
      <c r="E137" s="440">
        <f t="shared" si="24"/>
        <v>17525</v>
      </c>
      <c r="F137" s="518">
        <f t="shared" si="25"/>
        <v>0.71168870574226184</v>
      </c>
      <c r="G137" s="440">
        <v>17525</v>
      </c>
      <c r="H137" s="440">
        <v>38024</v>
      </c>
      <c r="I137" s="438">
        <v>35116</v>
      </c>
      <c r="J137" s="304">
        <f t="shared" si="26"/>
        <v>90665</v>
      </c>
      <c r="K137" s="284">
        <f t="shared" si="27"/>
        <v>196996.24129032259</v>
      </c>
      <c r="L137" s="10">
        <f t="shared" si="28"/>
        <v>0</v>
      </c>
      <c r="M137" s="301">
        <f t="shared" si="29"/>
        <v>0</v>
      </c>
      <c r="N137" s="10">
        <v>0</v>
      </c>
      <c r="O137" s="10">
        <f t="shared" si="30"/>
        <v>-1121</v>
      </c>
      <c r="P137" s="442">
        <v>-1121</v>
      </c>
      <c r="Q137" s="10">
        <f t="shared" si="31"/>
        <v>24624.530161290324</v>
      </c>
      <c r="R137" s="14">
        <f t="shared" si="32"/>
        <v>0</v>
      </c>
      <c r="S137" s="2">
        <f t="shared" si="33"/>
        <v>0</v>
      </c>
      <c r="T137" s="130">
        <f t="shared" si="34"/>
        <v>0</v>
      </c>
      <c r="U137" s="437">
        <f t="shared" si="35"/>
        <v>0</v>
      </c>
      <c r="V137" s="126"/>
      <c r="W137" s="526"/>
      <c r="X137" s="526"/>
      <c r="Y137" s="526"/>
      <c r="Z137" s="526"/>
      <c r="AA137" s="526"/>
      <c r="AB137" s="526"/>
      <c r="AC137" s="423"/>
      <c r="AD137" s="423"/>
      <c r="AE137" s="423"/>
      <c r="AF137" s="423"/>
      <c r="AG137" s="423"/>
    </row>
    <row r="138" spans="1:33" x14ac:dyDescent="0.25">
      <c r="A138" s="49">
        <f>+'A) Base RI'!A140</f>
        <v>5629</v>
      </c>
      <c r="B138" s="484" t="str">
        <f>+'A) Base RI'!B140</f>
        <v>Clarmont</v>
      </c>
      <c r="C138" s="304">
        <f>+'D) Ecrêtage'!C138</f>
        <v>8521.2598639455773</v>
      </c>
      <c r="D138" s="440">
        <v>63812</v>
      </c>
      <c r="E138" s="440">
        <f t="shared" si="24"/>
        <v>19610</v>
      </c>
      <c r="F138" s="518">
        <f t="shared" si="25"/>
        <v>2.3013028957105446</v>
      </c>
      <c r="G138" s="440">
        <v>83422</v>
      </c>
      <c r="H138" s="440">
        <v>7605</v>
      </c>
      <c r="I138" s="438">
        <v>26045</v>
      </c>
      <c r="J138" s="304">
        <f t="shared" si="26"/>
        <v>117072</v>
      </c>
      <c r="K138" s="284">
        <f t="shared" si="27"/>
        <v>68170.078911564618</v>
      </c>
      <c r="L138" s="10">
        <f t="shared" si="28"/>
        <v>48901.921088435382</v>
      </c>
      <c r="M138" s="301">
        <f t="shared" si="29"/>
        <v>-36676.440816326533</v>
      </c>
      <c r="N138" s="10">
        <v>0</v>
      </c>
      <c r="O138" s="10">
        <f t="shared" si="30"/>
        <v>57</v>
      </c>
      <c r="P138" s="442">
        <v>57</v>
      </c>
      <c r="Q138" s="10">
        <f t="shared" si="31"/>
        <v>8521.2598639455773</v>
      </c>
      <c r="R138" s="14">
        <f t="shared" si="32"/>
        <v>0</v>
      </c>
      <c r="S138" s="2">
        <f t="shared" si="33"/>
        <v>0</v>
      </c>
      <c r="T138" s="130">
        <f t="shared" si="34"/>
        <v>-36676.440816326533</v>
      </c>
      <c r="U138" s="437">
        <f t="shared" si="35"/>
        <v>-4.3041101200901917</v>
      </c>
      <c r="V138" s="126"/>
      <c r="W138" s="526"/>
      <c r="X138" s="526"/>
      <c r="Y138" s="526"/>
      <c r="Z138" s="526"/>
      <c r="AA138" s="526"/>
      <c r="AB138" s="526"/>
      <c r="AC138" s="423"/>
      <c r="AD138" s="423"/>
      <c r="AE138" s="423"/>
      <c r="AF138" s="423"/>
      <c r="AG138" s="423"/>
    </row>
    <row r="139" spans="1:33" x14ac:dyDescent="0.25">
      <c r="A139" s="49">
        <f>+'A) Base RI'!A141</f>
        <v>5631</v>
      </c>
      <c r="B139" s="484" t="str">
        <f>+'A) Base RI'!B141</f>
        <v>Denens</v>
      </c>
      <c r="C139" s="304">
        <f>+'D) Ecrêtage'!C139</f>
        <v>43455.14235294117</v>
      </c>
      <c r="D139" s="440">
        <v>0</v>
      </c>
      <c r="E139" s="440">
        <f t="shared" si="24"/>
        <v>85183</v>
      </c>
      <c r="F139" s="518">
        <f t="shared" si="25"/>
        <v>1.9602513163608257</v>
      </c>
      <c r="G139" s="440">
        <v>85183</v>
      </c>
      <c r="H139" s="440">
        <v>29543</v>
      </c>
      <c r="I139" s="438">
        <v>73700</v>
      </c>
      <c r="J139" s="304">
        <f t="shared" si="26"/>
        <v>188426</v>
      </c>
      <c r="K139" s="284">
        <f t="shared" si="27"/>
        <v>347641.13882352936</v>
      </c>
      <c r="L139" s="10">
        <f t="shared" si="28"/>
        <v>0</v>
      </c>
      <c r="M139" s="301">
        <f t="shared" si="29"/>
        <v>0</v>
      </c>
      <c r="N139" s="10">
        <v>0</v>
      </c>
      <c r="O139" s="10">
        <f t="shared" si="30"/>
        <v>1804</v>
      </c>
      <c r="P139" s="442">
        <v>1804</v>
      </c>
      <c r="Q139" s="10">
        <f t="shared" si="31"/>
        <v>43455.14235294117</v>
      </c>
      <c r="R139" s="14">
        <f t="shared" si="32"/>
        <v>0</v>
      </c>
      <c r="S139" s="2">
        <f t="shared" si="33"/>
        <v>0</v>
      </c>
      <c r="T139" s="130">
        <f t="shared" si="34"/>
        <v>0</v>
      </c>
      <c r="U139" s="437">
        <f t="shared" si="35"/>
        <v>0</v>
      </c>
      <c r="V139" s="126"/>
      <c r="W139" s="526"/>
      <c r="X139" s="526"/>
      <c r="Y139" s="526"/>
      <c r="Z139" s="526"/>
      <c r="AA139" s="526"/>
      <c r="AB139" s="526"/>
      <c r="AC139" s="423"/>
      <c r="AD139" s="423"/>
      <c r="AE139" s="423"/>
      <c r="AF139" s="423"/>
      <c r="AG139" s="423"/>
    </row>
    <row r="140" spans="1:33" x14ac:dyDescent="0.25">
      <c r="A140" s="49">
        <f>+'A) Base RI'!A142</f>
        <v>5632</v>
      </c>
      <c r="B140" s="484" t="str">
        <f>+'A) Base RI'!B142</f>
        <v>Denges</v>
      </c>
      <c r="C140" s="304">
        <f>+'D) Ecrêtage'!C140</f>
        <v>76479.966774193541</v>
      </c>
      <c r="D140" s="440">
        <v>3105</v>
      </c>
      <c r="E140" s="440">
        <f t="shared" si="24"/>
        <v>155148</v>
      </c>
      <c r="F140" s="518">
        <f t="shared" si="25"/>
        <v>2.0286096679156933</v>
      </c>
      <c r="G140" s="440">
        <v>158253</v>
      </c>
      <c r="H140" s="440">
        <v>534020</v>
      </c>
      <c r="I140" s="438">
        <v>47894</v>
      </c>
      <c r="J140" s="304">
        <f t="shared" si="26"/>
        <v>740167</v>
      </c>
      <c r="K140" s="284">
        <f t="shared" si="27"/>
        <v>611839.73419354833</v>
      </c>
      <c r="L140" s="10">
        <f t="shared" si="28"/>
        <v>128327.26580645167</v>
      </c>
      <c r="M140" s="301">
        <f t="shared" si="29"/>
        <v>-96245.449354838755</v>
      </c>
      <c r="N140" s="10">
        <v>0</v>
      </c>
      <c r="O140" s="10">
        <f t="shared" si="30"/>
        <v>-1499</v>
      </c>
      <c r="P140" s="442">
        <v>-1499</v>
      </c>
      <c r="Q140" s="10">
        <f t="shared" si="31"/>
        <v>76479.966774193541</v>
      </c>
      <c r="R140" s="14">
        <f t="shared" si="32"/>
        <v>0</v>
      </c>
      <c r="S140" s="2">
        <f t="shared" si="33"/>
        <v>0</v>
      </c>
      <c r="T140" s="130">
        <f t="shared" si="34"/>
        <v>-96245.449354838755</v>
      </c>
      <c r="U140" s="437">
        <f t="shared" si="35"/>
        <v>-1.2584399995753481</v>
      </c>
      <c r="V140" s="126"/>
      <c r="W140" s="526"/>
      <c r="X140" s="526"/>
      <c r="Y140" s="526"/>
      <c r="Z140" s="526"/>
      <c r="AA140" s="526"/>
      <c r="AB140" s="526"/>
      <c r="AC140" s="423"/>
      <c r="AD140" s="423"/>
      <c r="AE140" s="423"/>
      <c r="AF140" s="423"/>
      <c r="AG140" s="423"/>
    </row>
    <row r="141" spans="1:33" x14ac:dyDescent="0.25">
      <c r="A141" s="49">
        <f>+'A) Base RI'!A143</f>
        <v>5633</v>
      </c>
      <c r="B141" s="484" t="str">
        <f>+'A) Base RI'!B143</f>
        <v>Echandens</v>
      </c>
      <c r="C141" s="304">
        <f>+'D) Ecrêtage'!C141</f>
        <v>148489.97685950415</v>
      </c>
      <c r="D141" s="440">
        <v>331181</v>
      </c>
      <c r="E141" s="440">
        <f t="shared" si="24"/>
        <v>693951</v>
      </c>
      <c r="F141" s="518">
        <f t="shared" si="25"/>
        <v>4.6733861414537854</v>
      </c>
      <c r="G141" s="440">
        <v>1025132</v>
      </c>
      <c r="H141" s="440">
        <v>898284</v>
      </c>
      <c r="I141" s="438">
        <v>103694</v>
      </c>
      <c r="J141" s="304">
        <f t="shared" si="26"/>
        <v>2027110</v>
      </c>
      <c r="K141" s="284">
        <f t="shared" si="27"/>
        <v>1187919.8148760332</v>
      </c>
      <c r="L141" s="10">
        <f t="shared" si="28"/>
        <v>839190.18512396677</v>
      </c>
      <c r="M141" s="301">
        <f t="shared" si="29"/>
        <v>-629392.63884297502</v>
      </c>
      <c r="N141" s="10">
        <v>0</v>
      </c>
      <c r="O141" s="10">
        <f t="shared" si="30"/>
        <v>-4989</v>
      </c>
      <c r="P141" s="442">
        <v>-4989</v>
      </c>
      <c r="Q141" s="10">
        <f t="shared" si="31"/>
        <v>148489.97685950415</v>
      </c>
      <c r="R141" s="14">
        <f t="shared" si="32"/>
        <v>0</v>
      </c>
      <c r="S141" s="2">
        <f t="shared" si="33"/>
        <v>0</v>
      </c>
      <c r="T141" s="130">
        <f t="shared" si="34"/>
        <v>-629392.63884297502</v>
      </c>
      <c r="U141" s="437">
        <f t="shared" si="35"/>
        <v>-4.2386203577799977</v>
      </c>
      <c r="V141" s="126"/>
      <c r="W141" s="526"/>
      <c r="X141" s="526"/>
      <c r="Y141" s="526"/>
      <c r="Z141" s="526"/>
      <c r="AA141" s="526"/>
      <c r="AB141" s="526"/>
      <c r="AC141" s="423"/>
      <c r="AD141" s="423"/>
      <c r="AE141" s="423"/>
      <c r="AF141" s="423"/>
      <c r="AG141" s="423"/>
    </row>
    <row r="142" spans="1:33" x14ac:dyDescent="0.25">
      <c r="A142" s="49">
        <f>+'A) Base RI'!A144</f>
        <v>5634</v>
      </c>
      <c r="B142" s="484" t="str">
        <f>+'A) Base RI'!B144</f>
        <v>Echichens</v>
      </c>
      <c r="C142" s="304">
        <f>+'D) Ecrêtage'!C142</f>
        <v>164177.5981818182</v>
      </c>
      <c r="D142" s="440">
        <v>146675</v>
      </c>
      <c r="E142" s="440">
        <f t="shared" si="24"/>
        <v>258186</v>
      </c>
      <c r="F142" s="518">
        <f t="shared" si="25"/>
        <v>1.5726018827128434</v>
      </c>
      <c r="G142" s="440">
        <v>404861</v>
      </c>
      <c r="H142" s="440">
        <v>618354</v>
      </c>
      <c r="I142" s="438">
        <v>254733</v>
      </c>
      <c r="J142" s="304">
        <f t="shared" si="26"/>
        <v>1277948</v>
      </c>
      <c r="K142" s="284">
        <f t="shared" si="27"/>
        <v>1313420.7854545456</v>
      </c>
      <c r="L142" s="10">
        <f t="shared" si="28"/>
        <v>0</v>
      </c>
      <c r="M142" s="301">
        <f t="shared" si="29"/>
        <v>0</v>
      </c>
      <c r="N142" s="10">
        <v>0</v>
      </c>
      <c r="O142" s="10">
        <f t="shared" si="30"/>
        <v>12937</v>
      </c>
      <c r="P142" s="442">
        <v>12937</v>
      </c>
      <c r="Q142" s="10">
        <f t="shared" si="31"/>
        <v>164177.5981818182</v>
      </c>
      <c r="R142" s="14">
        <f t="shared" si="32"/>
        <v>0</v>
      </c>
      <c r="S142" s="2">
        <f t="shared" si="33"/>
        <v>0</v>
      </c>
      <c r="T142" s="130">
        <f t="shared" si="34"/>
        <v>0</v>
      </c>
      <c r="U142" s="437">
        <f t="shared" si="35"/>
        <v>0</v>
      </c>
      <c r="V142" s="126"/>
      <c r="W142" s="526"/>
      <c r="X142" s="526"/>
      <c r="Y142" s="526"/>
      <c r="Z142" s="526"/>
      <c r="AA142" s="526"/>
      <c r="AB142" s="526"/>
      <c r="AC142" s="423"/>
      <c r="AD142" s="423"/>
      <c r="AE142" s="423"/>
      <c r="AF142" s="423"/>
      <c r="AG142" s="423"/>
    </row>
    <row r="143" spans="1:33" x14ac:dyDescent="0.25">
      <c r="A143" s="49">
        <f>+'A) Base RI'!A145</f>
        <v>5635</v>
      </c>
      <c r="B143" s="484" t="str">
        <f>+'A) Base RI'!B145</f>
        <v>Ecublens</v>
      </c>
      <c r="C143" s="304">
        <f>+'D) Ecrêtage'!C143</f>
        <v>681739.39309333346</v>
      </c>
      <c r="D143" s="440">
        <v>1114004</v>
      </c>
      <c r="E143" s="440">
        <f t="shared" si="24"/>
        <v>2590032</v>
      </c>
      <c r="F143" s="518">
        <f t="shared" si="25"/>
        <v>3.7991526179057278</v>
      </c>
      <c r="G143" s="440">
        <v>3704036</v>
      </c>
      <c r="H143" s="440">
        <v>4366357</v>
      </c>
      <c r="I143" s="438">
        <v>108973</v>
      </c>
      <c r="J143" s="304">
        <f t="shared" si="26"/>
        <v>8179366</v>
      </c>
      <c r="K143" s="284">
        <f t="shared" si="27"/>
        <v>5453915.1447466677</v>
      </c>
      <c r="L143" s="10">
        <f t="shared" si="28"/>
        <v>2725450.8552533323</v>
      </c>
      <c r="M143" s="301">
        <f t="shared" si="29"/>
        <v>-2044088.1414399992</v>
      </c>
      <c r="N143" s="10">
        <v>0</v>
      </c>
      <c r="O143" s="10">
        <f t="shared" si="30"/>
        <v>165089</v>
      </c>
      <c r="P143" s="442">
        <v>165089</v>
      </c>
      <c r="Q143" s="10">
        <f t="shared" si="31"/>
        <v>681739.39309333346</v>
      </c>
      <c r="R143" s="14">
        <f t="shared" si="32"/>
        <v>0</v>
      </c>
      <c r="S143" s="2">
        <f t="shared" si="33"/>
        <v>0</v>
      </c>
      <c r="T143" s="130">
        <f t="shared" si="34"/>
        <v>-2044088.1414399992</v>
      </c>
      <c r="U143" s="437">
        <f t="shared" si="35"/>
        <v>-2.9983424196233202</v>
      </c>
      <c r="V143" s="126"/>
      <c r="W143" s="526"/>
      <c r="X143" s="526"/>
      <c r="Y143" s="526"/>
      <c r="Z143" s="526"/>
      <c r="AA143" s="526"/>
      <c r="AB143" s="526"/>
      <c r="AC143" s="423"/>
      <c r="AD143" s="423"/>
      <c r="AE143" s="423"/>
      <c r="AF143" s="423"/>
      <c r="AG143" s="423"/>
    </row>
    <row r="144" spans="1:33" x14ac:dyDescent="0.25">
      <c r="A144" s="49">
        <f>+'A) Base RI'!A146</f>
        <v>5636</v>
      </c>
      <c r="B144" s="484" t="str">
        <f>+'A) Base RI'!B146</f>
        <v>Etoy</v>
      </c>
      <c r="C144" s="304">
        <f>+'D) Ecrêtage'!C144</f>
        <v>170715.46099999998</v>
      </c>
      <c r="D144" s="440">
        <v>93076</v>
      </c>
      <c r="E144" s="440">
        <f t="shared" si="24"/>
        <v>383530</v>
      </c>
      <c r="F144" s="518">
        <f t="shared" si="25"/>
        <v>2.2466037800759011</v>
      </c>
      <c r="G144" s="440">
        <v>476606</v>
      </c>
      <c r="H144" s="440">
        <v>363520</v>
      </c>
      <c r="I144" s="438">
        <v>301318</v>
      </c>
      <c r="J144" s="304">
        <f t="shared" si="26"/>
        <v>1141444</v>
      </c>
      <c r="K144" s="284">
        <f t="shared" si="27"/>
        <v>1365723.6879999998</v>
      </c>
      <c r="L144" s="10">
        <f t="shared" si="28"/>
        <v>0</v>
      </c>
      <c r="M144" s="301">
        <f t="shared" si="29"/>
        <v>0</v>
      </c>
      <c r="N144" s="10">
        <v>0</v>
      </c>
      <c r="O144" s="10">
        <f t="shared" si="30"/>
        <v>20069</v>
      </c>
      <c r="P144" s="442">
        <v>20069</v>
      </c>
      <c r="Q144" s="10">
        <f t="shared" si="31"/>
        <v>170715.46099999998</v>
      </c>
      <c r="R144" s="14">
        <f t="shared" si="32"/>
        <v>0</v>
      </c>
      <c r="S144" s="2">
        <f t="shared" si="33"/>
        <v>0</v>
      </c>
      <c r="T144" s="130">
        <f t="shared" si="34"/>
        <v>0</v>
      </c>
      <c r="U144" s="437">
        <f t="shared" si="35"/>
        <v>0</v>
      </c>
      <c r="V144" s="126"/>
      <c r="W144" s="526"/>
      <c r="X144" s="526"/>
      <c r="Y144" s="526"/>
      <c r="Z144" s="526"/>
      <c r="AA144" s="526"/>
      <c r="AB144" s="526"/>
      <c r="AC144" s="423"/>
      <c r="AD144" s="423"/>
      <c r="AE144" s="423"/>
      <c r="AF144" s="423"/>
      <c r="AG144" s="423"/>
    </row>
    <row r="145" spans="1:33" x14ac:dyDescent="0.25">
      <c r="A145" s="49">
        <f>+'A) Base RI'!A147</f>
        <v>5637</v>
      </c>
      <c r="B145" s="484" t="str">
        <f>+'A) Base RI'!B147</f>
        <v>Lavigny</v>
      </c>
      <c r="C145" s="304">
        <f>+'D) Ecrêtage'!C145</f>
        <v>41194.659315068493</v>
      </c>
      <c r="D145" s="440">
        <v>17596</v>
      </c>
      <c r="E145" s="440">
        <f t="shared" si="24"/>
        <v>338339</v>
      </c>
      <c r="F145" s="518">
        <f t="shared" si="25"/>
        <v>8.2131763103631208</v>
      </c>
      <c r="G145" s="440">
        <v>355935</v>
      </c>
      <c r="H145" s="440">
        <v>63704</v>
      </c>
      <c r="I145" s="438">
        <v>107020</v>
      </c>
      <c r="J145" s="304">
        <f t="shared" si="26"/>
        <v>526659</v>
      </c>
      <c r="K145" s="284">
        <f t="shared" si="27"/>
        <v>329557.27452054794</v>
      </c>
      <c r="L145" s="10">
        <f t="shared" si="28"/>
        <v>197101.72547945206</v>
      </c>
      <c r="M145" s="301">
        <f t="shared" si="29"/>
        <v>-147826.29410958904</v>
      </c>
      <c r="N145" s="10">
        <v>0</v>
      </c>
      <c r="O145" s="10">
        <f t="shared" si="30"/>
        <v>0</v>
      </c>
      <c r="P145" s="442">
        <v>0</v>
      </c>
      <c r="Q145" s="10">
        <f t="shared" si="31"/>
        <v>41194.659315068493</v>
      </c>
      <c r="R145" s="14">
        <f t="shared" si="32"/>
        <v>0</v>
      </c>
      <c r="S145" s="2">
        <f t="shared" si="33"/>
        <v>0</v>
      </c>
      <c r="T145" s="130">
        <f t="shared" si="34"/>
        <v>-147826.29410958904</v>
      </c>
      <c r="U145" s="437">
        <f t="shared" si="35"/>
        <v>-3.5884820160538631</v>
      </c>
      <c r="V145" s="126"/>
      <c r="W145" s="526"/>
      <c r="X145" s="526"/>
      <c r="Y145" s="526"/>
      <c r="Z145" s="526"/>
      <c r="AA145" s="526"/>
      <c r="AB145" s="526"/>
      <c r="AC145" s="423"/>
      <c r="AD145" s="423"/>
      <c r="AE145" s="423"/>
      <c r="AF145" s="423"/>
      <c r="AG145" s="423"/>
    </row>
    <row r="146" spans="1:33" x14ac:dyDescent="0.25">
      <c r="A146" s="49">
        <f>+'A) Base RI'!A148</f>
        <v>5638</v>
      </c>
      <c r="B146" s="484" t="str">
        <f>+'A) Base RI'!B148</f>
        <v>Lonay</v>
      </c>
      <c r="C146" s="304">
        <f>+'D) Ecrêtage'!C146</f>
        <v>145490.01981818181</v>
      </c>
      <c r="D146" s="440">
        <v>194293</v>
      </c>
      <c r="E146" s="440">
        <f t="shared" si="24"/>
        <v>518725</v>
      </c>
      <c r="F146" s="518">
        <f t="shared" si="25"/>
        <v>3.5653648315413538</v>
      </c>
      <c r="G146" s="440">
        <v>713018</v>
      </c>
      <c r="H146" s="440">
        <v>989569</v>
      </c>
      <c r="I146" s="438">
        <v>83536</v>
      </c>
      <c r="J146" s="304">
        <f t="shared" si="26"/>
        <v>1786123</v>
      </c>
      <c r="K146" s="284">
        <f t="shared" si="27"/>
        <v>1163920.1585454545</v>
      </c>
      <c r="L146" s="10">
        <f t="shared" si="28"/>
        <v>622202.8414545455</v>
      </c>
      <c r="M146" s="301">
        <f t="shared" si="29"/>
        <v>-466652.13109090913</v>
      </c>
      <c r="N146" s="10">
        <v>0</v>
      </c>
      <c r="O146" s="10">
        <f t="shared" si="30"/>
        <v>24513</v>
      </c>
      <c r="P146" s="442">
        <v>24513</v>
      </c>
      <c r="Q146" s="10">
        <f t="shared" si="31"/>
        <v>145490.01981818181</v>
      </c>
      <c r="R146" s="14">
        <f t="shared" si="32"/>
        <v>0</v>
      </c>
      <c r="S146" s="2">
        <f t="shared" si="33"/>
        <v>0</v>
      </c>
      <c r="T146" s="130">
        <f t="shared" si="34"/>
        <v>-466652.13109090913</v>
      </c>
      <c r="U146" s="437">
        <f t="shared" si="35"/>
        <v>-3.2074511480174523</v>
      </c>
      <c r="V146" s="126"/>
      <c r="W146" s="526"/>
      <c r="X146" s="526"/>
      <c r="Y146" s="526"/>
      <c r="Z146" s="526"/>
      <c r="AA146" s="526"/>
      <c r="AB146" s="526"/>
      <c r="AC146" s="423"/>
      <c r="AD146" s="423"/>
      <c r="AE146" s="423"/>
      <c r="AF146" s="423"/>
      <c r="AG146" s="423"/>
    </row>
    <row r="147" spans="1:33" x14ac:dyDescent="0.25">
      <c r="A147" s="49">
        <f>+'A) Base RI'!A149</f>
        <v>5639</v>
      </c>
      <c r="B147" s="484" t="str">
        <f>+'A) Base RI'!B149</f>
        <v>Lully</v>
      </c>
      <c r="C147" s="304">
        <f>+'D) Ecrêtage'!C147</f>
        <v>45623.094262295082</v>
      </c>
      <c r="D147" s="440">
        <v>0</v>
      </c>
      <c r="E147" s="440">
        <f t="shared" si="24"/>
        <v>0</v>
      </c>
      <c r="F147" s="518">
        <f t="shared" si="25"/>
        <v>0</v>
      </c>
      <c r="G147" s="440">
        <v>0</v>
      </c>
      <c r="H147" s="440">
        <v>0</v>
      </c>
      <c r="I147" s="438">
        <v>0</v>
      </c>
      <c r="J147" s="304">
        <f t="shared" si="26"/>
        <v>0</v>
      </c>
      <c r="K147" s="284">
        <f t="shared" si="27"/>
        <v>364984.75409836066</v>
      </c>
      <c r="L147" s="10">
        <f t="shared" si="28"/>
        <v>0</v>
      </c>
      <c r="M147" s="301">
        <f t="shared" si="29"/>
        <v>0</v>
      </c>
      <c r="N147" s="10">
        <v>0</v>
      </c>
      <c r="O147" s="10">
        <f t="shared" si="30"/>
        <v>0</v>
      </c>
      <c r="P147" s="442">
        <v>0</v>
      </c>
      <c r="Q147" s="10">
        <f t="shared" si="31"/>
        <v>45623.094262295082</v>
      </c>
      <c r="R147" s="14">
        <f t="shared" si="32"/>
        <v>0</v>
      </c>
      <c r="S147" s="2">
        <f t="shared" si="33"/>
        <v>0</v>
      </c>
      <c r="T147" s="130">
        <f t="shared" si="34"/>
        <v>0</v>
      </c>
      <c r="U147" s="437">
        <f t="shared" si="35"/>
        <v>0</v>
      </c>
      <c r="V147" s="126"/>
      <c r="W147" s="526"/>
      <c r="X147" s="526"/>
      <c r="Y147" s="526"/>
      <c r="Z147" s="526"/>
      <c r="AA147" s="526"/>
      <c r="AB147" s="526"/>
      <c r="AC147" s="423"/>
      <c r="AD147" s="423"/>
      <c r="AE147" s="423"/>
      <c r="AF147" s="423"/>
      <c r="AG147" s="423"/>
    </row>
    <row r="148" spans="1:33" x14ac:dyDescent="0.25">
      <c r="A148" s="49">
        <f>+'A) Base RI'!A150</f>
        <v>5640</v>
      </c>
      <c r="B148" s="484" t="str">
        <f>+'A) Base RI'!B150</f>
        <v>Lussy-sur-Morges</v>
      </c>
      <c r="C148" s="304">
        <f>+'D) Ecrêtage'!C148</f>
        <v>57031.532424242418</v>
      </c>
      <c r="D148" s="440">
        <v>107476</v>
      </c>
      <c r="E148" s="440">
        <f t="shared" si="24"/>
        <v>32940</v>
      </c>
      <c r="F148" s="518">
        <f t="shared" si="25"/>
        <v>0.57757522198365796</v>
      </c>
      <c r="G148" s="440">
        <v>140416</v>
      </c>
      <c r="H148" s="440">
        <v>122759</v>
      </c>
      <c r="I148" s="438">
        <v>89735</v>
      </c>
      <c r="J148" s="304">
        <f t="shared" si="26"/>
        <v>352910</v>
      </c>
      <c r="K148" s="284">
        <f t="shared" si="27"/>
        <v>456252.25939393934</v>
      </c>
      <c r="L148" s="10">
        <f t="shared" si="28"/>
        <v>0</v>
      </c>
      <c r="M148" s="301">
        <f t="shared" si="29"/>
        <v>0</v>
      </c>
      <c r="N148" s="10">
        <v>0</v>
      </c>
      <c r="O148" s="10">
        <f t="shared" si="30"/>
        <v>4870</v>
      </c>
      <c r="P148" s="442">
        <v>4870</v>
      </c>
      <c r="Q148" s="10">
        <f t="shared" si="31"/>
        <v>57031.532424242418</v>
      </c>
      <c r="R148" s="14">
        <f t="shared" si="32"/>
        <v>0</v>
      </c>
      <c r="S148" s="2">
        <f t="shared" si="33"/>
        <v>0</v>
      </c>
      <c r="T148" s="130">
        <f t="shared" si="34"/>
        <v>0</v>
      </c>
      <c r="U148" s="437">
        <f t="shared" si="35"/>
        <v>0</v>
      </c>
      <c r="V148" s="126"/>
      <c r="W148" s="526"/>
      <c r="X148" s="526"/>
      <c r="Y148" s="526"/>
      <c r="Z148" s="526"/>
      <c r="AA148" s="526"/>
      <c r="AB148" s="526"/>
      <c r="AC148" s="423"/>
      <c r="AD148" s="423"/>
      <c r="AE148" s="423"/>
      <c r="AF148" s="423"/>
      <c r="AG148" s="423"/>
    </row>
    <row r="149" spans="1:33" x14ac:dyDescent="0.25">
      <c r="A149" s="49">
        <f>+'A) Base RI'!A151</f>
        <v>5642</v>
      </c>
      <c r="B149" s="484" t="str">
        <f>+'A) Base RI'!B151</f>
        <v>Morges</v>
      </c>
      <c r="C149" s="304">
        <f>+'D) Ecrêtage'!C149</f>
        <v>787513.11402985093</v>
      </c>
      <c r="D149" s="440">
        <v>723841</v>
      </c>
      <c r="E149" s="440">
        <f t="shared" si="24"/>
        <v>2058091</v>
      </c>
      <c r="F149" s="518">
        <f t="shared" si="25"/>
        <v>2.6134053685383929</v>
      </c>
      <c r="G149" s="440">
        <v>2781932</v>
      </c>
      <c r="H149" s="440">
        <v>5011152</v>
      </c>
      <c r="I149" s="438">
        <v>96480</v>
      </c>
      <c r="J149" s="304">
        <f t="shared" si="26"/>
        <v>7889564</v>
      </c>
      <c r="K149" s="284">
        <f t="shared" si="27"/>
        <v>6300104.9122388074</v>
      </c>
      <c r="L149" s="10">
        <f t="shared" si="28"/>
        <v>1589459.0877611926</v>
      </c>
      <c r="M149" s="301">
        <f t="shared" si="29"/>
        <v>-1192094.3158208944</v>
      </c>
      <c r="N149" s="10">
        <v>0</v>
      </c>
      <c r="O149" s="10">
        <f t="shared" si="30"/>
        <v>22292</v>
      </c>
      <c r="P149" s="442">
        <v>22292</v>
      </c>
      <c r="Q149" s="10">
        <f t="shared" si="31"/>
        <v>787513.11402985093</v>
      </c>
      <c r="R149" s="14">
        <f t="shared" si="32"/>
        <v>0</v>
      </c>
      <c r="S149" s="2">
        <f t="shared" si="33"/>
        <v>0</v>
      </c>
      <c r="T149" s="130">
        <f t="shared" si="34"/>
        <v>-1192094.3158208944</v>
      </c>
      <c r="U149" s="437">
        <f t="shared" si="35"/>
        <v>-1.5137453517703678</v>
      </c>
      <c r="V149" s="126"/>
      <c r="W149" s="526"/>
      <c r="X149" s="526"/>
      <c r="Y149" s="526"/>
      <c r="Z149" s="526"/>
      <c r="AA149" s="526"/>
      <c r="AB149" s="526"/>
      <c r="AC149" s="423"/>
      <c r="AD149" s="423"/>
      <c r="AE149" s="423"/>
      <c r="AF149" s="423"/>
      <c r="AG149" s="423"/>
    </row>
    <row r="150" spans="1:33" x14ac:dyDescent="0.25">
      <c r="A150" s="49">
        <f>+'A) Base RI'!A152</f>
        <v>5643</v>
      </c>
      <c r="B150" s="484" t="str">
        <f>+'A) Base RI'!B152</f>
        <v>Préverenges</v>
      </c>
      <c r="C150" s="304">
        <f>+'D) Ecrêtage'!C150</f>
        <v>262337.37167999998</v>
      </c>
      <c r="D150" s="440">
        <v>5</v>
      </c>
      <c r="E150" s="440">
        <f t="shared" si="24"/>
        <v>235856</v>
      </c>
      <c r="F150" s="518">
        <f t="shared" si="25"/>
        <v>0.89905604561632169</v>
      </c>
      <c r="G150" s="440">
        <v>235861</v>
      </c>
      <c r="H150" s="440">
        <v>1231727</v>
      </c>
      <c r="I150" s="438">
        <v>108539</v>
      </c>
      <c r="J150" s="304">
        <f t="shared" si="26"/>
        <v>1576127</v>
      </c>
      <c r="K150" s="284">
        <f t="shared" si="27"/>
        <v>2098698.9734399999</v>
      </c>
      <c r="L150" s="10">
        <f t="shared" si="28"/>
        <v>0</v>
      </c>
      <c r="M150" s="301">
        <f t="shared" si="29"/>
        <v>0</v>
      </c>
      <c r="N150" s="10">
        <v>0</v>
      </c>
      <c r="O150" s="10">
        <f t="shared" si="30"/>
        <v>150</v>
      </c>
      <c r="P150" s="442">
        <v>150</v>
      </c>
      <c r="Q150" s="10">
        <f t="shared" si="31"/>
        <v>262337.37167999998</v>
      </c>
      <c r="R150" s="14">
        <f t="shared" si="32"/>
        <v>0</v>
      </c>
      <c r="S150" s="2">
        <f t="shared" si="33"/>
        <v>0</v>
      </c>
      <c r="T150" s="130">
        <f t="shared" si="34"/>
        <v>0</v>
      </c>
      <c r="U150" s="437">
        <f t="shared" si="35"/>
        <v>0</v>
      </c>
      <c r="V150" s="126"/>
      <c r="W150" s="526"/>
      <c r="X150" s="526"/>
      <c r="Y150" s="526"/>
      <c r="Z150" s="526"/>
      <c r="AA150" s="526"/>
      <c r="AB150" s="526"/>
      <c r="AC150" s="423"/>
      <c r="AD150" s="423"/>
      <c r="AE150" s="423"/>
      <c r="AF150" s="423"/>
      <c r="AG150" s="423"/>
    </row>
    <row r="151" spans="1:33" x14ac:dyDescent="0.25">
      <c r="A151" s="49">
        <f>+'A) Base RI'!A153</f>
        <v>5644</v>
      </c>
      <c r="B151" s="484" t="str">
        <f>+'A) Base RI'!B153</f>
        <v>Reverolle</v>
      </c>
      <c r="C151" s="304">
        <f>+'D) Ecrêtage'!C151</f>
        <v>16020.747027027028</v>
      </c>
      <c r="D151" s="440">
        <v>32651</v>
      </c>
      <c r="E151" s="440">
        <f t="shared" si="24"/>
        <v>82208</v>
      </c>
      <c r="F151" s="518">
        <f t="shared" si="25"/>
        <v>5.1313462388061533</v>
      </c>
      <c r="G151" s="440">
        <v>114859</v>
      </c>
      <c r="H151" s="440">
        <v>32888</v>
      </c>
      <c r="I151" s="438">
        <v>61040</v>
      </c>
      <c r="J151" s="304">
        <f t="shared" si="26"/>
        <v>208787</v>
      </c>
      <c r="K151" s="284">
        <f t="shared" si="27"/>
        <v>128165.97621621622</v>
      </c>
      <c r="L151" s="10">
        <f t="shared" si="28"/>
        <v>80621.023783783778</v>
      </c>
      <c r="M151" s="301">
        <f t="shared" si="29"/>
        <v>-60465.767837837833</v>
      </c>
      <c r="N151" s="10">
        <v>0</v>
      </c>
      <c r="O151" s="10">
        <f t="shared" si="30"/>
        <v>1181</v>
      </c>
      <c r="P151" s="442">
        <v>1181</v>
      </c>
      <c r="Q151" s="10">
        <f t="shared" si="31"/>
        <v>16020.747027027028</v>
      </c>
      <c r="R151" s="14">
        <f t="shared" si="32"/>
        <v>0</v>
      </c>
      <c r="S151" s="2">
        <f t="shared" si="33"/>
        <v>0</v>
      </c>
      <c r="T151" s="130">
        <f t="shared" si="34"/>
        <v>-60465.767837837833</v>
      </c>
      <c r="U151" s="437">
        <f t="shared" si="35"/>
        <v>-3.7742165041263043</v>
      </c>
      <c r="V151" s="126"/>
      <c r="W151" s="526"/>
      <c r="X151" s="526"/>
      <c r="Y151" s="526"/>
      <c r="Z151" s="526"/>
      <c r="AA151" s="526"/>
      <c r="AB151" s="526"/>
      <c r="AC151" s="423"/>
      <c r="AD151" s="423"/>
      <c r="AE151" s="423"/>
      <c r="AF151" s="423"/>
      <c r="AG151" s="423"/>
    </row>
    <row r="152" spans="1:33" x14ac:dyDescent="0.25">
      <c r="A152" s="49">
        <f>+'A) Base RI'!A154</f>
        <v>5645</v>
      </c>
      <c r="B152" s="484" t="str">
        <f>+'A) Base RI'!B154</f>
        <v>Romanel-sur-Morges</v>
      </c>
      <c r="C152" s="304">
        <f>+'D) Ecrêtage'!C152</f>
        <v>27365.134464285718</v>
      </c>
      <c r="D152" s="440">
        <v>6608</v>
      </c>
      <c r="E152" s="440">
        <f t="shared" si="24"/>
        <v>217716</v>
      </c>
      <c r="F152" s="518">
        <f t="shared" si="25"/>
        <v>7.9559630991085211</v>
      </c>
      <c r="G152" s="440">
        <v>224324</v>
      </c>
      <c r="H152" s="440">
        <v>51713</v>
      </c>
      <c r="I152" s="438">
        <v>35776</v>
      </c>
      <c r="J152" s="304">
        <f t="shared" si="26"/>
        <v>311813</v>
      </c>
      <c r="K152" s="284">
        <f t="shared" si="27"/>
        <v>218921.07571428575</v>
      </c>
      <c r="L152" s="10">
        <f t="shared" si="28"/>
        <v>92891.924285714253</v>
      </c>
      <c r="M152" s="301">
        <f t="shared" si="29"/>
        <v>-69668.943214285682</v>
      </c>
      <c r="N152" s="10">
        <v>0</v>
      </c>
      <c r="O152" s="10">
        <f t="shared" si="30"/>
        <v>8064</v>
      </c>
      <c r="P152" s="442">
        <v>8064</v>
      </c>
      <c r="Q152" s="10">
        <f t="shared" si="31"/>
        <v>27365.134464285718</v>
      </c>
      <c r="R152" s="14">
        <f t="shared" si="32"/>
        <v>0</v>
      </c>
      <c r="S152" s="2">
        <f t="shared" si="33"/>
        <v>0</v>
      </c>
      <c r="T152" s="130">
        <f t="shared" si="34"/>
        <v>-69668.943214285682</v>
      </c>
      <c r="U152" s="437">
        <f t="shared" si="35"/>
        <v>-2.545901731460912</v>
      </c>
      <c r="V152" s="126"/>
      <c r="W152" s="526"/>
      <c r="X152" s="526"/>
      <c r="Y152" s="526"/>
      <c r="Z152" s="526"/>
      <c r="AA152" s="526"/>
      <c r="AB152" s="526"/>
      <c r="AC152" s="423"/>
      <c r="AD152" s="423"/>
      <c r="AE152" s="423"/>
      <c r="AF152" s="423"/>
      <c r="AG152" s="423"/>
    </row>
    <row r="153" spans="1:33" x14ac:dyDescent="0.25">
      <c r="A153" s="49">
        <f>+'A) Base RI'!A155</f>
        <v>5646</v>
      </c>
      <c r="B153" s="484" t="str">
        <f>+'A) Base RI'!B155</f>
        <v>Saint-Prex</v>
      </c>
      <c r="C153" s="304">
        <f>+'D) Ecrêtage'!C153</f>
        <v>541092.68090909091</v>
      </c>
      <c r="D153" s="440">
        <v>215158</v>
      </c>
      <c r="E153" s="440">
        <f t="shared" si="24"/>
        <v>159691</v>
      </c>
      <c r="F153" s="518">
        <f t="shared" si="25"/>
        <v>0.29512688978106821</v>
      </c>
      <c r="G153" s="440">
        <v>374849</v>
      </c>
      <c r="H153" s="440">
        <v>574742</v>
      </c>
      <c r="I153" s="438">
        <v>142000</v>
      </c>
      <c r="J153" s="304">
        <f t="shared" si="26"/>
        <v>1091591</v>
      </c>
      <c r="K153" s="284">
        <f t="shared" si="27"/>
        <v>4328741.4472727273</v>
      </c>
      <c r="L153" s="10">
        <f t="shared" si="28"/>
        <v>0</v>
      </c>
      <c r="M153" s="301">
        <f t="shared" si="29"/>
        <v>0</v>
      </c>
      <c r="N153" s="10">
        <v>0</v>
      </c>
      <c r="O153" s="10">
        <f t="shared" si="30"/>
        <v>24583</v>
      </c>
      <c r="P153" s="442">
        <v>24583</v>
      </c>
      <c r="Q153" s="10">
        <f t="shared" si="31"/>
        <v>541092.68090909091</v>
      </c>
      <c r="R153" s="14">
        <f t="shared" si="32"/>
        <v>0</v>
      </c>
      <c r="S153" s="2">
        <f t="shared" si="33"/>
        <v>0</v>
      </c>
      <c r="T153" s="130">
        <f t="shared" si="34"/>
        <v>0</v>
      </c>
      <c r="U153" s="437">
        <f t="shared" si="35"/>
        <v>0</v>
      </c>
      <c r="V153" s="126"/>
      <c r="W153" s="526"/>
      <c r="X153" s="526"/>
      <c r="Y153" s="526"/>
      <c r="Z153" s="526"/>
      <c r="AA153" s="526"/>
      <c r="AB153" s="526"/>
      <c r="AC153" s="423"/>
      <c r="AD153" s="423"/>
      <c r="AE153" s="423"/>
      <c r="AF153" s="423"/>
      <c r="AG153" s="423"/>
    </row>
    <row r="154" spans="1:33" x14ac:dyDescent="0.25">
      <c r="A154" s="49">
        <f>+'A) Base RI'!A156</f>
        <v>5648</v>
      </c>
      <c r="B154" s="484" t="str">
        <f>+'A) Base RI'!B156</f>
        <v>Saint-Sulpice</v>
      </c>
      <c r="C154" s="304">
        <f>+'D) Ecrêtage'!C154</f>
        <v>396480.48181818181</v>
      </c>
      <c r="D154" s="440">
        <v>322833</v>
      </c>
      <c r="E154" s="440">
        <f t="shared" si="24"/>
        <v>296246</v>
      </c>
      <c r="F154" s="518">
        <f t="shared" si="25"/>
        <v>0.74718936640077183</v>
      </c>
      <c r="G154" s="440">
        <v>619079</v>
      </c>
      <c r="H154" s="440">
        <v>2221383</v>
      </c>
      <c r="I154" s="438">
        <v>63230</v>
      </c>
      <c r="J154" s="304">
        <f t="shared" si="26"/>
        <v>2903692</v>
      </c>
      <c r="K154" s="284">
        <f t="shared" si="27"/>
        <v>3171843.8545454545</v>
      </c>
      <c r="L154" s="10">
        <f t="shared" si="28"/>
        <v>0</v>
      </c>
      <c r="M154" s="301">
        <f t="shared" si="29"/>
        <v>0</v>
      </c>
      <c r="N154" s="10">
        <v>0</v>
      </c>
      <c r="O154" s="10">
        <f t="shared" si="30"/>
        <v>38476</v>
      </c>
      <c r="P154" s="442">
        <v>38476</v>
      </c>
      <c r="Q154" s="10">
        <f t="shared" si="31"/>
        <v>396480.48181818181</v>
      </c>
      <c r="R154" s="14">
        <f t="shared" si="32"/>
        <v>0</v>
      </c>
      <c r="S154" s="2">
        <f t="shared" si="33"/>
        <v>0</v>
      </c>
      <c r="T154" s="130">
        <f t="shared" si="34"/>
        <v>0</v>
      </c>
      <c r="U154" s="437">
        <f t="shared" si="35"/>
        <v>0</v>
      </c>
      <c r="V154" s="126"/>
      <c r="W154" s="526"/>
      <c r="X154" s="526"/>
      <c r="Y154" s="526"/>
      <c r="Z154" s="526"/>
      <c r="AA154" s="526"/>
      <c r="AB154" s="526"/>
      <c r="AC154" s="423"/>
      <c r="AD154" s="423"/>
      <c r="AE154" s="423"/>
      <c r="AF154" s="423"/>
      <c r="AG154" s="423"/>
    </row>
    <row r="155" spans="1:33" x14ac:dyDescent="0.25">
      <c r="A155" s="49">
        <f>+'A) Base RI'!A157</f>
        <v>5649</v>
      </c>
      <c r="B155" s="484" t="str">
        <f>+'A) Base RI'!B157</f>
        <v>Tolochenaz</v>
      </c>
      <c r="C155" s="304">
        <f>+'D) Ecrêtage'!C155</f>
        <v>215548.34569230766</v>
      </c>
      <c r="D155" s="440">
        <v>81442</v>
      </c>
      <c r="E155" s="440">
        <f t="shared" si="24"/>
        <v>276542</v>
      </c>
      <c r="F155" s="518">
        <f t="shared" si="25"/>
        <v>1.2829697166628222</v>
      </c>
      <c r="G155" s="440">
        <v>357984</v>
      </c>
      <c r="H155" s="440">
        <v>687812</v>
      </c>
      <c r="I155" s="438">
        <v>27628</v>
      </c>
      <c r="J155" s="304">
        <f t="shared" si="26"/>
        <v>1073424</v>
      </c>
      <c r="K155" s="284">
        <f t="shared" si="27"/>
        <v>1724386.7655384613</v>
      </c>
      <c r="L155" s="10">
        <f t="shared" si="28"/>
        <v>0</v>
      </c>
      <c r="M155" s="301">
        <f t="shared" si="29"/>
        <v>0</v>
      </c>
      <c r="N155" s="10">
        <v>0</v>
      </c>
      <c r="O155" s="10">
        <f t="shared" si="30"/>
        <v>3513</v>
      </c>
      <c r="P155" s="442">
        <v>3513</v>
      </c>
      <c r="Q155" s="10">
        <f t="shared" si="31"/>
        <v>215548.34569230766</v>
      </c>
      <c r="R155" s="14">
        <f t="shared" si="32"/>
        <v>0</v>
      </c>
      <c r="S155" s="2">
        <f t="shared" si="33"/>
        <v>0</v>
      </c>
      <c r="T155" s="130">
        <f t="shared" si="34"/>
        <v>0</v>
      </c>
      <c r="U155" s="437">
        <f t="shared" si="35"/>
        <v>0</v>
      </c>
      <c r="V155" s="126"/>
      <c r="W155" s="526"/>
      <c r="X155" s="526"/>
      <c r="Y155" s="526"/>
      <c r="Z155" s="526"/>
      <c r="AA155" s="526"/>
      <c r="AB155" s="526"/>
      <c r="AC155" s="423"/>
      <c r="AD155" s="423"/>
      <c r="AE155" s="423"/>
      <c r="AF155" s="423"/>
      <c r="AG155" s="423"/>
    </row>
    <row r="156" spans="1:33" x14ac:dyDescent="0.25">
      <c r="A156" s="49">
        <f>+'A) Base RI'!A158</f>
        <v>5650</v>
      </c>
      <c r="B156" s="484" t="str">
        <f>+'A) Base RI'!B158</f>
        <v>Vaux-sur-Morges</v>
      </c>
      <c r="C156" s="304">
        <f>+'D) Ecrêtage'!C156</f>
        <v>63002.429285714286</v>
      </c>
      <c r="D156" s="440">
        <v>0</v>
      </c>
      <c r="E156" s="440">
        <f t="shared" si="24"/>
        <v>0</v>
      </c>
      <c r="F156" s="518">
        <f t="shared" si="25"/>
        <v>0</v>
      </c>
      <c r="G156" s="440">
        <v>0</v>
      </c>
      <c r="H156" s="440">
        <v>0</v>
      </c>
      <c r="I156" s="438">
        <v>0</v>
      </c>
      <c r="J156" s="304">
        <f t="shared" si="26"/>
        <v>0</v>
      </c>
      <c r="K156" s="284">
        <f t="shared" si="27"/>
        <v>504019.43428571429</v>
      </c>
      <c r="L156" s="10">
        <f t="shared" si="28"/>
        <v>0</v>
      </c>
      <c r="M156" s="301">
        <f t="shared" si="29"/>
        <v>0</v>
      </c>
      <c r="N156" s="10">
        <v>0</v>
      </c>
      <c r="O156" s="10">
        <f t="shared" si="30"/>
        <v>0</v>
      </c>
      <c r="P156" s="442">
        <v>0</v>
      </c>
      <c r="Q156" s="10">
        <f t="shared" si="31"/>
        <v>63002.429285714286</v>
      </c>
      <c r="R156" s="14">
        <f t="shared" si="32"/>
        <v>0</v>
      </c>
      <c r="S156" s="2">
        <f t="shared" si="33"/>
        <v>0</v>
      </c>
      <c r="T156" s="130">
        <f t="shared" si="34"/>
        <v>0</v>
      </c>
      <c r="U156" s="437">
        <f t="shared" si="35"/>
        <v>0</v>
      </c>
      <c r="V156" s="126"/>
      <c r="W156" s="526"/>
      <c r="X156" s="526"/>
      <c r="Y156" s="526"/>
      <c r="Z156" s="526"/>
      <c r="AA156" s="526"/>
      <c r="AB156" s="526"/>
      <c r="AC156" s="423"/>
      <c r="AD156" s="423"/>
      <c r="AE156" s="423"/>
      <c r="AF156" s="423"/>
      <c r="AG156" s="423"/>
    </row>
    <row r="157" spans="1:33" x14ac:dyDescent="0.25">
      <c r="A157" s="49">
        <f>+'A) Base RI'!A159</f>
        <v>5651</v>
      </c>
      <c r="B157" s="484" t="str">
        <f>+'A) Base RI'!B159</f>
        <v>Villars-Sainte-Croix</v>
      </c>
      <c r="C157" s="304">
        <f>+'D) Ecrêtage'!C157</f>
        <v>56095.490247933893</v>
      </c>
      <c r="D157" s="440">
        <v>28677</v>
      </c>
      <c r="E157" s="440">
        <f t="shared" si="24"/>
        <v>130926</v>
      </c>
      <c r="F157" s="518">
        <f t="shared" si="25"/>
        <v>2.3339844151700282</v>
      </c>
      <c r="G157" s="440">
        <v>159603</v>
      </c>
      <c r="H157" s="440">
        <v>126438</v>
      </c>
      <c r="I157" s="438">
        <v>24743</v>
      </c>
      <c r="J157" s="304">
        <f t="shared" si="26"/>
        <v>310784</v>
      </c>
      <c r="K157" s="284">
        <f t="shared" si="27"/>
        <v>448763.92198347114</v>
      </c>
      <c r="L157" s="10">
        <f t="shared" si="28"/>
        <v>0</v>
      </c>
      <c r="M157" s="301">
        <f t="shared" si="29"/>
        <v>0</v>
      </c>
      <c r="N157" s="10">
        <v>0</v>
      </c>
      <c r="O157" s="10">
        <f t="shared" si="30"/>
        <v>19969</v>
      </c>
      <c r="P157" s="442">
        <v>19969</v>
      </c>
      <c r="Q157" s="10">
        <f t="shared" si="31"/>
        <v>56095.490247933893</v>
      </c>
      <c r="R157" s="14">
        <f t="shared" si="32"/>
        <v>0</v>
      </c>
      <c r="S157" s="2">
        <f t="shared" si="33"/>
        <v>0</v>
      </c>
      <c r="T157" s="130">
        <f t="shared" si="34"/>
        <v>0</v>
      </c>
      <c r="U157" s="437">
        <f t="shared" si="35"/>
        <v>0</v>
      </c>
      <c r="V157" s="126"/>
      <c r="W157" s="526"/>
      <c r="X157" s="526"/>
      <c r="Y157" s="526"/>
      <c r="Z157" s="526"/>
      <c r="AA157" s="526"/>
      <c r="AB157" s="526"/>
      <c r="AC157" s="423"/>
      <c r="AD157" s="423"/>
      <c r="AE157" s="423"/>
      <c r="AF157" s="423"/>
      <c r="AG157" s="423"/>
    </row>
    <row r="158" spans="1:33" x14ac:dyDescent="0.25">
      <c r="A158" s="49">
        <f>+'A) Base RI'!A160</f>
        <v>5652</v>
      </c>
      <c r="B158" s="484" t="str">
        <f>+'A) Base RI'!B160</f>
        <v>Villars-sous-Yens</v>
      </c>
      <c r="C158" s="304">
        <f>+'D) Ecrêtage'!C158</f>
        <v>25662.281995614037</v>
      </c>
      <c r="D158" s="440">
        <v>15964</v>
      </c>
      <c r="E158" s="440">
        <f t="shared" si="24"/>
        <v>91129</v>
      </c>
      <c r="F158" s="518">
        <f t="shared" si="25"/>
        <v>3.551087156456894</v>
      </c>
      <c r="G158" s="440">
        <v>107093</v>
      </c>
      <c r="H158" s="440">
        <v>48018</v>
      </c>
      <c r="I158" s="438">
        <v>68763</v>
      </c>
      <c r="J158" s="304">
        <f t="shared" si="26"/>
        <v>223874</v>
      </c>
      <c r="K158" s="284">
        <f t="shared" si="27"/>
        <v>205298.2559649123</v>
      </c>
      <c r="L158" s="10">
        <f t="shared" si="28"/>
        <v>18575.7440350877</v>
      </c>
      <c r="M158" s="301">
        <f t="shared" si="29"/>
        <v>-13931.808026315775</v>
      </c>
      <c r="N158" s="10">
        <v>0</v>
      </c>
      <c r="O158" s="10">
        <f t="shared" si="30"/>
        <v>9963</v>
      </c>
      <c r="P158" s="442">
        <v>9963</v>
      </c>
      <c r="Q158" s="10">
        <f t="shared" si="31"/>
        <v>25662.281995614037</v>
      </c>
      <c r="R158" s="14">
        <f t="shared" si="32"/>
        <v>0</v>
      </c>
      <c r="S158" s="2">
        <f t="shared" si="33"/>
        <v>0</v>
      </c>
      <c r="T158" s="130">
        <f t="shared" si="34"/>
        <v>-13931.808026315775</v>
      </c>
      <c r="U158" s="437">
        <f t="shared" si="35"/>
        <v>-0.54289045801526425</v>
      </c>
      <c r="V158" s="126"/>
      <c r="W158" s="526"/>
      <c r="X158" s="526"/>
      <c r="Y158" s="526"/>
      <c r="Z158" s="526"/>
      <c r="AA158" s="526"/>
      <c r="AB158" s="526"/>
      <c r="AC158" s="423"/>
      <c r="AD158" s="423"/>
      <c r="AE158" s="423"/>
      <c r="AF158" s="423"/>
      <c r="AG158" s="423"/>
    </row>
    <row r="159" spans="1:33" x14ac:dyDescent="0.25">
      <c r="A159" s="49">
        <f>+'A) Base RI'!A161</f>
        <v>5653</v>
      </c>
      <c r="B159" s="484" t="str">
        <f>+'A) Base RI'!B161</f>
        <v>Vufflens-le-Château</v>
      </c>
      <c r="C159" s="304">
        <f>+'D) Ecrêtage'!C159</f>
        <v>68786.034529914527</v>
      </c>
      <c r="D159" s="440">
        <v>13611</v>
      </c>
      <c r="E159" s="440">
        <f t="shared" si="24"/>
        <v>109124</v>
      </c>
      <c r="F159" s="518">
        <f t="shared" si="25"/>
        <v>1.5864266743352213</v>
      </c>
      <c r="G159" s="440">
        <v>122735</v>
      </c>
      <c r="H159" s="440">
        <v>87894</v>
      </c>
      <c r="I159" s="438">
        <v>9853</v>
      </c>
      <c r="J159" s="304">
        <f t="shared" si="26"/>
        <v>220482</v>
      </c>
      <c r="K159" s="284">
        <f t="shared" si="27"/>
        <v>550288.27623931621</v>
      </c>
      <c r="L159" s="10">
        <f t="shared" si="28"/>
        <v>0</v>
      </c>
      <c r="M159" s="301">
        <f t="shared" si="29"/>
        <v>0</v>
      </c>
      <c r="N159" s="10">
        <v>0</v>
      </c>
      <c r="O159" s="10">
        <f t="shared" si="30"/>
        <v>16453</v>
      </c>
      <c r="P159" s="442">
        <v>16453</v>
      </c>
      <c r="Q159" s="10">
        <f t="shared" si="31"/>
        <v>68786.034529914527</v>
      </c>
      <c r="R159" s="14">
        <f t="shared" si="32"/>
        <v>0</v>
      </c>
      <c r="S159" s="2">
        <f t="shared" si="33"/>
        <v>0</v>
      </c>
      <c r="T159" s="130">
        <f t="shared" si="34"/>
        <v>0</v>
      </c>
      <c r="U159" s="437">
        <f t="shared" si="35"/>
        <v>0</v>
      </c>
      <c r="V159" s="126"/>
      <c r="W159" s="526"/>
      <c r="X159" s="526"/>
      <c r="Y159" s="526"/>
      <c r="Z159" s="526"/>
      <c r="AA159" s="526"/>
      <c r="AB159" s="526"/>
      <c r="AC159" s="423"/>
      <c r="AD159" s="423"/>
      <c r="AE159" s="423"/>
      <c r="AF159" s="423"/>
      <c r="AG159" s="423"/>
    </row>
    <row r="160" spans="1:33" x14ac:dyDescent="0.25">
      <c r="A160" s="49">
        <f>+'A) Base RI'!A162</f>
        <v>5654</v>
      </c>
      <c r="B160" s="484" t="str">
        <f>+'A) Base RI'!B162</f>
        <v>Vullierens</v>
      </c>
      <c r="C160" s="304">
        <f>+'D) Ecrêtage'!C160</f>
        <v>19265.899342105262</v>
      </c>
      <c r="D160" s="440">
        <v>20049</v>
      </c>
      <c r="E160" s="440">
        <f t="shared" si="24"/>
        <v>57271</v>
      </c>
      <c r="F160" s="518">
        <f t="shared" si="25"/>
        <v>2.9726616434061452</v>
      </c>
      <c r="G160" s="440">
        <v>77320</v>
      </c>
      <c r="H160" s="440">
        <v>20426</v>
      </c>
      <c r="I160" s="438">
        <v>89980</v>
      </c>
      <c r="J160" s="304">
        <f t="shared" si="26"/>
        <v>187726</v>
      </c>
      <c r="K160" s="284">
        <f t="shared" si="27"/>
        <v>154127.1947368421</v>
      </c>
      <c r="L160" s="10">
        <f t="shared" si="28"/>
        <v>33598.805263157905</v>
      </c>
      <c r="M160" s="301">
        <f t="shared" si="29"/>
        <v>-25199.103947368429</v>
      </c>
      <c r="N160" s="10">
        <v>0</v>
      </c>
      <c r="O160" s="10">
        <f t="shared" si="30"/>
        <v>3267</v>
      </c>
      <c r="P160" s="442">
        <v>3267</v>
      </c>
      <c r="Q160" s="10">
        <f t="shared" si="31"/>
        <v>19265.899342105262</v>
      </c>
      <c r="R160" s="14">
        <f t="shared" si="32"/>
        <v>0</v>
      </c>
      <c r="S160" s="2">
        <f t="shared" si="33"/>
        <v>0</v>
      </c>
      <c r="T160" s="130">
        <f t="shared" si="34"/>
        <v>-25199.103947368429</v>
      </c>
      <c r="U160" s="437">
        <f t="shared" si="35"/>
        <v>-1.3079640612621835</v>
      </c>
      <c r="V160" s="126"/>
      <c r="W160" s="526"/>
      <c r="X160" s="526"/>
      <c r="Y160" s="526"/>
      <c r="Z160" s="526"/>
      <c r="AA160" s="526"/>
      <c r="AB160" s="526"/>
      <c r="AC160" s="423"/>
      <c r="AD160" s="423"/>
      <c r="AE160" s="423"/>
      <c r="AF160" s="423"/>
      <c r="AG160" s="423"/>
    </row>
    <row r="161" spans="1:33" x14ac:dyDescent="0.25">
      <c r="A161" s="49">
        <f>+'A) Base RI'!A163</f>
        <v>5655</v>
      </c>
      <c r="B161" s="484" t="str">
        <f>+'A) Base RI'!B163</f>
        <v>Yens</v>
      </c>
      <c r="C161" s="304">
        <f>+'D) Ecrêtage'!C161</f>
        <v>90935.122097902116</v>
      </c>
      <c r="D161" s="440">
        <v>0</v>
      </c>
      <c r="E161" s="440">
        <f t="shared" si="24"/>
        <v>0</v>
      </c>
      <c r="F161" s="518">
        <f t="shared" si="25"/>
        <v>0</v>
      </c>
      <c r="G161" s="440">
        <v>0</v>
      </c>
      <c r="H161" s="440">
        <v>0</v>
      </c>
      <c r="I161" s="438">
        <v>0</v>
      </c>
      <c r="J161" s="304">
        <f t="shared" si="26"/>
        <v>0</v>
      </c>
      <c r="K161" s="284">
        <f t="shared" si="27"/>
        <v>727480.97678321693</v>
      </c>
      <c r="L161" s="10">
        <f t="shared" si="28"/>
        <v>0</v>
      </c>
      <c r="M161" s="301">
        <f t="shared" si="29"/>
        <v>0</v>
      </c>
      <c r="N161" s="10">
        <v>0</v>
      </c>
      <c r="O161" s="10">
        <f t="shared" si="30"/>
        <v>0</v>
      </c>
      <c r="P161" s="442">
        <v>0</v>
      </c>
      <c r="Q161" s="10">
        <f t="shared" si="31"/>
        <v>90935.122097902116</v>
      </c>
      <c r="R161" s="14">
        <f t="shared" si="32"/>
        <v>0</v>
      </c>
      <c r="S161" s="2">
        <f t="shared" si="33"/>
        <v>0</v>
      </c>
      <c r="T161" s="130">
        <f t="shared" si="34"/>
        <v>0</v>
      </c>
      <c r="U161" s="437">
        <f t="shared" si="35"/>
        <v>0</v>
      </c>
      <c r="V161" s="126"/>
      <c r="W161" s="526"/>
      <c r="X161" s="526"/>
      <c r="Y161" s="526"/>
      <c r="Z161" s="526"/>
      <c r="AA161" s="526"/>
      <c r="AB161" s="526"/>
      <c r="AC161" s="423"/>
      <c r="AD161" s="423"/>
      <c r="AE161" s="423"/>
      <c r="AF161" s="423"/>
      <c r="AG161" s="423"/>
    </row>
    <row r="162" spans="1:33" x14ac:dyDescent="0.25">
      <c r="A162" s="49">
        <f>+'A) Base RI'!A164</f>
        <v>5661</v>
      </c>
      <c r="B162" s="484" t="str">
        <f>+'A) Base RI'!B164</f>
        <v>Boulens</v>
      </c>
      <c r="C162" s="304">
        <f>+'D) Ecrêtage'!C162</f>
        <v>10167.852447552446</v>
      </c>
      <c r="D162" s="440">
        <v>919</v>
      </c>
      <c r="E162" s="440">
        <f t="shared" si="24"/>
        <v>24892</v>
      </c>
      <c r="F162" s="518">
        <f t="shared" si="25"/>
        <v>2.448107909550937</v>
      </c>
      <c r="G162" s="440">
        <v>25811</v>
      </c>
      <c r="H162" s="440">
        <v>13624</v>
      </c>
      <c r="I162" s="438">
        <v>29039</v>
      </c>
      <c r="J162" s="304">
        <f t="shared" si="26"/>
        <v>68474</v>
      </c>
      <c r="K162" s="284">
        <f t="shared" si="27"/>
        <v>81342.819580419571</v>
      </c>
      <c r="L162" s="10">
        <f t="shared" si="28"/>
        <v>0</v>
      </c>
      <c r="M162" s="301">
        <f t="shared" si="29"/>
        <v>0</v>
      </c>
      <c r="N162" s="10">
        <v>0</v>
      </c>
      <c r="O162" s="10">
        <f t="shared" si="30"/>
        <v>28387</v>
      </c>
      <c r="P162" s="442">
        <v>28387</v>
      </c>
      <c r="Q162" s="10">
        <f t="shared" si="31"/>
        <v>10167.852447552446</v>
      </c>
      <c r="R162" s="14">
        <f t="shared" si="32"/>
        <v>18219.147552447554</v>
      </c>
      <c r="S162" s="2">
        <f t="shared" si="33"/>
        <v>-13664.360664335665</v>
      </c>
      <c r="T162" s="130">
        <f t="shared" si="34"/>
        <v>-13664.360664335665</v>
      </c>
      <c r="U162" s="437">
        <f t="shared" si="35"/>
        <v>-1.3438787329791435</v>
      </c>
      <c r="V162" s="126"/>
      <c r="W162" s="526"/>
      <c r="X162" s="526"/>
      <c r="Y162" s="526"/>
      <c r="Z162" s="526"/>
      <c r="AA162" s="526"/>
      <c r="AB162" s="526"/>
      <c r="AC162" s="423"/>
      <c r="AD162" s="423"/>
      <c r="AE162" s="423"/>
      <c r="AF162" s="423"/>
      <c r="AG162" s="423"/>
    </row>
    <row r="163" spans="1:33" x14ac:dyDescent="0.25">
      <c r="A163" s="49">
        <f>+'A) Base RI'!A165</f>
        <v>5663</v>
      </c>
      <c r="B163" s="484" t="str">
        <f>+'A) Base RI'!B165</f>
        <v>Bussy-sur-Moudon</v>
      </c>
      <c r="C163" s="304">
        <f>+'D) Ecrêtage'!C163</f>
        <v>5408.1284999999998</v>
      </c>
      <c r="D163" s="440">
        <v>0</v>
      </c>
      <c r="E163" s="440">
        <f t="shared" si="24"/>
        <v>21509</v>
      </c>
      <c r="F163" s="518">
        <f t="shared" si="25"/>
        <v>3.9771614154508348</v>
      </c>
      <c r="G163" s="440">
        <v>21509</v>
      </c>
      <c r="H163" s="440">
        <v>8227</v>
      </c>
      <c r="I163" s="438">
        <v>12868</v>
      </c>
      <c r="J163" s="304">
        <f t="shared" si="26"/>
        <v>42604</v>
      </c>
      <c r="K163" s="284">
        <f t="shared" si="27"/>
        <v>43265.027999999998</v>
      </c>
      <c r="L163" s="10">
        <f t="shared" si="28"/>
        <v>0</v>
      </c>
      <c r="M163" s="301">
        <f t="shared" si="29"/>
        <v>0</v>
      </c>
      <c r="N163" s="10">
        <v>0</v>
      </c>
      <c r="O163" s="10">
        <f t="shared" si="30"/>
        <v>4240</v>
      </c>
      <c r="P163" s="442">
        <v>4240</v>
      </c>
      <c r="Q163" s="10">
        <f t="shared" si="31"/>
        <v>5408.1284999999998</v>
      </c>
      <c r="R163" s="14">
        <f t="shared" si="32"/>
        <v>0</v>
      </c>
      <c r="S163" s="2">
        <f t="shared" si="33"/>
        <v>0</v>
      </c>
      <c r="T163" s="130">
        <f t="shared" si="34"/>
        <v>0</v>
      </c>
      <c r="U163" s="437">
        <f t="shared" si="35"/>
        <v>0</v>
      </c>
      <c r="V163" s="126"/>
      <c r="W163" s="526"/>
      <c r="X163" s="526"/>
      <c r="Y163" s="526"/>
      <c r="Z163" s="526"/>
      <c r="AA163" s="526"/>
      <c r="AB163" s="526"/>
      <c r="AC163" s="423"/>
      <c r="AD163" s="423"/>
      <c r="AE163" s="423"/>
      <c r="AF163" s="423"/>
      <c r="AG163" s="423"/>
    </row>
    <row r="164" spans="1:33" x14ac:dyDescent="0.25">
      <c r="A164" s="49">
        <f>+'A) Base RI'!A166</f>
        <v>5665</v>
      </c>
      <c r="B164" s="484" t="str">
        <f>+'A) Base RI'!B166</f>
        <v>Chavannes-sur-Moudon</v>
      </c>
      <c r="C164" s="304">
        <f>+'D) Ecrêtage'!C164</f>
        <v>6834.8221917808223</v>
      </c>
      <c r="D164" s="440">
        <v>6062</v>
      </c>
      <c r="E164" s="440">
        <f t="shared" si="24"/>
        <v>13540</v>
      </c>
      <c r="F164" s="518">
        <f t="shared" si="25"/>
        <v>1.9810317840137015</v>
      </c>
      <c r="G164" s="440">
        <v>19602</v>
      </c>
      <c r="H164" s="440">
        <v>7926</v>
      </c>
      <c r="I164" s="438">
        <v>13220</v>
      </c>
      <c r="J164" s="304">
        <f t="shared" si="26"/>
        <v>40748</v>
      </c>
      <c r="K164" s="284">
        <f t="shared" si="27"/>
        <v>54678.577534246579</v>
      </c>
      <c r="L164" s="10">
        <f t="shared" si="28"/>
        <v>0</v>
      </c>
      <c r="M164" s="301">
        <f t="shared" si="29"/>
        <v>0</v>
      </c>
      <c r="N164" s="10">
        <v>0</v>
      </c>
      <c r="O164" s="10">
        <f t="shared" si="30"/>
        <v>9904</v>
      </c>
      <c r="P164" s="442">
        <v>9904</v>
      </c>
      <c r="Q164" s="10">
        <f t="shared" si="31"/>
        <v>6834.8221917808223</v>
      </c>
      <c r="R164" s="14">
        <f t="shared" si="32"/>
        <v>3069.1778082191777</v>
      </c>
      <c r="S164" s="2">
        <f t="shared" si="33"/>
        <v>-2301.8833561643833</v>
      </c>
      <c r="T164" s="130">
        <f t="shared" si="34"/>
        <v>-2301.8833561643833</v>
      </c>
      <c r="U164" s="437">
        <f t="shared" si="35"/>
        <v>-0.33678759908816652</v>
      </c>
      <c r="V164" s="126"/>
      <c r="W164" s="526"/>
      <c r="X164" s="526"/>
      <c r="Y164" s="526"/>
      <c r="Z164" s="526"/>
      <c r="AA164" s="526"/>
      <c r="AB164" s="526"/>
      <c r="AC164" s="423"/>
      <c r="AD164" s="423"/>
      <c r="AE164" s="423"/>
      <c r="AF164" s="423"/>
      <c r="AG164" s="423"/>
    </row>
    <row r="165" spans="1:33" x14ac:dyDescent="0.25">
      <c r="A165" s="49">
        <f>+'A) Base RI'!A167</f>
        <v>5669</v>
      </c>
      <c r="B165" s="484" t="str">
        <f>+'A) Base RI'!B167</f>
        <v>Curtilles</v>
      </c>
      <c r="C165" s="304">
        <f>+'D) Ecrêtage'!C165</f>
        <v>10286.853972602739</v>
      </c>
      <c r="D165" s="440">
        <v>0</v>
      </c>
      <c r="E165" s="440">
        <f t="shared" si="24"/>
        <v>17989</v>
      </c>
      <c r="F165" s="518">
        <f t="shared" si="25"/>
        <v>1.7487367904619429</v>
      </c>
      <c r="G165" s="440">
        <v>17989</v>
      </c>
      <c r="H165" s="440">
        <v>23399</v>
      </c>
      <c r="I165" s="438">
        <v>16864</v>
      </c>
      <c r="J165" s="304">
        <f t="shared" si="26"/>
        <v>58252</v>
      </c>
      <c r="K165" s="284">
        <f t="shared" si="27"/>
        <v>82294.831780821914</v>
      </c>
      <c r="L165" s="10">
        <f t="shared" si="28"/>
        <v>0</v>
      </c>
      <c r="M165" s="301">
        <f t="shared" si="29"/>
        <v>0</v>
      </c>
      <c r="N165" s="10">
        <v>600</v>
      </c>
      <c r="O165" s="10">
        <f t="shared" si="30"/>
        <v>2671</v>
      </c>
      <c r="P165" s="442">
        <v>3271</v>
      </c>
      <c r="Q165" s="10">
        <f t="shared" si="31"/>
        <v>10286.853972602739</v>
      </c>
      <c r="R165" s="14">
        <f t="shared" si="32"/>
        <v>0</v>
      </c>
      <c r="S165" s="2">
        <f t="shared" si="33"/>
        <v>0</v>
      </c>
      <c r="T165" s="130">
        <f t="shared" si="34"/>
        <v>0</v>
      </c>
      <c r="U165" s="437">
        <f t="shared" si="35"/>
        <v>0</v>
      </c>
      <c r="V165" s="126"/>
      <c r="W165" s="526"/>
      <c r="X165" s="526"/>
      <c r="Y165" s="526"/>
      <c r="Z165" s="526"/>
      <c r="AA165" s="526"/>
      <c r="AB165" s="526"/>
      <c r="AC165" s="423"/>
      <c r="AD165" s="423"/>
      <c r="AE165" s="423"/>
      <c r="AF165" s="423"/>
      <c r="AG165" s="423"/>
    </row>
    <row r="166" spans="1:33" x14ac:dyDescent="0.25">
      <c r="A166" s="49">
        <f>+'A) Base RI'!A168</f>
        <v>5671</v>
      </c>
      <c r="B166" s="484" t="str">
        <f>+'A) Base RI'!B168</f>
        <v>Dompierre</v>
      </c>
      <c r="C166" s="304">
        <f>+'D) Ecrêtage'!C166</f>
        <v>6034.0657692307695</v>
      </c>
      <c r="D166" s="440">
        <v>0</v>
      </c>
      <c r="E166" s="440">
        <f t="shared" si="24"/>
        <v>91377</v>
      </c>
      <c r="F166" s="518">
        <f t="shared" si="25"/>
        <v>15.143520719637243</v>
      </c>
      <c r="G166" s="440">
        <v>91377</v>
      </c>
      <c r="H166" s="440">
        <v>8755</v>
      </c>
      <c r="I166" s="438">
        <v>10704</v>
      </c>
      <c r="J166" s="304">
        <f t="shared" si="26"/>
        <v>110836</v>
      </c>
      <c r="K166" s="284">
        <f t="shared" si="27"/>
        <v>48272.526153846156</v>
      </c>
      <c r="L166" s="10">
        <f t="shared" si="28"/>
        <v>62563.473846153844</v>
      </c>
      <c r="M166" s="301">
        <f t="shared" si="29"/>
        <v>-46922.605384615381</v>
      </c>
      <c r="N166" s="10">
        <v>0</v>
      </c>
      <c r="O166" s="10">
        <f t="shared" si="30"/>
        <v>4170</v>
      </c>
      <c r="P166" s="442">
        <v>4170</v>
      </c>
      <c r="Q166" s="10">
        <f t="shared" si="31"/>
        <v>6034.0657692307695</v>
      </c>
      <c r="R166" s="14">
        <f t="shared" si="32"/>
        <v>0</v>
      </c>
      <c r="S166" s="2">
        <f t="shared" si="33"/>
        <v>0</v>
      </c>
      <c r="T166" s="130">
        <f t="shared" si="34"/>
        <v>-46922.605384615381</v>
      </c>
      <c r="U166" s="437">
        <f t="shared" si="35"/>
        <v>-7.7762833848920963</v>
      </c>
      <c r="V166" s="126"/>
      <c r="W166" s="526"/>
      <c r="X166" s="526"/>
      <c r="Y166" s="526"/>
      <c r="Z166" s="526"/>
      <c r="AA166" s="526"/>
      <c r="AB166" s="526"/>
      <c r="AC166" s="423"/>
      <c r="AD166" s="423"/>
      <c r="AE166" s="423"/>
      <c r="AF166" s="423"/>
      <c r="AG166" s="423"/>
    </row>
    <row r="167" spans="1:33" x14ac:dyDescent="0.25">
      <c r="A167" s="49">
        <f>+'A) Base RI'!A169</f>
        <v>5673</v>
      </c>
      <c r="B167" s="484" t="str">
        <f>+'A) Base RI'!B169</f>
        <v>Hermenches</v>
      </c>
      <c r="C167" s="304">
        <f>+'D) Ecrêtage'!C167</f>
        <v>10638.728435374151</v>
      </c>
      <c r="D167" s="440">
        <v>8262</v>
      </c>
      <c r="E167" s="440">
        <f t="shared" si="24"/>
        <v>73137</v>
      </c>
      <c r="F167" s="518">
        <f t="shared" si="25"/>
        <v>6.8745997648381429</v>
      </c>
      <c r="G167" s="440">
        <v>81399</v>
      </c>
      <c r="H167" s="440">
        <v>13851</v>
      </c>
      <c r="I167" s="438">
        <v>21553</v>
      </c>
      <c r="J167" s="304">
        <f t="shared" si="26"/>
        <v>116803</v>
      </c>
      <c r="K167" s="284">
        <f t="shared" si="27"/>
        <v>85109.827482993205</v>
      </c>
      <c r="L167" s="10">
        <f t="shared" si="28"/>
        <v>31693.172517006795</v>
      </c>
      <c r="M167" s="301">
        <f t="shared" si="29"/>
        <v>-23769.879387755096</v>
      </c>
      <c r="N167" s="10">
        <v>795</v>
      </c>
      <c r="O167" s="10">
        <f t="shared" si="30"/>
        <v>50770</v>
      </c>
      <c r="P167" s="442">
        <v>51565</v>
      </c>
      <c r="Q167" s="10">
        <f t="shared" si="31"/>
        <v>10638.728435374151</v>
      </c>
      <c r="R167" s="14">
        <f t="shared" si="32"/>
        <v>40926.271564625851</v>
      </c>
      <c r="S167" s="2">
        <f t="shared" si="33"/>
        <v>-30694.70367346939</v>
      </c>
      <c r="T167" s="130">
        <f t="shared" si="34"/>
        <v>-54464.58306122449</v>
      </c>
      <c r="U167" s="437">
        <f t="shared" si="35"/>
        <v>-5.1194636080875808</v>
      </c>
      <c r="V167" s="126"/>
      <c r="W167" s="526"/>
      <c r="X167" s="526"/>
      <c r="Y167" s="526"/>
      <c r="Z167" s="526"/>
      <c r="AA167" s="526"/>
      <c r="AB167" s="526"/>
      <c r="AC167" s="423"/>
      <c r="AD167" s="423"/>
      <c r="AE167" s="423"/>
      <c r="AF167" s="423"/>
      <c r="AG167" s="423"/>
    </row>
    <row r="168" spans="1:33" x14ac:dyDescent="0.25">
      <c r="A168" s="49">
        <f>+'A) Base RI'!A170</f>
        <v>5674</v>
      </c>
      <c r="B168" s="484" t="str">
        <f>+'A) Base RI'!B170</f>
        <v>Lovatens</v>
      </c>
      <c r="C168" s="304">
        <f>+'D) Ecrêtage'!C168</f>
        <v>3430.742038095239</v>
      </c>
      <c r="D168" s="440">
        <v>20395</v>
      </c>
      <c r="E168" s="483">
        <f t="shared" si="24"/>
        <v>35235</v>
      </c>
      <c r="F168" s="518">
        <f t="shared" si="25"/>
        <v>10.270372883984773</v>
      </c>
      <c r="G168" s="440">
        <v>55630</v>
      </c>
      <c r="H168" s="440">
        <v>5133</v>
      </c>
      <c r="I168" s="438">
        <v>6392</v>
      </c>
      <c r="J168" s="304">
        <f t="shared" si="26"/>
        <v>67155</v>
      </c>
      <c r="K168" s="284">
        <f t="shared" si="27"/>
        <v>27445.936304761912</v>
      </c>
      <c r="L168" s="10">
        <f t="shared" si="28"/>
        <v>39709.063695238088</v>
      </c>
      <c r="M168" s="301">
        <f t="shared" si="29"/>
        <v>-29781.797771428566</v>
      </c>
      <c r="N168" s="10">
        <v>0</v>
      </c>
      <c r="O168" s="10">
        <f t="shared" si="30"/>
        <v>872</v>
      </c>
      <c r="P168" s="442">
        <v>872</v>
      </c>
      <c r="Q168" s="10">
        <f t="shared" si="31"/>
        <v>3430.742038095239</v>
      </c>
      <c r="R168" s="14">
        <f t="shared" si="32"/>
        <v>0</v>
      </c>
      <c r="S168" s="2">
        <f t="shared" si="33"/>
        <v>0</v>
      </c>
      <c r="T168" s="130">
        <f t="shared" si="34"/>
        <v>-29781.797771428566</v>
      </c>
      <c r="U168" s="437">
        <f t="shared" si="35"/>
        <v>-8.6808618779054374</v>
      </c>
      <c r="V168" s="126"/>
      <c r="W168" s="526"/>
      <c r="X168" s="526"/>
      <c r="Y168" s="526"/>
      <c r="Z168" s="526"/>
      <c r="AA168" s="526"/>
      <c r="AB168" s="526"/>
      <c r="AC168" s="423"/>
      <c r="AD168" s="423"/>
      <c r="AE168" s="423"/>
      <c r="AF168" s="423"/>
      <c r="AG168" s="423"/>
    </row>
    <row r="169" spans="1:33" x14ac:dyDescent="0.25">
      <c r="A169" s="49">
        <f>+'A) Base RI'!A171</f>
        <v>5675</v>
      </c>
      <c r="B169" s="484" t="str">
        <f>+'A) Base RI'!B171</f>
        <v>Lucens</v>
      </c>
      <c r="C169" s="304">
        <f>+'D) Ecrêtage'!C169</f>
        <v>97154.219717171698</v>
      </c>
      <c r="D169" s="440">
        <v>346874</v>
      </c>
      <c r="E169" s="440">
        <f t="shared" si="24"/>
        <v>525858</v>
      </c>
      <c r="F169" s="518">
        <f t="shared" si="25"/>
        <v>5.412611017111141</v>
      </c>
      <c r="G169" s="440">
        <v>872732</v>
      </c>
      <c r="H169" s="440">
        <v>398161</v>
      </c>
      <c r="I169" s="438">
        <v>280627</v>
      </c>
      <c r="J169" s="304">
        <f t="shared" si="26"/>
        <v>1551520</v>
      </c>
      <c r="K169" s="284">
        <f t="shared" si="27"/>
        <v>777233.75773737358</v>
      </c>
      <c r="L169" s="10">
        <f t="shared" si="28"/>
        <v>774286.24226262642</v>
      </c>
      <c r="M169" s="301">
        <f t="shared" si="29"/>
        <v>-580714.68169696978</v>
      </c>
      <c r="N169" s="10">
        <v>0</v>
      </c>
      <c r="O169" s="10">
        <f t="shared" si="30"/>
        <v>24861</v>
      </c>
      <c r="P169" s="442">
        <v>24861</v>
      </c>
      <c r="Q169" s="10">
        <f t="shared" si="31"/>
        <v>97154.219717171698</v>
      </c>
      <c r="R169" s="14">
        <f t="shared" si="32"/>
        <v>0</v>
      </c>
      <c r="S169" s="2">
        <f t="shared" si="33"/>
        <v>0</v>
      </c>
      <c r="T169" s="130">
        <f t="shared" si="34"/>
        <v>-580714.68169696978</v>
      </c>
      <c r="U169" s="437">
        <f t="shared" si="35"/>
        <v>-5.9772461081721842</v>
      </c>
      <c r="V169" s="126"/>
      <c r="W169" s="526"/>
      <c r="X169" s="526"/>
      <c r="Y169" s="526"/>
      <c r="Z169" s="526"/>
      <c r="AA169" s="526"/>
      <c r="AB169" s="526"/>
      <c r="AC169" s="423"/>
      <c r="AD169" s="423"/>
      <c r="AE169" s="423"/>
      <c r="AF169" s="423"/>
      <c r="AG169" s="423"/>
    </row>
    <row r="170" spans="1:33" x14ac:dyDescent="0.25">
      <c r="A170" s="49">
        <f>+'A) Base RI'!A172</f>
        <v>5678</v>
      </c>
      <c r="B170" s="484" t="str">
        <f>+'A) Base RI'!B172</f>
        <v>Moudon</v>
      </c>
      <c r="C170" s="304">
        <f>+'D) Ecrêtage'!C170</f>
        <v>124965.41862068966</v>
      </c>
      <c r="D170" s="440">
        <v>232100</v>
      </c>
      <c r="E170" s="440">
        <f t="shared" si="24"/>
        <v>1408625</v>
      </c>
      <c r="F170" s="518">
        <f t="shared" si="25"/>
        <v>11.272118443228131</v>
      </c>
      <c r="G170" s="440">
        <v>1640725</v>
      </c>
      <c r="H170" s="440">
        <v>573654</v>
      </c>
      <c r="I170" s="438">
        <v>416217</v>
      </c>
      <c r="J170" s="304">
        <f t="shared" si="26"/>
        <v>2630596</v>
      </c>
      <c r="K170" s="284">
        <f t="shared" si="27"/>
        <v>999723.34896551725</v>
      </c>
      <c r="L170" s="10">
        <f t="shared" si="28"/>
        <v>1630872.6510344828</v>
      </c>
      <c r="M170" s="301">
        <f t="shared" si="29"/>
        <v>-1223154.4882758621</v>
      </c>
      <c r="N170" s="10">
        <v>0</v>
      </c>
      <c r="O170" s="10">
        <f t="shared" si="30"/>
        <v>-22971</v>
      </c>
      <c r="P170" s="442">
        <v>-22971</v>
      </c>
      <c r="Q170" s="10">
        <f t="shared" si="31"/>
        <v>124965.41862068966</v>
      </c>
      <c r="R170" s="14">
        <f t="shared" si="32"/>
        <v>0</v>
      </c>
      <c r="S170" s="2">
        <f t="shared" si="33"/>
        <v>0</v>
      </c>
      <c r="T170" s="130">
        <f t="shared" si="34"/>
        <v>-1223154.4882758621</v>
      </c>
      <c r="U170" s="437">
        <f t="shared" si="35"/>
        <v>-9.7879437509710616</v>
      </c>
      <c r="V170" s="126"/>
      <c r="W170" s="526"/>
      <c r="X170" s="526"/>
      <c r="Y170" s="526"/>
      <c r="Z170" s="526"/>
      <c r="AA170" s="526"/>
      <c r="AB170" s="526"/>
      <c r="AC170" s="423"/>
      <c r="AD170" s="423"/>
      <c r="AE170" s="423"/>
      <c r="AF170" s="423"/>
      <c r="AG170" s="423"/>
    </row>
    <row r="171" spans="1:33" x14ac:dyDescent="0.25">
      <c r="A171" s="49">
        <f>+'A) Base RI'!A173</f>
        <v>5680</v>
      </c>
      <c r="B171" s="484" t="str">
        <f>+'A) Base RI'!B173</f>
        <v>Ogens</v>
      </c>
      <c r="C171" s="304">
        <f>+'D) Ecrêtage'!C171</f>
        <v>8675.0652136752142</v>
      </c>
      <c r="D171" s="440">
        <v>5853</v>
      </c>
      <c r="E171" s="440">
        <f t="shared" si="24"/>
        <v>17462</v>
      </c>
      <c r="F171" s="518">
        <f t="shared" si="25"/>
        <v>2.0128955310299248</v>
      </c>
      <c r="G171" s="440">
        <v>23315</v>
      </c>
      <c r="H171" s="440">
        <v>13158</v>
      </c>
      <c r="I171" s="438">
        <v>23810</v>
      </c>
      <c r="J171" s="304">
        <f t="shared" si="26"/>
        <v>60283</v>
      </c>
      <c r="K171" s="284">
        <f t="shared" si="27"/>
        <v>69400.521709401713</v>
      </c>
      <c r="L171" s="10">
        <f t="shared" si="28"/>
        <v>0</v>
      </c>
      <c r="M171" s="301">
        <f t="shared" si="29"/>
        <v>0</v>
      </c>
      <c r="N171" s="10">
        <v>0</v>
      </c>
      <c r="O171" s="10">
        <f t="shared" si="30"/>
        <v>16900</v>
      </c>
      <c r="P171" s="442">
        <v>16900</v>
      </c>
      <c r="Q171" s="10">
        <f t="shared" si="31"/>
        <v>8675.0652136752142</v>
      </c>
      <c r="R171" s="14">
        <f t="shared" si="32"/>
        <v>8224.9347863247858</v>
      </c>
      <c r="S171" s="2">
        <f t="shared" si="33"/>
        <v>-6168.7010897435894</v>
      </c>
      <c r="T171" s="130">
        <f t="shared" si="34"/>
        <v>-6168.7010897435894</v>
      </c>
      <c r="U171" s="437">
        <f t="shared" si="35"/>
        <v>-0.71108411727203635</v>
      </c>
      <c r="V171" s="126"/>
      <c r="W171" s="526"/>
      <c r="X171" s="526"/>
      <c r="Y171" s="526"/>
      <c r="Z171" s="526"/>
      <c r="AA171" s="526"/>
      <c r="AB171" s="526"/>
      <c r="AC171" s="423"/>
      <c r="AD171" s="423"/>
      <c r="AE171" s="423"/>
      <c r="AF171" s="423"/>
      <c r="AG171" s="423"/>
    </row>
    <row r="172" spans="1:33" x14ac:dyDescent="0.25">
      <c r="A172" s="49">
        <f>+'A) Base RI'!A174</f>
        <v>5683</v>
      </c>
      <c r="B172" s="484" t="str">
        <f>+'A) Base RI'!B174</f>
        <v>Prévonloup</v>
      </c>
      <c r="C172" s="304">
        <f>+'D) Ecrêtage'!C172</f>
        <v>5006.0282758620697</v>
      </c>
      <c r="D172" s="440">
        <v>0</v>
      </c>
      <c r="E172" s="440">
        <f t="shared" si="24"/>
        <v>9976</v>
      </c>
      <c r="F172" s="518">
        <f t="shared" si="25"/>
        <v>1.9927973735390199</v>
      </c>
      <c r="G172" s="440">
        <v>9976</v>
      </c>
      <c r="H172" s="440">
        <v>7322</v>
      </c>
      <c r="I172" s="438">
        <v>12976</v>
      </c>
      <c r="J172" s="304">
        <f t="shared" si="26"/>
        <v>30274</v>
      </c>
      <c r="K172" s="284">
        <f t="shared" si="27"/>
        <v>40048.226206896557</v>
      </c>
      <c r="L172" s="10">
        <f t="shared" si="28"/>
        <v>0</v>
      </c>
      <c r="M172" s="301">
        <f t="shared" si="29"/>
        <v>0</v>
      </c>
      <c r="N172" s="10">
        <v>0</v>
      </c>
      <c r="O172" s="10">
        <f t="shared" si="30"/>
        <v>-2762</v>
      </c>
      <c r="P172" s="442">
        <v>-2762</v>
      </c>
      <c r="Q172" s="10">
        <f t="shared" si="31"/>
        <v>5006.0282758620697</v>
      </c>
      <c r="R172" s="14">
        <f t="shared" si="32"/>
        <v>0</v>
      </c>
      <c r="S172" s="2">
        <f t="shared" si="33"/>
        <v>0</v>
      </c>
      <c r="T172" s="130">
        <f t="shared" si="34"/>
        <v>0</v>
      </c>
      <c r="U172" s="437">
        <f t="shared" si="35"/>
        <v>0</v>
      </c>
      <c r="V172" s="126"/>
      <c r="W172" s="526"/>
      <c r="X172" s="526"/>
      <c r="Y172" s="526"/>
      <c r="Z172" s="526"/>
      <c r="AA172" s="526"/>
      <c r="AB172" s="526"/>
      <c r="AC172" s="423"/>
      <c r="AD172" s="423"/>
      <c r="AE172" s="423"/>
      <c r="AF172" s="423"/>
      <c r="AG172" s="423"/>
    </row>
    <row r="173" spans="1:33" x14ac:dyDescent="0.25">
      <c r="A173" s="49">
        <f>+'A) Base RI'!A175</f>
        <v>5684</v>
      </c>
      <c r="B173" s="484" t="str">
        <f>+'A) Base RI'!B175</f>
        <v>Rossenges</v>
      </c>
      <c r="C173" s="304">
        <f>+'D) Ecrêtage'!C173</f>
        <v>4335.3234000000011</v>
      </c>
      <c r="D173" s="440">
        <v>0</v>
      </c>
      <c r="E173" s="440">
        <f t="shared" si="24"/>
        <v>1716</v>
      </c>
      <c r="F173" s="518">
        <f t="shared" si="25"/>
        <v>0.39581822200392236</v>
      </c>
      <c r="G173" s="440">
        <v>1716</v>
      </c>
      <c r="H173" s="440">
        <v>3170</v>
      </c>
      <c r="I173" s="438">
        <v>4281</v>
      </c>
      <c r="J173" s="304">
        <f t="shared" si="26"/>
        <v>9167</v>
      </c>
      <c r="K173" s="284">
        <f t="shared" si="27"/>
        <v>34682.587200000009</v>
      </c>
      <c r="L173" s="10">
        <f t="shared" si="28"/>
        <v>0</v>
      </c>
      <c r="M173" s="301">
        <f t="shared" si="29"/>
        <v>0</v>
      </c>
      <c r="N173" s="10">
        <v>780</v>
      </c>
      <c r="O173" s="10">
        <f t="shared" si="30"/>
        <v>139</v>
      </c>
      <c r="P173" s="442">
        <v>919</v>
      </c>
      <c r="Q173" s="10">
        <f t="shared" si="31"/>
        <v>4335.3234000000011</v>
      </c>
      <c r="R173" s="14">
        <f t="shared" si="32"/>
        <v>0</v>
      </c>
      <c r="S173" s="2">
        <f t="shared" si="33"/>
        <v>0</v>
      </c>
      <c r="T173" s="130">
        <f t="shared" si="34"/>
        <v>0</v>
      </c>
      <c r="U173" s="437">
        <f t="shared" si="35"/>
        <v>0</v>
      </c>
      <c r="V173" s="126"/>
      <c r="W173" s="526"/>
      <c r="X173" s="526"/>
      <c r="Y173" s="526"/>
      <c r="Z173" s="526"/>
      <c r="AA173" s="526"/>
      <c r="AB173" s="526"/>
      <c r="AC173" s="423"/>
      <c r="AD173" s="423"/>
      <c r="AE173" s="423"/>
      <c r="AF173" s="423"/>
      <c r="AG173" s="423"/>
    </row>
    <row r="174" spans="1:33" x14ac:dyDescent="0.25">
      <c r="A174" s="49">
        <f>+'A) Base RI'!A176</f>
        <v>5688</v>
      </c>
      <c r="B174" s="484" t="str">
        <f>+'A) Base RI'!B176</f>
        <v>Syens</v>
      </c>
      <c r="C174" s="304">
        <f>+'D) Ecrêtage'!C174</f>
        <v>5094.0764550264557</v>
      </c>
      <c r="D174" s="440">
        <v>0</v>
      </c>
      <c r="E174" s="440">
        <f t="shared" si="24"/>
        <v>26837</v>
      </c>
      <c r="F174" s="518">
        <f t="shared" si="25"/>
        <v>5.2682758566607779</v>
      </c>
      <c r="G174" s="440">
        <v>26837</v>
      </c>
      <c r="H174" s="440">
        <v>8775</v>
      </c>
      <c r="I174" s="438">
        <v>18248</v>
      </c>
      <c r="J174" s="304">
        <f t="shared" si="26"/>
        <v>53860</v>
      </c>
      <c r="K174" s="284">
        <f t="shared" si="27"/>
        <v>40752.611640211646</v>
      </c>
      <c r="L174" s="10">
        <f t="shared" si="28"/>
        <v>13107.388359788354</v>
      </c>
      <c r="M174" s="301">
        <f t="shared" si="29"/>
        <v>-9830.5412698412656</v>
      </c>
      <c r="N174" s="10">
        <v>0</v>
      </c>
      <c r="O174" s="10">
        <f t="shared" si="30"/>
        <v>-7432</v>
      </c>
      <c r="P174" s="442">
        <v>-7432</v>
      </c>
      <c r="Q174" s="10">
        <f t="shared" si="31"/>
        <v>5094.0764550264557</v>
      </c>
      <c r="R174" s="14">
        <f t="shared" si="32"/>
        <v>0</v>
      </c>
      <c r="S174" s="2">
        <f t="shared" si="33"/>
        <v>0</v>
      </c>
      <c r="T174" s="130">
        <f t="shared" si="34"/>
        <v>-9830.5412698412656</v>
      </c>
      <c r="U174" s="437">
        <f t="shared" si="35"/>
        <v>-1.9297985329884908</v>
      </c>
      <c r="V174" s="126"/>
      <c r="W174" s="526"/>
      <c r="X174" s="526"/>
      <c r="Y174" s="526"/>
      <c r="Z174" s="526"/>
      <c r="AA174" s="526"/>
      <c r="AB174" s="526"/>
      <c r="AC174" s="423"/>
      <c r="AD174" s="423"/>
      <c r="AE174" s="423"/>
      <c r="AF174" s="423"/>
      <c r="AG174" s="423"/>
    </row>
    <row r="175" spans="1:33" x14ac:dyDescent="0.25">
      <c r="A175" s="49">
        <f>+'A) Base RI'!A177</f>
        <v>5690</v>
      </c>
      <c r="B175" s="484" t="str">
        <f>+'A) Base RI'!B177</f>
        <v>Villars-le-Comte</v>
      </c>
      <c r="C175" s="304">
        <f>+'D) Ecrêtage'!C175</f>
        <v>3483.7788571428573</v>
      </c>
      <c r="D175" s="440">
        <v>0</v>
      </c>
      <c r="E175" s="440">
        <f t="shared" si="24"/>
        <v>29657</v>
      </c>
      <c r="F175" s="518">
        <f t="shared" si="25"/>
        <v>8.5128824808135271</v>
      </c>
      <c r="G175" s="440">
        <v>29657</v>
      </c>
      <c r="H175" s="440">
        <v>4604</v>
      </c>
      <c r="I175" s="438">
        <v>6556</v>
      </c>
      <c r="J175" s="304">
        <f t="shared" si="26"/>
        <v>40817</v>
      </c>
      <c r="K175" s="284">
        <f t="shared" si="27"/>
        <v>27870.230857142858</v>
      </c>
      <c r="L175" s="10">
        <f t="shared" si="28"/>
        <v>12946.769142857142</v>
      </c>
      <c r="M175" s="301">
        <f t="shared" si="29"/>
        <v>-9710.0768571428562</v>
      </c>
      <c r="N175" s="10">
        <v>0</v>
      </c>
      <c r="O175" s="10">
        <f t="shared" si="30"/>
        <v>882</v>
      </c>
      <c r="P175" s="442">
        <v>882</v>
      </c>
      <c r="Q175" s="10">
        <f t="shared" si="31"/>
        <v>3483.7788571428573</v>
      </c>
      <c r="R175" s="14">
        <f t="shared" si="32"/>
        <v>0</v>
      </c>
      <c r="S175" s="2">
        <f t="shared" si="33"/>
        <v>0</v>
      </c>
      <c r="T175" s="130">
        <f t="shared" si="34"/>
        <v>-9710.0768571428562</v>
      </c>
      <c r="U175" s="437">
        <f t="shared" si="35"/>
        <v>-2.7872253823557438</v>
      </c>
      <c r="V175" s="126"/>
      <c r="W175" s="526"/>
      <c r="X175" s="526"/>
      <c r="Y175" s="526"/>
      <c r="Z175" s="526"/>
      <c r="AA175" s="526"/>
      <c r="AB175" s="526"/>
      <c r="AC175" s="423"/>
      <c r="AD175" s="423"/>
      <c r="AE175" s="423"/>
      <c r="AF175" s="423"/>
      <c r="AG175" s="423"/>
    </row>
    <row r="176" spans="1:33" x14ac:dyDescent="0.25">
      <c r="A176" s="49">
        <f>+'A) Base RI'!A178</f>
        <v>5692</v>
      </c>
      <c r="B176" s="484" t="str">
        <f>+'A) Base RI'!B178</f>
        <v>Vucherens</v>
      </c>
      <c r="C176" s="304">
        <f>+'D) Ecrêtage'!C176</f>
        <v>18084.556363636369</v>
      </c>
      <c r="D176" s="440">
        <v>6632</v>
      </c>
      <c r="E176" s="440">
        <f t="shared" si="24"/>
        <v>128813</v>
      </c>
      <c r="F176" s="518">
        <f t="shared" si="25"/>
        <v>7.1228178015475967</v>
      </c>
      <c r="G176" s="440">
        <v>135445</v>
      </c>
      <c r="H176" s="440">
        <v>32834</v>
      </c>
      <c r="I176" s="438">
        <v>82806</v>
      </c>
      <c r="J176" s="304">
        <f t="shared" si="26"/>
        <v>251085</v>
      </c>
      <c r="K176" s="284">
        <f t="shared" si="27"/>
        <v>144676.45090909096</v>
      </c>
      <c r="L176" s="10">
        <f t="shared" si="28"/>
        <v>106408.54909090904</v>
      </c>
      <c r="M176" s="301">
        <f t="shared" si="29"/>
        <v>-79806.411818181776</v>
      </c>
      <c r="N176" s="10">
        <v>0</v>
      </c>
      <c r="O176" s="10">
        <f t="shared" si="30"/>
        <v>-24712</v>
      </c>
      <c r="P176" s="442">
        <v>-24712</v>
      </c>
      <c r="Q176" s="10">
        <f t="shared" si="31"/>
        <v>18084.556363636369</v>
      </c>
      <c r="R176" s="14">
        <f t="shared" si="32"/>
        <v>0</v>
      </c>
      <c r="S176" s="2">
        <f t="shared" si="33"/>
        <v>0</v>
      </c>
      <c r="T176" s="130">
        <f t="shared" si="34"/>
        <v>-79806.411818181776</v>
      </c>
      <c r="U176" s="437">
        <f t="shared" si="35"/>
        <v>-4.4129593346648521</v>
      </c>
      <c r="V176" s="126"/>
      <c r="W176" s="526"/>
      <c r="X176" s="526"/>
      <c r="Y176" s="526"/>
      <c r="Z176" s="526"/>
      <c r="AA176" s="526"/>
      <c r="AB176" s="526"/>
      <c r="AC176" s="423"/>
      <c r="AD176" s="423"/>
      <c r="AE176" s="423"/>
      <c r="AF176" s="423"/>
      <c r="AG176" s="423"/>
    </row>
    <row r="177" spans="1:33" x14ac:dyDescent="0.25">
      <c r="A177" s="49">
        <f>+'A) Base RI'!A179</f>
        <v>5693</v>
      </c>
      <c r="B177" s="484" t="str">
        <f>+'A) Base RI'!B179</f>
        <v>Montanaire</v>
      </c>
      <c r="C177" s="304">
        <f>+'D) Ecrêtage'!C177</f>
        <v>71120.535138888881</v>
      </c>
      <c r="D177" s="440">
        <v>114342</v>
      </c>
      <c r="E177" s="440">
        <f t="shared" si="24"/>
        <v>571638</v>
      </c>
      <c r="F177" s="518">
        <f t="shared" si="25"/>
        <v>8.0375941896903278</v>
      </c>
      <c r="G177" s="440">
        <v>685980</v>
      </c>
      <c r="H177" s="440">
        <v>153811</v>
      </c>
      <c r="I177" s="438">
        <v>218556</v>
      </c>
      <c r="J177" s="304">
        <f t="shared" si="26"/>
        <v>1058347</v>
      </c>
      <c r="K177" s="284">
        <f t="shared" si="27"/>
        <v>568964.28111111105</v>
      </c>
      <c r="L177" s="10">
        <f t="shared" si="28"/>
        <v>489382.71888888895</v>
      </c>
      <c r="M177" s="301">
        <f t="shared" si="29"/>
        <v>-367037.03916666668</v>
      </c>
      <c r="N177" s="10">
        <v>0</v>
      </c>
      <c r="O177" s="10">
        <f t="shared" si="30"/>
        <v>158928</v>
      </c>
      <c r="P177" s="442">
        <v>158928</v>
      </c>
      <c r="Q177" s="10">
        <f t="shared" si="31"/>
        <v>71120.535138888881</v>
      </c>
      <c r="R177" s="14">
        <f t="shared" si="32"/>
        <v>87807.464861111119</v>
      </c>
      <c r="S177" s="2">
        <f t="shared" si="33"/>
        <v>-65855.598645833335</v>
      </c>
      <c r="T177" s="130">
        <f t="shared" si="34"/>
        <v>-432892.6378125</v>
      </c>
      <c r="U177" s="437">
        <f t="shared" si="35"/>
        <v>-6.0867460708376093</v>
      </c>
      <c r="V177" s="126"/>
      <c r="W177" s="526"/>
      <c r="X177" s="526"/>
      <c r="Y177" s="526"/>
      <c r="Z177" s="526"/>
      <c r="AA177" s="526"/>
      <c r="AB177" s="526"/>
      <c r="AC177" s="423"/>
      <c r="AD177" s="423"/>
      <c r="AE177" s="423"/>
      <c r="AF177" s="423"/>
      <c r="AG177" s="423"/>
    </row>
    <row r="178" spans="1:33" x14ac:dyDescent="0.25">
      <c r="A178" s="49">
        <f>+'A) Base RI'!A180</f>
        <v>5701</v>
      </c>
      <c r="B178" s="484" t="str">
        <f>+'A) Base RI'!B180</f>
        <v>Arnex-sur-Nyon</v>
      </c>
      <c r="C178" s="304">
        <f>+'D) Ecrêtage'!C178</f>
        <v>12579.391714285715</v>
      </c>
      <c r="D178" s="440">
        <v>0</v>
      </c>
      <c r="E178" s="440">
        <f t="shared" si="24"/>
        <v>1373</v>
      </c>
      <c r="F178" s="518">
        <f t="shared" si="25"/>
        <v>0.1091467720526391</v>
      </c>
      <c r="G178" s="440">
        <v>1373</v>
      </c>
      <c r="H178" s="440">
        <v>9727</v>
      </c>
      <c r="I178" s="438">
        <v>33839</v>
      </c>
      <c r="J178" s="304">
        <f t="shared" si="26"/>
        <v>44939</v>
      </c>
      <c r="K178" s="284">
        <f t="shared" si="27"/>
        <v>100635.13371428572</v>
      </c>
      <c r="L178" s="10">
        <f t="shared" si="28"/>
        <v>0</v>
      </c>
      <c r="M178" s="301">
        <f t="shared" si="29"/>
        <v>0</v>
      </c>
      <c r="N178" s="10">
        <v>0</v>
      </c>
      <c r="O178" s="10">
        <f t="shared" si="30"/>
        <v>867</v>
      </c>
      <c r="P178" s="442">
        <v>867</v>
      </c>
      <c r="Q178" s="10">
        <f t="shared" si="31"/>
        <v>12579.391714285715</v>
      </c>
      <c r="R178" s="14">
        <f t="shared" si="32"/>
        <v>0</v>
      </c>
      <c r="S178" s="2">
        <f t="shared" si="33"/>
        <v>0</v>
      </c>
      <c r="T178" s="130">
        <f t="shared" si="34"/>
        <v>0</v>
      </c>
      <c r="U178" s="437">
        <f t="shared" si="35"/>
        <v>0</v>
      </c>
      <c r="V178" s="126"/>
      <c r="W178" s="526"/>
      <c r="X178" s="526"/>
      <c r="Y178" s="526"/>
      <c r="Z178" s="526"/>
      <c r="AA178" s="526"/>
      <c r="AB178" s="526"/>
      <c r="AC178" s="423"/>
      <c r="AD178" s="423"/>
      <c r="AE178" s="423"/>
      <c r="AF178" s="423"/>
      <c r="AG178" s="423"/>
    </row>
    <row r="179" spans="1:33" x14ac:dyDescent="0.25">
      <c r="A179" s="49">
        <f>+'A) Base RI'!A181</f>
        <v>5702</v>
      </c>
      <c r="B179" s="484" t="str">
        <f>+'A) Base RI'!B181</f>
        <v>Arzier-Le Muids</v>
      </c>
      <c r="C179" s="304">
        <f>+'D) Ecrêtage'!C179</f>
        <v>167751.11713541666</v>
      </c>
      <c r="D179" s="440">
        <v>212592</v>
      </c>
      <c r="E179" s="440">
        <f t="shared" si="24"/>
        <v>421385</v>
      </c>
      <c r="F179" s="518">
        <f t="shared" si="25"/>
        <v>2.5119653877466463</v>
      </c>
      <c r="G179" s="440">
        <v>633977</v>
      </c>
      <c r="H179" s="440">
        <v>198290</v>
      </c>
      <c r="I179" s="438">
        <v>147052</v>
      </c>
      <c r="J179" s="304">
        <f t="shared" si="26"/>
        <v>979319</v>
      </c>
      <c r="K179" s="284">
        <f t="shared" si="27"/>
        <v>1342008.9370833333</v>
      </c>
      <c r="L179" s="10">
        <f t="shared" si="28"/>
        <v>0</v>
      </c>
      <c r="M179" s="301">
        <f t="shared" si="29"/>
        <v>0</v>
      </c>
      <c r="N179" s="10">
        <v>192650</v>
      </c>
      <c r="O179" s="10">
        <f t="shared" si="30"/>
        <v>560885</v>
      </c>
      <c r="P179" s="442">
        <v>753535</v>
      </c>
      <c r="Q179" s="10">
        <f t="shared" si="31"/>
        <v>167751.11713541666</v>
      </c>
      <c r="R179" s="14">
        <f t="shared" si="32"/>
        <v>585783.88286458328</v>
      </c>
      <c r="S179" s="2">
        <f t="shared" si="33"/>
        <v>-439337.91214843746</v>
      </c>
      <c r="T179" s="130">
        <f t="shared" si="34"/>
        <v>-439337.91214843746</v>
      </c>
      <c r="U179" s="437">
        <f t="shared" si="35"/>
        <v>-2.6189865060259661</v>
      </c>
      <c r="V179" s="126"/>
      <c r="W179" s="526"/>
      <c r="X179" s="526"/>
      <c r="Y179" s="526"/>
      <c r="Z179" s="526"/>
      <c r="AA179" s="526"/>
      <c r="AB179" s="526"/>
      <c r="AC179" s="423"/>
      <c r="AD179" s="423"/>
      <c r="AE179" s="423"/>
      <c r="AF179" s="423"/>
      <c r="AG179" s="423"/>
    </row>
    <row r="180" spans="1:33" x14ac:dyDescent="0.25">
      <c r="A180" s="49">
        <f>+'A) Base RI'!A182</f>
        <v>5703</v>
      </c>
      <c r="B180" s="484" t="str">
        <f>+'A) Base RI'!B182</f>
        <v>Bassins</v>
      </c>
      <c r="C180" s="304">
        <f>+'D) Ecrêtage'!C180</f>
        <v>66904.36396059113</v>
      </c>
      <c r="D180" s="440">
        <v>12740</v>
      </c>
      <c r="E180" s="440">
        <f t="shared" si="24"/>
        <v>259106</v>
      </c>
      <c r="F180" s="518">
        <f t="shared" si="25"/>
        <v>3.8727817538572213</v>
      </c>
      <c r="G180" s="440">
        <v>271846</v>
      </c>
      <c r="H180" s="440">
        <v>59253</v>
      </c>
      <c r="I180" s="438">
        <v>124797</v>
      </c>
      <c r="J180" s="304">
        <f t="shared" si="26"/>
        <v>455896</v>
      </c>
      <c r="K180" s="284">
        <f t="shared" si="27"/>
        <v>535234.91168472904</v>
      </c>
      <c r="L180" s="10">
        <f t="shared" si="28"/>
        <v>0</v>
      </c>
      <c r="M180" s="301">
        <f t="shared" si="29"/>
        <v>0</v>
      </c>
      <c r="N180" s="10">
        <v>0</v>
      </c>
      <c r="O180" s="10">
        <f t="shared" si="30"/>
        <v>435921</v>
      </c>
      <c r="P180" s="442">
        <v>435921</v>
      </c>
      <c r="Q180" s="10">
        <f t="shared" si="31"/>
        <v>66904.36396059113</v>
      </c>
      <c r="R180" s="14">
        <f t="shared" si="32"/>
        <v>369016.63603940886</v>
      </c>
      <c r="S180" s="2">
        <f t="shared" si="33"/>
        <v>-276762.47702955664</v>
      </c>
      <c r="T180" s="130">
        <f t="shared" si="34"/>
        <v>-276762.47702955664</v>
      </c>
      <c r="U180" s="437">
        <f t="shared" si="35"/>
        <v>-4.136687962426171</v>
      </c>
      <c r="V180" s="126"/>
      <c r="W180" s="526"/>
      <c r="X180" s="526"/>
      <c r="Y180" s="526"/>
      <c r="Z180" s="526"/>
      <c r="AA180" s="526"/>
      <c r="AB180" s="526"/>
      <c r="AC180" s="423"/>
      <c r="AD180" s="423"/>
      <c r="AE180" s="423"/>
      <c r="AF180" s="423"/>
      <c r="AG180" s="423"/>
    </row>
    <row r="181" spans="1:33" x14ac:dyDescent="0.25">
      <c r="A181" s="49">
        <f>+'A) Base RI'!A183</f>
        <v>5704</v>
      </c>
      <c r="B181" s="484" t="str">
        <f>+'A) Base RI'!B183</f>
        <v>Begnins</v>
      </c>
      <c r="C181" s="304">
        <f>+'D) Ecrêtage'!C181</f>
        <v>141538.79477333333</v>
      </c>
      <c r="D181" s="440">
        <v>224790</v>
      </c>
      <c r="E181" s="440">
        <f t="shared" si="24"/>
        <v>536199</v>
      </c>
      <c r="F181" s="518">
        <f t="shared" si="25"/>
        <v>3.7883535807881756</v>
      </c>
      <c r="G181" s="440">
        <v>760989</v>
      </c>
      <c r="H181" s="440">
        <v>87778</v>
      </c>
      <c r="I181" s="438">
        <v>172385</v>
      </c>
      <c r="J181" s="304">
        <f t="shared" si="26"/>
        <v>1021152</v>
      </c>
      <c r="K181" s="284">
        <f t="shared" si="27"/>
        <v>1132310.3581866666</v>
      </c>
      <c r="L181" s="10">
        <f t="shared" si="28"/>
        <v>0</v>
      </c>
      <c r="M181" s="301">
        <f t="shared" si="29"/>
        <v>0</v>
      </c>
      <c r="N181" s="10">
        <v>0</v>
      </c>
      <c r="O181" s="10">
        <f t="shared" si="30"/>
        <v>36124</v>
      </c>
      <c r="P181" s="442">
        <v>36124</v>
      </c>
      <c r="Q181" s="10">
        <f t="shared" si="31"/>
        <v>141538.79477333333</v>
      </c>
      <c r="R181" s="14">
        <f t="shared" si="32"/>
        <v>0</v>
      </c>
      <c r="S181" s="2">
        <f t="shared" si="33"/>
        <v>0</v>
      </c>
      <c r="T181" s="130">
        <f t="shared" si="34"/>
        <v>0</v>
      </c>
      <c r="U181" s="437">
        <f t="shared" si="35"/>
        <v>0</v>
      </c>
      <c r="V181" s="126"/>
      <c r="W181" s="526"/>
      <c r="X181" s="526"/>
      <c r="Y181" s="526"/>
      <c r="Z181" s="526"/>
      <c r="AA181" s="526"/>
      <c r="AB181" s="526"/>
      <c r="AC181" s="423"/>
      <c r="AD181" s="423"/>
      <c r="AE181" s="423"/>
      <c r="AF181" s="423"/>
      <c r="AG181" s="423"/>
    </row>
    <row r="182" spans="1:33" x14ac:dyDescent="0.25">
      <c r="A182" s="49">
        <f>+'A) Base RI'!A184</f>
        <v>5705</v>
      </c>
      <c r="B182" s="484" t="str">
        <f>+'A) Base RI'!B184</f>
        <v>Bogis-Bossey</v>
      </c>
      <c r="C182" s="304">
        <f>+'D) Ecrêtage'!C182</f>
        <v>56148.948053691274</v>
      </c>
      <c r="D182" s="440">
        <v>85233</v>
      </c>
      <c r="E182" s="440">
        <f t="shared" si="24"/>
        <v>114271</v>
      </c>
      <c r="F182" s="518">
        <f t="shared" si="25"/>
        <v>2.0351405317643834</v>
      </c>
      <c r="G182" s="440">
        <v>199504</v>
      </c>
      <c r="H182" s="440">
        <v>58081</v>
      </c>
      <c r="I182" s="438">
        <v>46861</v>
      </c>
      <c r="J182" s="304">
        <f t="shared" si="26"/>
        <v>304446</v>
      </c>
      <c r="K182" s="284">
        <f t="shared" si="27"/>
        <v>449191.58442953019</v>
      </c>
      <c r="L182" s="10">
        <f t="shared" si="28"/>
        <v>0</v>
      </c>
      <c r="M182" s="301">
        <f t="shared" si="29"/>
        <v>0</v>
      </c>
      <c r="N182" s="10">
        <v>0</v>
      </c>
      <c r="O182" s="10">
        <f t="shared" si="30"/>
        <v>8855</v>
      </c>
      <c r="P182" s="442">
        <v>8855</v>
      </c>
      <c r="Q182" s="10">
        <f t="shared" si="31"/>
        <v>56148.948053691274</v>
      </c>
      <c r="R182" s="14">
        <f t="shared" si="32"/>
        <v>0</v>
      </c>
      <c r="S182" s="2">
        <f t="shared" si="33"/>
        <v>0</v>
      </c>
      <c r="T182" s="130">
        <f t="shared" si="34"/>
        <v>0</v>
      </c>
      <c r="U182" s="437">
        <f t="shared" si="35"/>
        <v>0</v>
      </c>
      <c r="V182" s="126"/>
      <c r="W182" s="526"/>
      <c r="X182" s="526"/>
      <c r="Y182" s="526"/>
      <c r="Z182" s="526"/>
      <c r="AA182" s="526"/>
      <c r="AB182" s="526"/>
      <c r="AC182" s="423"/>
      <c r="AD182" s="423"/>
      <c r="AE182" s="423"/>
      <c r="AF182" s="423"/>
      <c r="AG182" s="423"/>
    </row>
    <row r="183" spans="1:33" x14ac:dyDescent="0.25">
      <c r="A183" s="49">
        <f>+'A) Base RI'!A185</f>
        <v>5706</v>
      </c>
      <c r="B183" s="484" t="str">
        <f>+'A) Base RI'!B185</f>
        <v>Borex</v>
      </c>
      <c r="C183" s="304">
        <f>+'D) Ecrêtage'!C183</f>
        <v>84057.706842105254</v>
      </c>
      <c r="D183" s="440">
        <v>0</v>
      </c>
      <c r="E183" s="440">
        <f t="shared" si="24"/>
        <v>0</v>
      </c>
      <c r="F183" s="518">
        <f t="shared" si="25"/>
        <v>0</v>
      </c>
      <c r="G183" s="440">
        <v>0</v>
      </c>
      <c r="H183" s="440">
        <v>0</v>
      </c>
      <c r="I183" s="438">
        <v>0</v>
      </c>
      <c r="J183" s="304">
        <f t="shared" si="26"/>
        <v>0</v>
      </c>
      <c r="K183" s="284">
        <f t="shared" si="27"/>
        <v>672461.65473684203</v>
      </c>
      <c r="L183" s="10">
        <f t="shared" si="28"/>
        <v>0</v>
      </c>
      <c r="M183" s="301">
        <f t="shared" si="29"/>
        <v>0</v>
      </c>
      <c r="N183" s="10">
        <v>0</v>
      </c>
      <c r="O183" s="10">
        <f t="shared" si="30"/>
        <v>0</v>
      </c>
      <c r="P183" s="442">
        <v>0</v>
      </c>
      <c r="Q183" s="10">
        <f t="shared" si="31"/>
        <v>84057.706842105254</v>
      </c>
      <c r="R183" s="14">
        <f t="shared" si="32"/>
        <v>0</v>
      </c>
      <c r="S183" s="2">
        <f t="shared" si="33"/>
        <v>0</v>
      </c>
      <c r="T183" s="130">
        <f t="shared" si="34"/>
        <v>0</v>
      </c>
      <c r="U183" s="437">
        <f t="shared" si="35"/>
        <v>0</v>
      </c>
      <c r="V183" s="126"/>
      <c r="W183" s="526"/>
      <c r="X183" s="526"/>
      <c r="Y183" s="526"/>
      <c r="Z183" s="526"/>
      <c r="AA183" s="526"/>
      <c r="AB183" s="526"/>
      <c r="AC183" s="423"/>
      <c r="AD183" s="423"/>
      <c r="AE183" s="423"/>
      <c r="AF183" s="423"/>
      <c r="AG183" s="423"/>
    </row>
    <row r="184" spans="1:33" x14ac:dyDescent="0.25">
      <c r="A184" s="49">
        <f>+'A) Base RI'!A186</f>
        <v>5707</v>
      </c>
      <c r="B184" s="484" t="str">
        <f>+'A) Base RI'!B186</f>
        <v>Chavannes-de-Bogis</v>
      </c>
      <c r="C184" s="304">
        <f>+'D) Ecrêtage'!C184</f>
        <v>81835.320459770097</v>
      </c>
      <c r="D184" s="440">
        <v>0</v>
      </c>
      <c r="E184" s="440">
        <f t="shared" si="24"/>
        <v>0</v>
      </c>
      <c r="F184" s="518">
        <f t="shared" si="25"/>
        <v>0</v>
      </c>
      <c r="G184" s="440">
        <v>0</v>
      </c>
      <c r="H184" s="440">
        <v>0</v>
      </c>
      <c r="I184" s="438">
        <v>0</v>
      </c>
      <c r="J184" s="304">
        <f t="shared" si="26"/>
        <v>0</v>
      </c>
      <c r="K184" s="284">
        <f t="shared" si="27"/>
        <v>654682.56367816078</v>
      </c>
      <c r="L184" s="10">
        <f t="shared" si="28"/>
        <v>0</v>
      </c>
      <c r="M184" s="301">
        <f t="shared" si="29"/>
        <v>0</v>
      </c>
      <c r="N184" s="10">
        <v>0</v>
      </c>
      <c r="O184" s="10">
        <f t="shared" si="30"/>
        <v>0</v>
      </c>
      <c r="P184" s="442">
        <v>0</v>
      </c>
      <c r="Q184" s="10">
        <f t="shared" si="31"/>
        <v>81835.320459770097</v>
      </c>
      <c r="R184" s="14">
        <f t="shared" si="32"/>
        <v>0</v>
      </c>
      <c r="S184" s="2">
        <f t="shared" si="33"/>
        <v>0</v>
      </c>
      <c r="T184" s="130">
        <f t="shared" si="34"/>
        <v>0</v>
      </c>
      <c r="U184" s="437">
        <f t="shared" si="35"/>
        <v>0</v>
      </c>
      <c r="V184" s="126"/>
      <c r="W184" s="526"/>
      <c r="X184" s="526"/>
      <c r="Y184" s="526"/>
      <c r="Z184" s="526"/>
      <c r="AA184" s="526"/>
      <c r="AB184" s="526"/>
      <c r="AC184" s="423"/>
      <c r="AD184" s="423"/>
      <c r="AE184" s="423"/>
      <c r="AF184" s="423"/>
      <c r="AG184" s="423"/>
    </row>
    <row r="185" spans="1:33" x14ac:dyDescent="0.25">
      <c r="A185" s="49">
        <f>+'A) Base RI'!A187</f>
        <v>5708</v>
      </c>
      <c r="B185" s="484" t="str">
        <f>+'A) Base RI'!B187</f>
        <v>Chavannes-des-Bois</v>
      </c>
      <c r="C185" s="304">
        <f>+'D) Ecrêtage'!C185</f>
        <v>67256.112794117653</v>
      </c>
      <c r="D185" s="440">
        <v>125380</v>
      </c>
      <c r="E185" s="440">
        <f t="shared" si="24"/>
        <v>95689</v>
      </c>
      <c r="F185" s="518">
        <f t="shared" si="25"/>
        <v>1.4227554347798872</v>
      </c>
      <c r="G185" s="440">
        <v>221069</v>
      </c>
      <c r="H185" s="440">
        <v>54897</v>
      </c>
      <c r="I185" s="438">
        <v>62750</v>
      </c>
      <c r="J185" s="304">
        <f t="shared" si="26"/>
        <v>338716</v>
      </c>
      <c r="K185" s="284">
        <f t="shared" si="27"/>
        <v>538048.90235294122</v>
      </c>
      <c r="L185" s="10">
        <f t="shared" si="28"/>
        <v>0</v>
      </c>
      <c r="M185" s="301">
        <f t="shared" si="29"/>
        <v>0</v>
      </c>
      <c r="N185" s="10">
        <v>0</v>
      </c>
      <c r="O185" s="10">
        <f t="shared" si="30"/>
        <v>0</v>
      </c>
      <c r="P185" s="442">
        <v>0</v>
      </c>
      <c r="Q185" s="10">
        <f t="shared" si="31"/>
        <v>67256.112794117653</v>
      </c>
      <c r="R185" s="14">
        <f t="shared" si="32"/>
        <v>0</v>
      </c>
      <c r="S185" s="2">
        <f t="shared" si="33"/>
        <v>0</v>
      </c>
      <c r="T185" s="130">
        <f t="shared" si="34"/>
        <v>0</v>
      </c>
      <c r="U185" s="437">
        <f t="shared" si="35"/>
        <v>0</v>
      </c>
      <c r="V185" s="126"/>
      <c r="W185" s="526"/>
      <c r="X185" s="526"/>
      <c r="Y185" s="526"/>
      <c r="Z185" s="526"/>
      <c r="AA185" s="526"/>
      <c r="AB185" s="526"/>
      <c r="AC185" s="423"/>
      <c r="AD185" s="423"/>
      <c r="AE185" s="423"/>
      <c r="AF185" s="423"/>
      <c r="AG185" s="423"/>
    </row>
    <row r="186" spans="1:33" x14ac:dyDescent="0.25">
      <c r="A186" s="49">
        <f>+'A) Base RI'!A188</f>
        <v>5709</v>
      </c>
      <c r="B186" s="484" t="str">
        <f>+'A) Base RI'!B188</f>
        <v>Chéserex</v>
      </c>
      <c r="C186" s="304">
        <f>+'D) Ecrêtage'!C186</f>
        <v>97368.06631578946</v>
      </c>
      <c r="D186" s="440">
        <v>155405</v>
      </c>
      <c r="E186" s="440">
        <f t="shared" si="24"/>
        <v>142008</v>
      </c>
      <c r="F186" s="518">
        <f t="shared" si="25"/>
        <v>1.4584658540864091</v>
      </c>
      <c r="G186" s="440">
        <v>297413</v>
      </c>
      <c r="H186" s="440">
        <v>52585</v>
      </c>
      <c r="I186" s="438">
        <v>170893</v>
      </c>
      <c r="J186" s="304">
        <f t="shared" si="26"/>
        <v>520891</v>
      </c>
      <c r="K186" s="284">
        <f t="shared" si="27"/>
        <v>778944.53052631568</v>
      </c>
      <c r="L186" s="10">
        <f t="shared" si="28"/>
        <v>0</v>
      </c>
      <c r="M186" s="301">
        <f t="shared" si="29"/>
        <v>0</v>
      </c>
      <c r="N186" s="10">
        <v>0</v>
      </c>
      <c r="O186" s="10">
        <f t="shared" si="30"/>
        <v>67156</v>
      </c>
      <c r="P186" s="442">
        <v>67156</v>
      </c>
      <c r="Q186" s="10">
        <f t="shared" si="31"/>
        <v>97368.06631578946</v>
      </c>
      <c r="R186" s="14">
        <f t="shared" si="32"/>
        <v>0</v>
      </c>
      <c r="S186" s="2">
        <f t="shared" si="33"/>
        <v>0</v>
      </c>
      <c r="T186" s="130">
        <f t="shared" si="34"/>
        <v>0</v>
      </c>
      <c r="U186" s="437">
        <f t="shared" si="35"/>
        <v>0</v>
      </c>
      <c r="V186" s="126"/>
      <c r="W186" s="526"/>
      <c r="X186" s="526"/>
      <c r="Y186" s="526"/>
      <c r="Z186" s="526"/>
      <c r="AA186" s="526"/>
      <c r="AB186" s="526"/>
      <c r="AC186" s="423"/>
      <c r="AD186" s="423"/>
      <c r="AE186" s="423"/>
      <c r="AF186" s="423"/>
      <c r="AG186" s="423"/>
    </row>
    <row r="187" spans="1:33" x14ac:dyDescent="0.25">
      <c r="A187" s="49">
        <f>+'A) Base RI'!A189</f>
        <v>5710</v>
      </c>
      <c r="B187" s="484" t="str">
        <f>+'A) Base RI'!B189</f>
        <v>Coinsins</v>
      </c>
      <c r="C187" s="304">
        <f>+'D) Ecrêtage'!C187</f>
        <v>41108.965294117646</v>
      </c>
      <c r="D187" s="440">
        <v>0</v>
      </c>
      <c r="E187" s="440">
        <f t="shared" si="24"/>
        <v>77728</v>
      </c>
      <c r="F187" s="518">
        <f t="shared" si="25"/>
        <v>1.8907797713683208</v>
      </c>
      <c r="G187" s="440">
        <v>77728</v>
      </c>
      <c r="H187" s="440">
        <v>20983</v>
      </c>
      <c r="I187" s="438">
        <v>46321</v>
      </c>
      <c r="J187" s="304">
        <f t="shared" si="26"/>
        <v>145032</v>
      </c>
      <c r="K187" s="284">
        <f t="shared" si="27"/>
        <v>328871.72235294117</v>
      </c>
      <c r="L187" s="10">
        <f t="shared" si="28"/>
        <v>0</v>
      </c>
      <c r="M187" s="301">
        <f t="shared" si="29"/>
        <v>0</v>
      </c>
      <c r="N187" s="10">
        <v>0</v>
      </c>
      <c r="O187" s="10">
        <f t="shared" si="30"/>
        <v>16681</v>
      </c>
      <c r="P187" s="442">
        <v>16681</v>
      </c>
      <c r="Q187" s="10">
        <f t="shared" si="31"/>
        <v>41108.965294117646</v>
      </c>
      <c r="R187" s="14">
        <f t="shared" si="32"/>
        <v>0</v>
      </c>
      <c r="S187" s="2">
        <f t="shared" si="33"/>
        <v>0</v>
      </c>
      <c r="T187" s="130">
        <f t="shared" si="34"/>
        <v>0</v>
      </c>
      <c r="U187" s="437">
        <f t="shared" si="35"/>
        <v>0</v>
      </c>
      <c r="V187" s="126"/>
      <c r="W187" s="526"/>
      <c r="X187" s="526"/>
      <c r="Y187" s="526"/>
      <c r="Z187" s="526"/>
      <c r="AA187" s="526"/>
      <c r="AB187" s="526"/>
      <c r="AC187" s="423"/>
      <c r="AD187" s="423"/>
      <c r="AE187" s="423"/>
      <c r="AF187" s="423"/>
      <c r="AG187" s="423"/>
    </row>
    <row r="188" spans="1:33" x14ac:dyDescent="0.25">
      <c r="A188" s="49">
        <f>+'A) Base RI'!A190</f>
        <v>5711</v>
      </c>
      <c r="B188" s="484" t="str">
        <f>+'A) Base RI'!B190</f>
        <v>Commugny</v>
      </c>
      <c r="C188" s="304">
        <f>+'D) Ecrêtage'!C188</f>
        <v>252772.67295911297</v>
      </c>
      <c r="D188" s="440">
        <v>50176</v>
      </c>
      <c r="E188" s="440">
        <f t="shared" si="24"/>
        <v>581095</v>
      </c>
      <c r="F188" s="518">
        <f t="shared" si="25"/>
        <v>2.2988837883357531</v>
      </c>
      <c r="G188" s="440">
        <v>631271</v>
      </c>
      <c r="H188" s="440">
        <v>170646</v>
      </c>
      <c r="I188" s="438">
        <v>162023</v>
      </c>
      <c r="J188" s="304">
        <f t="shared" si="26"/>
        <v>963940</v>
      </c>
      <c r="K188" s="284">
        <f t="shared" si="27"/>
        <v>2022181.3836729038</v>
      </c>
      <c r="L188" s="10">
        <f t="shared" si="28"/>
        <v>0</v>
      </c>
      <c r="M188" s="301">
        <f t="shared" si="29"/>
        <v>0</v>
      </c>
      <c r="N188" s="10">
        <v>0</v>
      </c>
      <c r="O188" s="10">
        <f t="shared" si="30"/>
        <v>0</v>
      </c>
      <c r="P188" s="442">
        <v>0</v>
      </c>
      <c r="Q188" s="10">
        <f t="shared" si="31"/>
        <v>252772.67295911297</v>
      </c>
      <c r="R188" s="14">
        <f t="shared" si="32"/>
        <v>0</v>
      </c>
      <c r="S188" s="2">
        <f t="shared" si="33"/>
        <v>0</v>
      </c>
      <c r="T188" s="130">
        <f t="shared" si="34"/>
        <v>0</v>
      </c>
      <c r="U188" s="437">
        <f t="shared" si="35"/>
        <v>0</v>
      </c>
      <c r="V188" s="126"/>
      <c r="W188" s="526"/>
      <c r="X188" s="526"/>
      <c r="Y188" s="526"/>
      <c r="Z188" s="526"/>
      <c r="AA188" s="526"/>
      <c r="AB188" s="526"/>
      <c r="AC188" s="423"/>
      <c r="AD188" s="423"/>
      <c r="AE188" s="423"/>
      <c r="AF188" s="423"/>
      <c r="AG188" s="423"/>
    </row>
    <row r="189" spans="1:33" x14ac:dyDescent="0.25">
      <c r="A189" s="49">
        <f>+'A) Base RI'!A191</f>
        <v>5712</v>
      </c>
      <c r="B189" s="484" t="str">
        <f>+'A) Base RI'!B191</f>
        <v>Coppet</v>
      </c>
      <c r="C189" s="304">
        <f>+'D) Ecrêtage'!C189</f>
        <v>382004.08345911955</v>
      </c>
      <c r="D189" s="440">
        <v>160397</v>
      </c>
      <c r="E189" s="440">
        <f t="shared" si="24"/>
        <v>543869</v>
      </c>
      <c r="F189" s="518">
        <f t="shared" si="25"/>
        <v>1.4237256185199982</v>
      </c>
      <c r="G189" s="440">
        <v>704266</v>
      </c>
      <c r="H189" s="440">
        <v>291198</v>
      </c>
      <c r="I189" s="438">
        <v>172631</v>
      </c>
      <c r="J189" s="304">
        <f t="shared" si="26"/>
        <v>1168095</v>
      </c>
      <c r="K189" s="284">
        <f t="shared" si="27"/>
        <v>3056032.6676729564</v>
      </c>
      <c r="L189" s="10">
        <f t="shared" si="28"/>
        <v>0</v>
      </c>
      <c r="M189" s="301">
        <f t="shared" si="29"/>
        <v>0</v>
      </c>
      <c r="N189" s="10">
        <v>0</v>
      </c>
      <c r="O189" s="10">
        <f t="shared" si="30"/>
        <v>0</v>
      </c>
      <c r="P189" s="442">
        <v>0</v>
      </c>
      <c r="Q189" s="10">
        <f t="shared" si="31"/>
        <v>382004.08345911955</v>
      </c>
      <c r="R189" s="14">
        <f t="shared" si="32"/>
        <v>0</v>
      </c>
      <c r="S189" s="2">
        <f t="shared" si="33"/>
        <v>0</v>
      </c>
      <c r="T189" s="130">
        <f t="shared" si="34"/>
        <v>0</v>
      </c>
      <c r="U189" s="437">
        <f t="shared" si="35"/>
        <v>0</v>
      </c>
      <c r="V189" s="126"/>
      <c r="W189" s="526"/>
      <c r="X189" s="526"/>
      <c r="Y189" s="526"/>
      <c r="Z189" s="526"/>
      <c r="AA189" s="526"/>
      <c r="AB189" s="526"/>
      <c r="AC189" s="423"/>
      <c r="AD189" s="423"/>
      <c r="AE189" s="423"/>
      <c r="AF189" s="423"/>
      <c r="AG189" s="423"/>
    </row>
    <row r="190" spans="1:33" x14ac:dyDescent="0.25">
      <c r="A190" s="49">
        <f>+'A) Base RI'!A192</f>
        <v>5713</v>
      </c>
      <c r="B190" s="484" t="str">
        <f>+'A) Base RI'!B192</f>
        <v>Crans-près-Céligny</v>
      </c>
      <c r="C190" s="304">
        <f>+'D) Ecrêtage'!C190</f>
        <v>308668.8301785714</v>
      </c>
      <c r="D190" s="440">
        <v>15448</v>
      </c>
      <c r="E190" s="440">
        <f t="shared" si="24"/>
        <v>324962</v>
      </c>
      <c r="F190" s="518">
        <f t="shared" si="25"/>
        <v>1.0527852773861315</v>
      </c>
      <c r="G190" s="440">
        <v>340410</v>
      </c>
      <c r="H190" s="440">
        <v>111272</v>
      </c>
      <c r="I190" s="438">
        <v>123511</v>
      </c>
      <c r="J190" s="304">
        <f t="shared" si="26"/>
        <v>575193</v>
      </c>
      <c r="K190" s="284">
        <f t="shared" si="27"/>
        <v>2469350.6414285712</v>
      </c>
      <c r="L190" s="10">
        <f t="shared" si="28"/>
        <v>0</v>
      </c>
      <c r="M190" s="301">
        <f t="shared" si="29"/>
        <v>0</v>
      </c>
      <c r="N190" s="10">
        <v>0</v>
      </c>
      <c r="O190" s="10">
        <f t="shared" si="30"/>
        <v>30447</v>
      </c>
      <c r="P190" s="442">
        <v>30447</v>
      </c>
      <c r="Q190" s="10">
        <f t="shared" si="31"/>
        <v>308668.8301785714</v>
      </c>
      <c r="R190" s="14">
        <f t="shared" si="32"/>
        <v>0</v>
      </c>
      <c r="S190" s="2">
        <f t="shared" si="33"/>
        <v>0</v>
      </c>
      <c r="T190" s="130">
        <f t="shared" si="34"/>
        <v>0</v>
      </c>
      <c r="U190" s="437">
        <f t="shared" si="35"/>
        <v>0</v>
      </c>
      <c r="V190" s="126"/>
      <c r="W190" s="526"/>
      <c r="X190" s="526"/>
      <c r="Y190" s="526"/>
      <c r="Z190" s="526"/>
      <c r="AA190" s="526"/>
      <c r="AB190" s="526"/>
      <c r="AC190" s="423"/>
      <c r="AD190" s="423"/>
      <c r="AE190" s="423"/>
      <c r="AF190" s="423"/>
      <c r="AG190" s="423"/>
    </row>
    <row r="191" spans="1:33" x14ac:dyDescent="0.25">
      <c r="A191" s="49">
        <f>+'A) Base RI'!A193</f>
        <v>5714</v>
      </c>
      <c r="B191" s="484" t="str">
        <f>+'A) Base RI'!B193</f>
        <v>Crassier</v>
      </c>
      <c r="C191" s="304">
        <f>+'D) Ecrêtage'!C191</f>
        <v>53429.691617647055</v>
      </c>
      <c r="D191" s="440">
        <v>0</v>
      </c>
      <c r="E191" s="440">
        <f t="shared" si="24"/>
        <v>0</v>
      </c>
      <c r="F191" s="518">
        <f t="shared" si="25"/>
        <v>0</v>
      </c>
      <c r="G191" s="440">
        <v>0</v>
      </c>
      <c r="H191" s="440">
        <v>0</v>
      </c>
      <c r="I191" s="438">
        <v>0</v>
      </c>
      <c r="J191" s="304">
        <f t="shared" si="26"/>
        <v>0</v>
      </c>
      <c r="K191" s="284">
        <f t="shared" si="27"/>
        <v>427437.53294117644</v>
      </c>
      <c r="L191" s="10">
        <f t="shared" si="28"/>
        <v>0</v>
      </c>
      <c r="M191" s="301">
        <f t="shared" si="29"/>
        <v>0</v>
      </c>
      <c r="N191" s="10">
        <v>0</v>
      </c>
      <c r="O191" s="10">
        <f t="shared" si="30"/>
        <v>0</v>
      </c>
      <c r="P191" s="442">
        <v>0</v>
      </c>
      <c r="Q191" s="10">
        <f t="shared" si="31"/>
        <v>53429.691617647055</v>
      </c>
      <c r="R191" s="14">
        <f t="shared" si="32"/>
        <v>0</v>
      </c>
      <c r="S191" s="2">
        <f t="shared" si="33"/>
        <v>0</v>
      </c>
      <c r="T191" s="130">
        <f t="shared" si="34"/>
        <v>0</v>
      </c>
      <c r="U191" s="437">
        <f t="shared" si="35"/>
        <v>0</v>
      </c>
      <c r="V191" s="126"/>
      <c r="W191" s="526"/>
      <c r="X191" s="526"/>
      <c r="Y191" s="526"/>
      <c r="Z191" s="526"/>
      <c r="AA191" s="526"/>
      <c r="AB191" s="526"/>
      <c r="AC191" s="423"/>
      <c r="AD191" s="423"/>
      <c r="AE191" s="423"/>
      <c r="AF191" s="423"/>
      <c r="AG191" s="423"/>
    </row>
    <row r="192" spans="1:33" x14ac:dyDescent="0.25">
      <c r="A192" s="49">
        <f>+'A) Base RI'!A194</f>
        <v>5715</v>
      </c>
      <c r="B192" s="484" t="str">
        <f>+'A) Base RI'!B194</f>
        <v>Duillier</v>
      </c>
      <c r="C192" s="304">
        <f>+'D) Ecrêtage'!C192</f>
        <v>61573.714242424234</v>
      </c>
      <c r="D192" s="440">
        <v>0</v>
      </c>
      <c r="E192" s="440">
        <f t="shared" si="24"/>
        <v>0</v>
      </c>
      <c r="F192" s="518">
        <f t="shared" si="25"/>
        <v>0</v>
      </c>
      <c r="G192" s="440">
        <v>0</v>
      </c>
      <c r="H192" s="440">
        <v>0</v>
      </c>
      <c r="I192" s="438">
        <v>0</v>
      </c>
      <c r="J192" s="304">
        <f t="shared" si="26"/>
        <v>0</v>
      </c>
      <c r="K192" s="284">
        <f t="shared" si="27"/>
        <v>492589.71393939387</v>
      </c>
      <c r="L192" s="10">
        <f t="shared" si="28"/>
        <v>0</v>
      </c>
      <c r="M192" s="301">
        <f t="shared" si="29"/>
        <v>0</v>
      </c>
      <c r="N192" s="10">
        <v>0</v>
      </c>
      <c r="O192" s="10">
        <f t="shared" si="30"/>
        <v>0</v>
      </c>
      <c r="P192" s="442">
        <v>0</v>
      </c>
      <c r="Q192" s="10">
        <f t="shared" si="31"/>
        <v>61573.714242424234</v>
      </c>
      <c r="R192" s="14">
        <f t="shared" si="32"/>
        <v>0</v>
      </c>
      <c r="S192" s="2">
        <f t="shared" si="33"/>
        <v>0</v>
      </c>
      <c r="T192" s="130">
        <f t="shared" si="34"/>
        <v>0</v>
      </c>
      <c r="U192" s="437">
        <f t="shared" si="35"/>
        <v>0</v>
      </c>
      <c r="V192" s="126"/>
      <c r="W192" s="526"/>
      <c r="X192" s="526"/>
      <c r="Y192" s="526"/>
      <c r="Z192" s="526"/>
      <c r="AA192" s="526"/>
      <c r="AB192" s="526"/>
      <c r="AC192" s="423"/>
      <c r="AD192" s="423"/>
      <c r="AE192" s="423"/>
      <c r="AF192" s="423"/>
      <c r="AG192" s="423"/>
    </row>
    <row r="193" spans="1:43" x14ac:dyDescent="0.25">
      <c r="A193" s="49">
        <f>+'A) Base RI'!A195</f>
        <v>5716</v>
      </c>
      <c r="B193" s="484" t="str">
        <f>+'A) Base RI'!B195</f>
        <v>Eysins</v>
      </c>
      <c r="C193" s="304">
        <f>+'D) Ecrêtage'!C193</f>
        <v>311499.41949579836</v>
      </c>
      <c r="D193" s="440">
        <v>0</v>
      </c>
      <c r="E193" s="440">
        <f t="shared" si="24"/>
        <v>0</v>
      </c>
      <c r="F193" s="518">
        <f t="shared" si="25"/>
        <v>0</v>
      </c>
      <c r="G193" s="440">
        <v>0</v>
      </c>
      <c r="H193" s="440">
        <v>0</v>
      </c>
      <c r="I193" s="438">
        <v>0</v>
      </c>
      <c r="J193" s="304">
        <f t="shared" si="26"/>
        <v>0</v>
      </c>
      <c r="K193" s="284">
        <f t="shared" si="27"/>
        <v>2491995.3559663869</v>
      </c>
      <c r="L193" s="10">
        <f t="shared" si="28"/>
        <v>0</v>
      </c>
      <c r="M193" s="301">
        <f t="shared" si="29"/>
        <v>0</v>
      </c>
      <c r="N193" s="10">
        <v>0</v>
      </c>
      <c r="O193" s="10">
        <f t="shared" si="30"/>
        <v>0</v>
      </c>
      <c r="P193" s="442">
        <v>0</v>
      </c>
      <c r="Q193" s="10">
        <f t="shared" si="31"/>
        <v>311499.41949579836</v>
      </c>
      <c r="R193" s="14">
        <f t="shared" si="32"/>
        <v>0</v>
      </c>
      <c r="S193" s="2">
        <f t="shared" si="33"/>
        <v>0</v>
      </c>
      <c r="T193" s="130">
        <f t="shared" si="34"/>
        <v>0</v>
      </c>
      <c r="U193" s="437">
        <f t="shared" si="35"/>
        <v>0</v>
      </c>
      <c r="V193" s="126"/>
      <c r="W193" s="526"/>
      <c r="X193" s="526"/>
      <c r="Y193" s="526"/>
      <c r="Z193" s="526"/>
      <c r="AA193" s="526"/>
      <c r="AB193" s="526"/>
      <c r="AC193" s="423"/>
      <c r="AD193" s="423"/>
      <c r="AE193" s="423"/>
      <c r="AF193" s="423"/>
      <c r="AG193" s="423"/>
    </row>
    <row r="194" spans="1:43" x14ac:dyDescent="0.25">
      <c r="A194" s="49">
        <f>+'A) Base RI'!A196</f>
        <v>5717</v>
      </c>
      <c r="B194" s="484" t="str">
        <f>+'A) Base RI'!B196</f>
        <v>Founex</v>
      </c>
      <c r="C194" s="304">
        <f>+'D) Ecrêtage'!C194</f>
        <v>386801.60228070174</v>
      </c>
      <c r="D194" s="440">
        <v>0</v>
      </c>
      <c r="E194" s="440">
        <f t="shared" si="24"/>
        <v>0</v>
      </c>
      <c r="F194" s="518">
        <f t="shared" si="25"/>
        <v>0</v>
      </c>
      <c r="G194" s="440">
        <v>0</v>
      </c>
      <c r="H194" s="440">
        <v>0</v>
      </c>
      <c r="I194" s="438">
        <v>0</v>
      </c>
      <c r="J194" s="304">
        <f t="shared" si="26"/>
        <v>0</v>
      </c>
      <c r="K194" s="284">
        <f t="shared" si="27"/>
        <v>3094412.8182456139</v>
      </c>
      <c r="L194" s="10">
        <f t="shared" si="28"/>
        <v>0</v>
      </c>
      <c r="M194" s="301">
        <f t="shared" si="29"/>
        <v>0</v>
      </c>
      <c r="N194" s="10">
        <v>0</v>
      </c>
      <c r="O194" s="10">
        <f t="shared" si="30"/>
        <v>0</v>
      </c>
      <c r="P194" s="442">
        <v>0</v>
      </c>
      <c r="Q194" s="10">
        <f t="shared" si="31"/>
        <v>386801.60228070174</v>
      </c>
      <c r="R194" s="14">
        <f t="shared" si="32"/>
        <v>0</v>
      </c>
      <c r="S194" s="2">
        <f t="shared" si="33"/>
        <v>0</v>
      </c>
      <c r="T194" s="130">
        <f t="shared" si="34"/>
        <v>0</v>
      </c>
      <c r="U194" s="437">
        <f t="shared" si="35"/>
        <v>0</v>
      </c>
      <c r="V194" s="126"/>
      <c r="W194" s="526"/>
      <c r="X194" s="526"/>
      <c r="Y194" s="526"/>
      <c r="Z194" s="526"/>
      <c r="AA194" s="526"/>
      <c r="AB194" s="526"/>
      <c r="AC194" s="423"/>
      <c r="AD194" s="423"/>
      <c r="AE194" s="423"/>
      <c r="AF194" s="423"/>
      <c r="AG194" s="423"/>
    </row>
    <row r="195" spans="1:43" s="260" customFormat="1" x14ac:dyDescent="0.25">
      <c r="A195" s="49">
        <f>+'A) Base RI'!A197</f>
        <v>5718</v>
      </c>
      <c r="B195" s="484" t="str">
        <f>+'A) Base RI'!B197</f>
        <v>Genolier</v>
      </c>
      <c r="C195" s="304">
        <f>+'D) Ecrêtage'!C195</f>
        <v>245082.27927272729</v>
      </c>
      <c r="D195" s="440">
        <v>111481</v>
      </c>
      <c r="E195" s="440">
        <f t="shared" si="24"/>
        <v>367306</v>
      </c>
      <c r="F195" s="518">
        <f t="shared" si="25"/>
        <v>1.4987048475718732</v>
      </c>
      <c r="G195" s="440">
        <v>478787</v>
      </c>
      <c r="H195" s="440">
        <v>155095</v>
      </c>
      <c r="I195" s="438">
        <v>124462</v>
      </c>
      <c r="J195" s="304">
        <f t="shared" si="26"/>
        <v>758344</v>
      </c>
      <c r="K195" s="284">
        <f t="shared" si="27"/>
        <v>1960658.2341818183</v>
      </c>
      <c r="L195" s="10">
        <f t="shared" si="28"/>
        <v>0</v>
      </c>
      <c r="M195" s="301">
        <f t="shared" si="29"/>
        <v>0</v>
      </c>
      <c r="N195" s="10">
        <v>27938</v>
      </c>
      <c r="O195" s="10">
        <f t="shared" si="30"/>
        <v>1060</v>
      </c>
      <c r="P195" s="441">
        <v>28998</v>
      </c>
      <c r="Q195" s="258">
        <f t="shared" si="31"/>
        <v>245082.27927272729</v>
      </c>
      <c r="R195" s="1">
        <f t="shared" si="32"/>
        <v>0</v>
      </c>
      <c r="S195" s="2">
        <f t="shared" si="33"/>
        <v>0</v>
      </c>
      <c r="T195" s="130">
        <f t="shared" si="34"/>
        <v>0</v>
      </c>
      <c r="U195" s="437">
        <f t="shared" si="35"/>
        <v>0</v>
      </c>
      <c r="V195" s="259"/>
      <c r="W195" s="526"/>
      <c r="X195" s="526"/>
      <c r="Y195" s="526"/>
      <c r="Z195" s="526"/>
      <c r="AA195" s="526"/>
      <c r="AB195" s="526"/>
      <c r="AC195" s="423"/>
      <c r="AD195" s="423"/>
      <c r="AE195" s="423"/>
      <c r="AF195" s="423"/>
      <c r="AG195" s="423"/>
      <c r="AH195" s="410"/>
      <c r="AI195" s="410"/>
      <c r="AJ195" s="410"/>
      <c r="AK195" s="410"/>
      <c r="AL195" s="410"/>
      <c r="AM195" s="410"/>
      <c r="AN195" s="410"/>
      <c r="AO195" s="410"/>
      <c r="AP195" s="410"/>
      <c r="AQ195" s="410"/>
    </row>
    <row r="196" spans="1:43" x14ac:dyDescent="0.25">
      <c r="A196" s="49">
        <f>+'A) Base RI'!A198</f>
        <v>5719</v>
      </c>
      <c r="B196" s="484" t="str">
        <f>+'A) Base RI'!B198</f>
        <v>Gingins</v>
      </c>
      <c r="C196" s="304">
        <f>+'D) Ecrêtage'!C196</f>
        <v>145761.41602339179</v>
      </c>
      <c r="D196" s="440">
        <v>0</v>
      </c>
      <c r="E196" s="440">
        <f t="shared" si="24"/>
        <v>0</v>
      </c>
      <c r="F196" s="518">
        <f t="shared" si="25"/>
        <v>0</v>
      </c>
      <c r="G196" s="440">
        <v>0</v>
      </c>
      <c r="H196" s="440">
        <v>0</v>
      </c>
      <c r="I196" s="438">
        <v>0</v>
      </c>
      <c r="J196" s="304">
        <f t="shared" si="26"/>
        <v>0</v>
      </c>
      <c r="K196" s="284">
        <f t="shared" si="27"/>
        <v>1166091.3281871343</v>
      </c>
      <c r="L196" s="10">
        <f t="shared" si="28"/>
        <v>0</v>
      </c>
      <c r="M196" s="301">
        <f t="shared" si="29"/>
        <v>0</v>
      </c>
      <c r="N196" s="10">
        <v>0</v>
      </c>
      <c r="O196" s="10">
        <f t="shared" si="30"/>
        <v>0</v>
      </c>
      <c r="P196" s="442">
        <v>0</v>
      </c>
      <c r="Q196" s="10">
        <f t="shared" si="31"/>
        <v>145761.41602339179</v>
      </c>
      <c r="R196" s="14">
        <f t="shared" si="32"/>
        <v>0</v>
      </c>
      <c r="S196" s="2">
        <f t="shared" si="33"/>
        <v>0</v>
      </c>
      <c r="T196" s="130">
        <f t="shared" si="34"/>
        <v>0</v>
      </c>
      <c r="U196" s="437">
        <f t="shared" si="35"/>
        <v>0</v>
      </c>
      <c r="V196" s="126"/>
      <c r="W196" s="526"/>
      <c r="X196" s="526"/>
      <c r="Y196" s="526"/>
      <c r="Z196" s="526"/>
      <c r="AA196" s="526"/>
      <c r="AB196" s="526"/>
      <c r="AC196" s="423"/>
      <c r="AD196" s="423"/>
      <c r="AE196" s="423"/>
      <c r="AF196" s="423"/>
      <c r="AG196" s="423"/>
    </row>
    <row r="197" spans="1:43" x14ac:dyDescent="0.25">
      <c r="A197" s="49">
        <f>+'A) Base RI'!A199</f>
        <v>5720</v>
      </c>
      <c r="B197" s="484" t="str">
        <f>+'A) Base RI'!B199</f>
        <v>Givrins</v>
      </c>
      <c r="C197" s="304">
        <f>+'D) Ecrêtage'!C197</f>
        <v>84172.254543946925</v>
      </c>
      <c r="D197" s="440">
        <v>99488</v>
      </c>
      <c r="E197" s="440">
        <f t="shared" si="24"/>
        <v>148020</v>
      </c>
      <c r="F197" s="518">
        <f t="shared" si="25"/>
        <v>1.7585367150017077</v>
      </c>
      <c r="G197" s="440">
        <v>247508</v>
      </c>
      <c r="H197" s="440">
        <v>120383</v>
      </c>
      <c r="I197" s="438">
        <v>65236</v>
      </c>
      <c r="J197" s="304">
        <f t="shared" si="26"/>
        <v>433127</v>
      </c>
      <c r="K197" s="284">
        <f t="shared" si="27"/>
        <v>673378.0363515754</v>
      </c>
      <c r="L197" s="10">
        <f t="shared" si="28"/>
        <v>0</v>
      </c>
      <c r="M197" s="301">
        <f t="shared" si="29"/>
        <v>0</v>
      </c>
      <c r="N197" s="10">
        <v>0</v>
      </c>
      <c r="O197" s="10">
        <f t="shared" si="30"/>
        <v>156627</v>
      </c>
      <c r="P197" s="442">
        <v>156627</v>
      </c>
      <c r="Q197" s="10">
        <f t="shared" si="31"/>
        <v>84172.254543946925</v>
      </c>
      <c r="R197" s="14">
        <f t="shared" si="32"/>
        <v>72454.745456053075</v>
      </c>
      <c r="S197" s="2">
        <f t="shared" si="33"/>
        <v>-54341.05909203981</v>
      </c>
      <c r="T197" s="130">
        <f t="shared" si="34"/>
        <v>-54341.05909203981</v>
      </c>
      <c r="U197" s="437">
        <f t="shared" si="35"/>
        <v>-0.64559348429556396</v>
      </c>
      <c r="V197" s="126"/>
      <c r="W197" s="526"/>
      <c r="X197" s="526"/>
      <c r="Y197" s="526"/>
      <c r="Z197" s="526"/>
      <c r="AA197" s="526"/>
      <c r="AB197" s="526"/>
      <c r="AC197" s="423"/>
      <c r="AD197" s="423"/>
      <c r="AE197" s="423"/>
      <c r="AF197" s="423"/>
      <c r="AG197" s="423"/>
    </row>
    <row r="198" spans="1:43" x14ac:dyDescent="0.25">
      <c r="A198" s="49">
        <f>+'A) Base RI'!A200</f>
        <v>5721</v>
      </c>
      <c r="B198" s="484" t="str">
        <f>+'A) Base RI'!B200</f>
        <v>Gland</v>
      </c>
      <c r="C198" s="304">
        <f>+'D) Ecrêtage'!C198</f>
        <v>651107.04049180343</v>
      </c>
      <c r="D198" s="440">
        <v>1298998</v>
      </c>
      <c r="E198" s="440">
        <f t="shared" ref="E198:E261" si="36">G198-D198</f>
        <v>1680747</v>
      </c>
      <c r="F198" s="518">
        <f t="shared" ref="F198:F261" si="37">+E198/C198</f>
        <v>2.5813681859905464</v>
      </c>
      <c r="G198" s="440">
        <v>2979745</v>
      </c>
      <c r="H198" s="440">
        <v>962690</v>
      </c>
      <c r="I198" s="438">
        <v>45116</v>
      </c>
      <c r="J198" s="304">
        <f t="shared" ref="J198:J261" si="38">SUM(G198:I198)</f>
        <v>3987551</v>
      </c>
      <c r="K198" s="284">
        <f t="shared" ref="K198:K261" si="39">+C198*$L$4</f>
        <v>5208856.3239344275</v>
      </c>
      <c r="L198" s="10">
        <f t="shared" ref="L198:L261" si="40">IF(J198&gt;K198,J198-K198,0)</f>
        <v>0</v>
      </c>
      <c r="M198" s="301">
        <f t="shared" ref="M198:M261" si="41">-L198*M$4</f>
        <v>0</v>
      </c>
      <c r="N198" s="10">
        <v>0</v>
      </c>
      <c r="O198" s="10">
        <f t="shared" ref="O198:O217" si="42">P198-N198</f>
        <v>40811</v>
      </c>
      <c r="P198" s="442">
        <v>40811</v>
      </c>
      <c r="Q198" s="10">
        <f t="shared" ref="Q198:Q261" si="43">C198*R$4</f>
        <v>651107.04049180343</v>
      </c>
      <c r="R198" s="14">
        <f t="shared" ref="R198:R261" si="44">IF(P198&gt;Q198,P198-Q198,0)</f>
        <v>0</v>
      </c>
      <c r="S198" s="2">
        <f t="shared" ref="S198:S261" si="45">-R198*S$4</f>
        <v>0</v>
      </c>
      <c r="T198" s="130">
        <f t="shared" ref="T198:T261" si="46">S198+M198</f>
        <v>0</v>
      </c>
      <c r="U198" s="437">
        <f t="shared" ref="U198:U261" si="47">+T198/C198</f>
        <v>0</v>
      </c>
      <c r="V198" s="126"/>
      <c r="W198" s="526"/>
      <c r="X198" s="526"/>
      <c r="Y198" s="526"/>
      <c r="Z198" s="526"/>
      <c r="AA198" s="526"/>
      <c r="AB198" s="526"/>
      <c r="AC198" s="423"/>
      <c r="AD198" s="423"/>
      <c r="AE198" s="423"/>
      <c r="AF198" s="423"/>
      <c r="AG198" s="423"/>
    </row>
    <row r="199" spans="1:43" x14ac:dyDescent="0.25">
      <c r="A199" s="49">
        <f>+'A) Base RI'!A201</f>
        <v>5722</v>
      </c>
      <c r="B199" s="484" t="str">
        <f>+'A) Base RI'!B201</f>
        <v>Grens</v>
      </c>
      <c r="C199" s="304">
        <f>+'D) Ecrêtage'!C199</f>
        <v>25525.601935483872</v>
      </c>
      <c r="D199" s="440">
        <v>0</v>
      </c>
      <c r="E199" s="440">
        <f t="shared" si="36"/>
        <v>0</v>
      </c>
      <c r="F199" s="518">
        <f t="shared" si="37"/>
        <v>0</v>
      </c>
      <c r="G199" s="440">
        <v>0</v>
      </c>
      <c r="H199" s="440">
        <v>0</v>
      </c>
      <c r="I199" s="438">
        <v>0</v>
      </c>
      <c r="J199" s="304">
        <f t="shared" si="38"/>
        <v>0</v>
      </c>
      <c r="K199" s="284">
        <f t="shared" si="39"/>
        <v>204204.81548387097</v>
      </c>
      <c r="L199" s="10">
        <f t="shared" si="40"/>
        <v>0</v>
      </c>
      <c r="M199" s="301">
        <f t="shared" si="41"/>
        <v>0</v>
      </c>
      <c r="N199" s="10">
        <v>0</v>
      </c>
      <c r="O199" s="10">
        <f t="shared" si="42"/>
        <v>0</v>
      </c>
      <c r="P199" s="442">
        <v>0</v>
      </c>
      <c r="Q199" s="10">
        <f t="shared" si="43"/>
        <v>25525.601935483872</v>
      </c>
      <c r="R199" s="14">
        <f t="shared" si="44"/>
        <v>0</v>
      </c>
      <c r="S199" s="2">
        <f t="shared" si="45"/>
        <v>0</v>
      </c>
      <c r="T199" s="130">
        <f t="shared" si="46"/>
        <v>0</v>
      </c>
      <c r="U199" s="437">
        <f t="shared" si="47"/>
        <v>0</v>
      </c>
      <c r="V199" s="126"/>
      <c r="W199" s="526"/>
      <c r="X199" s="526"/>
      <c r="Y199" s="526"/>
      <c r="Z199" s="526"/>
      <c r="AA199" s="526"/>
      <c r="AB199" s="526"/>
      <c r="AC199" s="423"/>
      <c r="AD199" s="423"/>
      <c r="AE199" s="423"/>
      <c r="AF199" s="423"/>
      <c r="AG199" s="423"/>
    </row>
    <row r="200" spans="1:43" x14ac:dyDescent="0.25">
      <c r="A200" s="49">
        <f>+'A) Base RI'!A202</f>
        <v>5723</v>
      </c>
      <c r="B200" s="484" t="str">
        <f>+'A) Base RI'!B202</f>
        <v>Mies</v>
      </c>
      <c r="C200" s="304">
        <f>+'D) Ecrêtage'!C200</f>
        <v>197805.17519230774</v>
      </c>
      <c r="D200" s="440">
        <v>0</v>
      </c>
      <c r="E200" s="440">
        <f t="shared" si="36"/>
        <v>0</v>
      </c>
      <c r="F200" s="518">
        <f t="shared" si="37"/>
        <v>0</v>
      </c>
      <c r="G200" s="440">
        <v>0</v>
      </c>
      <c r="H200" s="440">
        <v>0</v>
      </c>
      <c r="I200" s="438">
        <v>0</v>
      </c>
      <c r="J200" s="304">
        <f t="shared" si="38"/>
        <v>0</v>
      </c>
      <c r="K200" s="284">
        <f t="shared" si="39"/>
        <v>1582441.4015384619</v>
      </c>
      <c r="L200" s="10">
        <f t="shared" si="40"/>
        <v>0</v>
      </c>
      <c r="M200" s="301">
        <f t="shared" si="41"/>
        <v>0</v>
      </c>
      <c r="N200" s="10">
        <v>0</v>
      </c>
      <c r="O200" s="10">
        <f t="shared" si="42"/>
        <v>0</v>
      </c>
      <c r="P200" s="442">
        <v>0</v>
      </c>
      <c r="Q200" s="10">
        <f t="shared" si="43"/>
        <v>197805.17519230774</v>
      </c>
      <c r="R200" s="14">
        <f t="shared" si="44"/>
        <v>0</v>
      </c>
      <c r="S200" s="2">
        <f t="shared" si="45"/>
        <v>0</v>
      </c>
      <c r="T200" s="130">
        <f t="shared" si="46"/>
        <v>0</v>
      </c>
      <c r="U200" s="437">
        <f t="shared" si="47"/>
        <v>0</v>
      </c>
      <c r="V200" s="126"/>
      <c r="W200" s="526"/>
      <c r="X200" s="526"/>
      <c r="Y200" s="526"/>
      <c r="Z200" s="526"/>
      <c r="AA200" s="526"/>
      <c r="AB200" s="526"/>
      <c r="AC200" s="423"/>
      <c r="AD200" s="423"/>
      <c r="AE200" s="423"/>
      <c r="AF200" s="423"/>
      <c r="AG200" s="423"/>
    </row>
    <row r="201" spans="1:43" x14ac:dyDescent="0.25">
      <c r="A201" s="49">
        <f>+'A) Base RI'!A203</f>
        <v>5724</v>
      </c>
      <c r="B201" s="484" t="str">
        <f>+'A) Base RI'!B203</f>
        <v>Nyon</v>
      </c>
      <c r="C201" s="304">
        <f>+'D) Ecrêtage'!C201</f>
        <v>1415730.6761202184</v>
      </c>
      <c r="D201" s="440">
        <v>3071040</v>
      </c>
      <c r="E201" s="440">
        <f t="shared" si="36"/>
        <v>5005275</v>
      </c>
      <c r="F201" s="518">
        <f t="shared" si="37"/>
        <v>3.5354711771287293</v>
      </c>
      <c r="G201" s="440">
        <v>8076315</v>
      </c>
      <c r="H201" s="440">
        <v>4640795</v>
      </c>
      <c r="I201" s="438">
        <v>127258</v>
      </c>
      <c r="J201" s="304">
        <f t="shared" si="38"/>
        <v>12844368</v>
      </c>
      <c r="K201" s="284">
        <f t="shared" si="39"/>
        <v>11325845.408961747</v>
      </c>
      <c r="L201" s="10">
        <f t="shared" si="40"/>
        <v>1518522.5910382532</v>
      </c>
      <c r="M201" s="301">
        <f t="shared" si="41"/>
        <v>-1138891.9432786899</v>
      </c>
      <c r="N201" s="10">
        <v>49237</v>
      </c>
      <c r="O201" s="10">
        <f t="shared" si="42"/>
        <v>316910</v>
      </c>
      <c r="P201" s="442">
        <v>366147</v>
      </c>
      <c r="Q201" s="10">
        <f t="shared" si="43"/>
        <v>1415730.6761202184</v>
      </c>
      <c r="R201" s="14">
        <f t="shared" si="44"/>
        <v>0</v>
      </c>
      <c r="S201" s="2">
        <f t="shared" si="45"/>
        <v>0</v>
      </c>
      <c r="T201" s="130">
        <f t="shared" si="46"/>
        <v>-1138891.9432786899</v>
      </c>
      <c r="U201" s="437">
        <f t="shared" si="47"/>
        <v>-0.80445522760006904</v>
      </c>
      <c r="V201" s="126"/>
      <c r="W201" s="526"/>
      <c r="X201" s="526"/>
      <c r="Y201" s="526"/>
      <c r="Z201" s="526"/>
      <c r="AA201" s="526"/>
      <c r="AB201" s="526"/>
      <c r="AC201" s="423"/>
      <c r="AD201" s="423"/>
      <c r="AE201" s="423"/>
      <c r="AF201" s="423"/>
      <c r="AG201" s="423"/>
    </row>
    <row r="202" spans="1:43" x14ac:dyDescent="0.25">
      <c r="A202" s="49">
        <f>+'A) Base RI'!A204</f>
        <v>5725</v>
      </c>
      <c r="B202" s="484" t="str">
        <f>+'A) Base RI'!B204</f>
        <v>Prangins</v>
      </c>
      <c r="C202" s="304">
        <f>+'D) Ecrêtage'!C202</f>
        <v>312804.93402597401</v>
      </c>
      <c r="D202" s="440">
        <v>143028</v>
      </c>
      <c r="E202" s="440">
        <f t="shared" si="36"/>
        <v>557747</v>
      </c>
      <c r="F202" s="518">
        <f t="shared" si="37"/>
        <v>1.7830505191254018</v>
      </c>
      <c r="G202" s="440">
        <v>700775</v>
      </c>
      <c r="H202" s="440">
        <v>1055752</v>
      </c>
      <c r="I202" s="438">
        <v>84474</v>
      </c>
      <c r="J202" s="304">
        <f t="shared" si="38"/>
        <v>1841001</v>
      </c>
      <c r="K202" s="284">
        <f t="shared" si="39"/>
        <v>2502439.4722077921</v>
      </c>
      <c r="L202" s="10">
        <f t="shared" si="40"/>
        <v>0</v>
      </c>
      <c r="M202" s="301">
        <f t="shared" si="41"/>
        <v>0</v>
      </c>
      <c r="N202" s="10">
        <v>0</v>
      </c>
      <c r="O202" s="10">
        <f t="shared" si="42"/>
        <v>21657</v>
      </c>
      <c r="P202" s="442">
        <v>21657</v>
      </c>
      <c r="Q202" s="10">
        <f t="shared" si="43"/>
        <v>312804.93402597401</v>
      </c>
      <c r="R202" s="14">
        <f t="shared" si="44"/>
        <v>0</v>
      </c>
      <c r="S202" s="2">
        <f t="shared" si="45"/>
        <v>0</v>
      </c>
      <c r="T202" s="130">
        <f t="shared" si="46"/>
        <v>0</v>
      </c>
      <c r="U202" s="437">
        <f t="shared" si="47"/>
        <v>0</v>
      </c>
      <c r="V202" s="126"/>
      <c r="W202" s="526"/>
      <c r="X202" s="526"/>
      <c r="Y202" s="526"/>
      <c r="Z202" s="526"/>
      <c r="AA202" s="526"/>
      <c r="AB202" s="526"/>
      <c r="AC202" s="423"/>
      <c r="AD202" s="423"/>
      <c r="AE202" s="423"/>
      <c r="AF202" s="423"/>
      <c r="AG202" s="423"/>
    </row>
    <row r="203" spans="1:43" x14ac:dyDescent="0.25">
      <c r="A203" s="49">
        <f>+'A) Base RI'!A205</f>
        <v>5726</v>
      </c>
      <c r="B203" s="484" t="str">
        <f>+'A) Base RI'!B205</f>
        <v>La Rippe</v>
      </c>
      <c r="C203" s="304">
        <f>+'D) Ecrêtage'!C203</f>
        <v>66324.764153846147</v>
      </c>
      <c r="D203" s="440">
        <v>0</v>
      </c>
      <c r="E203" s="440">
        <f t="shared" si="36"/>
        <v>0</v>
      </c>
      <c r="F203" s="518">
        <f t="shared" si="37"/>
        <v>0</v>
      </c>
      <c r="G203" s="440">
        <v>0</v>
      </c>
      <c r="H203" s="440">
        <v>0</v>
      </c>
      <c r="I203" s="438">
        <v>0</v>
      </c>
      <c r="J203" s="304">
        <f t="shared" si="38"/>
        <v>0</v>
      </c>
      <c r="K203" s="284">
        <f t="shared" si="39"/>
        <v>530598.11323076917</v>
      </c>
      <c r="L203" s="10">
        <f t="shared" si="40"/>
        <v>0</v>
      </c>
      <c r="M203" s="301">
        <f t="shared" si="41"/>
        <v>0</v>
      </c>
      <c r="N203" s="10">
        <v>0</v>
      </c>
      <c r="O203" s="10">
        <f t="shared" si="42"/>
        <v>0</v>
      </c>
      <c r="P203" s="442">
        <v>0</v>
      </c>
      <c r="Q203" s="10">
        <f t="shared" si="43"/>
        <v>66324.764153846147</v>
      </c>
      <c r="R203" s="14">
        <f t="shared" si="44"/>
        <v>0</v>
      </c>
      <c r="S203" s="2">
        <f t="shared" si="45"/>
        <v>0</v>
      </c>
      <c r="T203" s="130">
        <f t="shared" si="46"/>
        <v>0</v>
      </c>
      <c r="U203" s="437">
        <f t="shared" si="47"/>
        <v>0</v>
      </c>
      <c r="V203" s="126"/>
      <c r="W203" s="526"/>
      <c r="X203" s="526"/>
      <c r="Y203" s="526"/>
      <c r="Z203" s="526"/>
      <c r="AA203" s="526"/>
      <c r="AB203" s="526"/>
      <c r="AC203" s="423"/>
      <c r="AD203" s="423"/>
      <c r="AE203" s="423"/>
      <c r="AF203" s="423"/>
      <c r="AG203" s="423"/>
    </row>
    <row r="204" spans="1:43" x14ac:dyDescent="0.25">
      <c r="A204" s="49">
        <f>+'A) Base RI'!A206</f>
        <v>5727</v>
      </c>
      <c r="B204" s="484" t="str">
        <f>+'A) Base RI'!B206</f>
        <v>Saint-Cergue</v>
      </c>
      <c r="C204" s="304">
        <f>+'D) Ecrêtage'!C204</f>
        <v>105125.05141414142</v>
      </c>
      <c r="D204" s="440">
        <v>136030</v>
      </c>
      <c r="E204" s="440">
        <f t="shared" si="36"/>
        <v>619563</v>
      </c>
      <c r="F204" s="518">
        <f t="shared" si="37"/>
        <v>5.8935809463647635</v>
      </c>
      <c r="G204" s="440">
        <v>755593</v>
      </c>
      <c r="H204" s="440">
        <v>240125</v>
      </c>
      <c r="I204" s="438">
        <v>119935</v>
      </c>
      <c r="J204" s="304">
        <f t="shared" si="38"/>
        <v>1115653</v>
      </c>
      <c r="K204" s="284">
        <f t="shared" si="39"/>
        <v>841000.41131313134</v>
      </c>
      <c r="L204" s="10">
        <f t="shared" si="40"/>
        <v>274652.58868686866</v>
      </c>
      <c r="M204" s="301">
        <f t="shared" si="41"/>
        <v>-205989.4415151515</v>
      </c>
      <c r="N204" s="10">
        <v>0</v>
      </c>
      <c r="O204" s="10">
        <f t="shared" si="42"/>
        <v>31669</v>
      </c>
      <c r="P204" s="442">
        <v>31669</v>
      </c>
      <c r="Q204" s="10">
        <f t="shared" si="43"/>
        <v>105125.05141414142</v>
      </c>
      <c r="R204" s="14">
        <f t="shared" si="44"/>
        <v>0</v>
      </c>
      <c r="S204" s="2">
        <f t="shared" si="45"/>
        <v>0</v>
      </c>
      <c r="T204" s="130">
        <f t="shared" si="46"/>
        <v>-205989.4415151515</v>
      </c>
      <c r="U204" s="437">
        <f t="shared" si="47"/>
        <v>-1.959470542408142</v>
      </c>
      <c r="V204" s="126"/>
      <c r="W204" s="526"/>
      <c r="X204" s="526"/>
      <c r="Y204" s="526"/>
      <c r="Z204" s="526"/>
      <c r="AA204" s="526"/>
      <c r="AB204" s="526"/>
      <c r="AC204" s="423"/>
      <c r="AD204" s="423"/>
      <c r="AE204" s="423"/>
      <c r="AF204" s="423"/>
      <c r="AG204" s="423"/>
    </row>
    <row r="205" spans="1:43" x14ac:dyDescent="0.25">
      <c r="A205" s="49">
        <f>+'A) Base RI'!A207</f>
        <v>5728</v>
      </c>
      <c r="B205" s="484" t="str">
        <f>+'A) Base RI'!B207</f>
        <v>Signy-Avenex</v>
      </c>
      <c r="C205" s="304">
        <f>+'D) Ecrêtage'!C205</f>
        <v>49286.820862068969</v>
      </c>
      <c r="D205" s="440">
        <v>0</v>
      </c>
      <c r="E205" s="440">
        <f t="shared" si="36"/>
        <v>0</v>
      </c>
      <c r="F205" s="518">
        <f t="shared" si="37"/>
        <v>0</v>
      </c>
      <c r="G205" s="440">
        <v>0</v>
      </c>
      <c r="H205" s="440">
        <v>0</v>
      </c>
      <c r="I205" s="438">
        <v>0</v>
      </c>
      <c r="J205" s="304">
        <f t="shared" si="38"/>
        <v>0</v>
      </c>
      <c r="K205" s="284">
        <f t="shared" si="39"/>
        <v>394294.56689655175</v>
      </c>
      <c r="L205" s="10">
        <f t="shared" si="40"/>
        <v>0</v>
      </c>
      <c r="M205" s="301">
        <f t="shared" si="41"/>
        <v>0</v>
      </c>
      <c r="N205" s="10">
        <v>0</v>
      </c>
      <c r="O205" s="10">
        <f t="shared" si="42"/>
        <v>0</v>
      </c>
      <c r="P205" s="442">
        <v>0</v>
      </c>
      <c r="Q205" s="10">
        <f t="shared" si="43"/>
        <v>49286.820862068969</v>
      </c>
      <c r="R205" s="14">
        <f t="shared" si="44"/>
        <v>0</v>
      </c>
      <c r="S205" s="2">
        <f t="shared" si="45"/>
        <v>0</v>
      </c>
      <c r="T205" s="130">
        <f t="shared" si="46"/>
        <v>0</v>
      </c>
      <c r="U205" s="437">
        <f t="shared" si="47"/>
        <v>0</v>
      </c>
      <c r="V205" s="126"/>
      <c r="W205" s="526"/>
      <c r="X205" s="526"/>
      <c r="Y205" s="526"/>
      <c r="Z205" s="526"/>
      <c r="AA205" s="526"/>
      <c r="AB205" s="526"/>
      <c r="AC205" s="423"/>
      <c r="AD205" s="423"/>
      <c r="AE205" s="423"/>
      <c r="AF205" s="423"/>
      <c r="AG205" s="423"/>
    </row>
    <row r="206" spans="1:43" x14ac:dyDescent="0.25">
      <c r="A206" s="49">
        <f>+'A) Base RI'!A208</f>
        <v>5729</v>
      </c>
      <c r="B206" s="484" t="str">
        <f>+'A) Base RI'!B208</f>
        <v>Tannay</v>
      </c>
      <c r="C206" s="304">
        <f>+'D) Ecrêtage'!C206</f>
        <v>130826.66865013774</v>
      </c>
      <c r="D206" s="440">
        <v>0</v>
      </c>
      <c r="E206" s="440">
        <f t="shared" si="36"/>
        <v>0</v>
      </c>
      <c r="F206" s="518">
        <f t="shared" si="37"/>
        <v>0</v>
      </c>
      <c r="G206" s="440">
        <v>0</v>
      </c>
      <c r="H206" s="440">
        <v>0</v>
      </c>
      <c r="I206" s="438">
        <v>0</v>
      </c>
      <c r="J206" s="304">
        <f t="shared" si="38"/>
        <v>0</v>
      </c>
      <c r="K206" s="284">
        <f t="shared" si="39"/>
        <v>1046613.3492011019</v>
      </c>
      <c r="L206" s="10">
        <f t="shared" si="40"/>
        <v>0</v>
      </c>
      <c r="M206" s="301">
        <f t="shared" si="41"/>
        <v>0</v>
      </c>
      <c r="N206" s="10">
        <v>0</v>
      </c>
      <c r="O206" s="10">
        <f t="shared" si="42"/>
        <v>0</v>
      </c>
      <c r="P206" s="442">
        <v>0</v>
      </c>
      <c r="Q206" s="10">
        <f t="shared" si="43"/>
        <v>130826.66865013774</v>
      </c>
      <c r="R206" s="14">
        <f t="shared" si="44"/>
        <v>0</v>
      </c>
      <c r="S206" s="2">
        <f t="shared" si="45"/>
        <v>0</v>
      </c>
      <c r="T206" s="130">
        <f t="shared" si="46"/>
        <v>0</v>
      </c>
      <c r="U206" s="437">
        <f t="shared" si="47"/>
        <v>0</v>
      </c>
      <c r="V206" s="126"/>
      <c r="W206" s="526"/>
      <c r="X206" s="526"/>
      <c r="Y206" s="526"/>
      <c r="Z206" s="526"/>
      <c r="AA206" s="526"/>
      <c r="AB206" s="526"/>
      <c r="AC206" s="423"/>
      <c r="AD206" s="423"/>
      <c r="AE206" s="423"/>
      <c r="AF206" s="423"/>
      <c r="AG206" s="423"/>
    </row>
    <row r="207" spans="1:43" x14ac:dyDescent="0.25">
      <c r="A207" s="49">
        <f>+'A) Base RI'!A209</f>
        <v>5730</v>
      </c>
      <c r="B207" s="484" t="str">
        <f>+'A) Base RI'!B209</f>
        <v>Trélex</v>
      </c>
      <c r="C207" s="304">
        <f>+'D) Ecrêtage'!C207</f>
        <v>111625.98756756757</v>
      </c>
      <c r="D207" s="440">
        <v>68453</v>
      </c>
      <c r="E207" s="440">
        <f t="shared" si="36"/>
        <v>172099</v>
      </c>
      <c r="F207" s="518">
        <f t="shared" si="37"/>
        <v>1.5417467182167406</v>
      </c>
      <c r="G207" s="440">
        <v>240552</v>
      </c>
      <c r="H207" s="440">
        <v>101516</v>
      </c>
      <c r="I207" s="438">
        <v>87027</v>
      </c>
      <c r="J207" s="304">
        <f t="shared" si="38"/>
        <v>429095</v>
      </c>
      <c r="K207" s="284">
        <f t="shared" si="39"/>
        <v>893007.90054054058</v>
      </c>
      <c r="L207" s="10">
        <f t="shared" si="40"/>
        <v>0</v>
      </c>
      <c r="M207" s="301">
        <f t="shared" si="41"/>
        <v>0</v>
      </c>
      <c r="N207" s="10">
        <v>0</v>
      </c>
      <c r="O207" s="10">
        <f t="shared" si="42"/>
        <v>31729</v>
      </c>
      <c r="P207" s="442">
        <v>31729</v>
      </c>
      <c r="Q207" s="10">
        <f t="shared" si="43"/>
        <v>111625.98756756757</v>
      </c>
      <c r="R207" s="14">
        <f t="shared" si="44"/>
        <v>0</v>
      </c>
      <c r="S207" s="2">
        <f t="shared" si="45"/>
        <v>0</v>
      </c>
      <c r="T207" s="130">
        <f t="shared" si="46"/>
        <v>0</v>
      </c>
      <c r="U207" s="437">
        <f t="shared" si="47"/>
        <v>0</v>
      </c>
      <c r="V207" s="126"/>
      <c r="W207" s="526"/>
      <c r="X207" s="526"/>
      <c r="Y207" s="526"/>
      <c r="Z207" s="526"/>
      <c r="AA207" s="526"/>
      <c r="AB207" s="526"/>
      <c r="AC207" s="423"/>
      <c r="AD207" s="423"/>
      <c r="AE207" s="423"/>
      <c r="AF207" s="423"/>
      <c r="AG207" s="423"/>
    </row>
    <row r="208" spans="1:43" x14ac:dyDescent="0.25">
      <c r="A208" s="49">
        <f>+'A) Base RI'!A210</f>
        <v>5731</v>
      </c>
      <c r="B208" s="484" t="str">
        <f>+'A) Base RI'!B210</f>
        <v>Le Vaud</v>
      </c>
      <c r="C208" s="304">
        <f>+'D) Ecrêtage'!C208</f>
        <v>63942.206576576558</v>
      </c>
      <c r="D208" s="440">
        <v>86500</v>
      </c>
      <c r="E208" s="440">
        <f t="shared" si="36"/>
        <v>288953</v>
      </c>
      <c r="F208" s="518">
        <f t="shared" si="37"/>
        <v>4.5189713566414493</v>
      </c>
      <c r="G208" s="440">
        <v>375453</v>
      </c>
      <c r="H208" s="440">
        <v>57852</v>
      </c>
      <c r="I208" s="438">
        <v>130896</v>
      </c>
      <c r="J208" s="304">
        <f t="shared" si="38"/>
        <v>564201</v>
      </c>
      <c r="K208" s="284">
        <f t="shared" si="39"/>
        <v>511537.65261261247</v>
      </c>
      <c r="L208" s="10">
        <f t="shared" si="40"/>
        <v>52663.347387387534</v>
      </c>
      <c r="M208" s="301">
        <f t="shared" si="41"/>
        <v>-39497.51054054065</v>
      </c>
      <c r="N208" s="10">
        <v>0</v>
      </c>
      <c r="O208" s="10">
        <f t="shared" si="42"/>
        <v>75083</v>
      </c>
      <c r="P208" s="442">
        <v>75083</v>
      </c>
      <c r="Q208" s="10">
        <f t="shared" si="43"/>
        <v>63942.206576576558</v>
      </c>
      <c r="R208" s="14">
        <f t="shared" si="44"/>
        <v>11140.793423423442</v>
      </c>
      <c r="S208" s="2">
        <f t="shared" si="45"/>
        <v>-8355.5950675675813</v>
      </c>
      <c r="T208" s="130">
        <f t="shared" si="46"/>
        <v>-47853.105608108235</v>
      </c>
      <c r="U208" s="437">
        <f t="shared" si="47"/>
        <v>-0.74838057943464664</v>
      </c>
      <c r="V208" s="126"/>
      <c r="W208" s="526"/>
      <c r="X208" s="526"/>
      <c r="Y208" s="526"/>
      <c r="Z208" s="526"/>
      <c r="AA208" s="526"/>
      <c r="AB208" s="526"/>
      <c r="AC208" s="423"/>
      <c r="AD208" s="423"/>
      <c r="AE208" s="423"/>
      <c r="AF208" s="423"/>
      <c r="AG208" s="423"/>
    </row>
    <row r="209" spans="1:33" x14ac:dyDescent="0.25">
      <c r="A209" s="49">
        <f>+'A) Base RI'!A211</f>
        <v>5732</v>
      </c>
      <c r="B209" s="484" t="str">
        <f>+'A) Base RI'!B211</f>
        <v>Vich</v>
      </c>
      <c r="C209" s="304">
        <f>+'D) Ecrêtage'!C209</f>
        <v>71006.972380952371</v>
      </c>
      <c r="D209" s="440">
        <v>98137</v>
      </c>
      <c r="E209" s="440">
        <f t="shared" si="36"/>
        <v>255880</v>
      </c>
      <c r="F209" s="518">
        <f t="shared" si="37"/>
        <v>3.6035897802712094</v>
      </c>
      <c r="G209" s="440">
        <v>354017</v>
      </c>
      <c r="H209" s="440">
        <v>79739</v>
      </c>
      <c r="I209" s="438">
        <v>110326</v>
      </c>
      <c r="J209" s="304">
        <f t="shared" si="38"/>
        <v>544082</v>
      </c>
      <c r="K209" s="284">
        <f t="shared" si="39"/>
        <v>568055.77904761897</v>
      </c>
      <c r="L209" s="10">
        <f t="shared" si="40"/>
        <v>0</v>
      </c>
      <c r="M209" s="301">
        <f t="shared" si="41"/>
        <v>0</v>
      </c>
      <c r="N209" s="10">
        <v>0</v>
      </c>
      <c r="O209" s="10">
        <f t="shared" si="42"/>
        <v>5761</v>
      </c>
      <c r="P209" s="442">
        <v>5761</v>
      </c>
      <c r="Q209" s="10">
        <f t="shared" si="43"/>
        <v>71006.972380952371</v>
      </c>
      <c r="R209" s="14">
        <f t="shared" si="44"/>
        <v>0</v>
      </c>
      <c r="S209" s="2">
        <f t="shared" si="45"/>
        <v>0</v>
      </c>
      <c r="T209" s="130">
        <f t="shared" si="46"/>
        <v>0</v>
      </c>
      <c r="U209" s="437">
        <f t="shared" si="47"/>
        <v>0</v>
      </c>
      <c r="V209" s="126"/>
      <c r="W209" s="526"/>
      <c r="X209" s="526"/>
      <c r="Y209" s="526"/>
      <c r="Z209" s="526"/>
      <c r="AA209" s="526"/>
      <c r="AB209" s="526"/>
      <c r="AC209" s="423"/>
      <c r="AD209" s="423"/>
      <c r="AE209" s="423"/>
      <c r="AF209" s="423"/>
      <c r="AG209" s="423"/>
    </row>
    <row r="210" spans="1:33" x14ac:dyDescent="0.25">
      <c r="A210" s="49">
        <f>+'A) Base RI'!A212</f>
        <v>5741</v>
      </c>
      <c r="B210" s="484" t="str">
        <f>+'A) Base RI'!B212</f>
        <v>L'Abergement</v>
      </c>
      <c r="C210" s="304">
        <f>+'D) Ecrêtage'!C210</f>
        <v>7368.9297325102852</v>
      </c>
      <c r="D210" s="440">
        <v>50147</v>
      </c>
      <c r="E210" s="440">
        <f t="shared" si="36"/>
        <v>89003</v>
      </c>
      <c r="F210" s="518">
        <f t="shared" si="37"/>
        <v>12.078144755178771</v>
      </c>
      <c r="G210" s="440">
        <v>139150</v>
      </c>
      <c r="H210" s="440">
        <v>10846</v>
      </c>
      <c r="I210" s="438">
        <v>28191</v>
      </c>
      <c r="J210" s="304">
        <f t="shared" si="38"/>
        <v>178187</v>
      </c>
      <c r="K210" s="284">
        <f t="shared" si="39"/>
        <v>58951.437860082282</v>
      </c>
      <c r="L210" s="10">
        <f t="shared" si="40"/>
        <v>119235.56213991772</v>
      </c>
      <c r="M210" s="301">
        <f t="shared" si="41"/>
        <v>-89426.671604938281</v>
      </c>
      <c r="N210" s="10">
        <v>0</v>
      </c>
      <c r="O210" s="10">
        <f t="shared" si="42"/>
        <v>31501</v>
      </c>
      <c r="P210" s="442">
        <v>31501</v>
      </c>
      <c r="Q210" s="10">
        <f t="shared" si="43"/>
        <v>7368.9297325102852</v>
      </c>
      <c r="R210" s="14">
        <f t="shared" si="44"/>
        <v>24132.070267489715</v>
      </c>
      <c r="S210" s="2">
        <f t="shared" si="45"/>
        <v>-18099.052700617285</v>
      </c>
      <c r="T210" s="130">
        <f t="shared" si="46"/>
        <v>-107525.72430555557</v>
      </c>
      <c r="U210" s="437">
        <f t="shared" si="47"/>
        <v>-14.591769525386161</v>
      </c>
      <c r="V210" s="126"/>
      <c r="W210" s="526"/>
      <c r="X210" s="526"/>
      <c r="Y210" s="526"/>
      <c r="Z210" s="526"/>
      <c r="AA210" s="526"/>
      <c r="AB210" s="526"/>
      <c r="AC210" s="423"/>
      <c r="AD210" s="423"/>
      <c r="AE210" s="423"/>
      <c r="AF210" s="423"/>
      <c r="AG210" s="423"/>
    </row>
    <row r="211" spans="1:33" x14ac:dyDescent="0.25">
      <c r="A211" s="49">
        <f>+'A) Base RI'!A213</f>
        <v>5742</v>
      </c>
      <c r="B211" s="484" t="str">
        <f>+'A) Base RI'!B213</f>
        <v>Agiez</v>
      </c>
      <c r="C211" s="304">
        <f>+'D) Ecrêtage'!C211</f>
        <v>8960.136710526318</v>
      </c>
      <c r="D211" s="440">
        <v>0</v>
      </c>
      <c r="E211" s="440">
        <f t="shared" si="36"/>
        <v>49058</v>
      </c>
      <c r="F211" s="518">
        <f t="shared" si="37"/>
        <v>5.4751396753095225</v>
      </c>
      <c r="G211" s="440">
        <v>49058</v>
      </c>
      <c r="H211" s="440">
        <v>15736</v>
      </c>
      <c r="I211" s="438">
        <v>42689</v>
      </c>
      <c r="J211" s="304">
        <f t="shared" si="38"/>
        <v>107483</v>
      </c>
      <c r="K211" s="284">
        <f t="shared" si="39"/>
        <v>71681.093684210544</v>
      </c>
      <c r="L211" s="10">
        <f t="shared" si="40"/>
        <v>35801.906315789456</v>
      </c>
      <c r="M211" s="301">
        <f t="shared" si="41"/>
        <v>-26851.429736842092</v>
      </c>
      <c r="N211" s="10">
        <v>0</v>
      </c>
      <c r="O211" s="10">
        <f t="shared" si="42"/>
        <v>19754</v>
      </c>
      <c r="P211" s="442">
        <v>19754</v>
      </c>
      <c r="Q211" s="10">
        <f t="shared" si="43"/>
        <v>8960.136710526318</v>
      </c>
      <c r="R211" s="14">
        <f t="shared" si="44"/>
        <v>10793.863289473682</v>
      </c>
      <c r="S211" s="2">
        <f t="shared" si="45"/>
        <v>-8095.397467105262</v>
      </c>
      <c r="T211" s="130">
        <f t="shared" si="46"/>
        <v>-34946.827203947352</v>
      </c>
      <c r="U211" s="437">
        <f t="shared" si="47"/>
        <v>-3.9002560265505788</v>
      </c>
      <c r="V211" s="126"/>
      <c r="W211" s="526"/>
      <c r="X211" s="526"/>
      <c r="Y211" s="526"/>
      <c r="Z211" s="526"/>
      <c r="AA211" s="526"/>
      <c r="AB211" s="526"/>
      <c r="AC211" s="423"/>
      <c r="AD211" s="423"/>
      <c r="AE211" s="423"/>
      <c r="AF211" s="423"/>
      <c r="AG211" s="423"/>
    </row>
    <row r="212" spans="1:33" x14ac:dyDescent="0.25">
      <c r="A212" s="49">
        <f>+'A) Base RI'!A214</f>
        <v>5743</v>
      </c>
      <c r="B212" s="484" t="str">
        <f>+'A) Base RI'!B214</f>
        <v>Arnex-sur-Orbe</v>
      </c>
      <c r="C212" s="304">
        <f>+'D) Ecrêtage'!C212</f>
        <v>20549.584577464786</v>
      </c>
      <c r="D212" s="440">
        <v>47057</v>
      </c>
      <c r="E212" s="440">
        <f t="shared" si="36"/>
        <v>90100</v>
      </c>
      <c r="F212" s="518">
        <f t="shared" si="37"/>
        <v>4.3845168577668492</v>
      </c>
      <c r="G212" s="440">
        <v>137157</v>
      </c>
      <c r="H212" s="440">
        <v>70344</v>
      </c>
      <c r="I212" s="438">
        <v>69831</v>
      </c>
      <c r="J212" s="304">
        <f t="shared" si="38"/>
        <v>277332</v>
      </c>
      <c r="K212" s="284">
        <f t="shared" si="39"/>
        <v>164396.67661971829</v>
      </c>
      <c r="L212" s="10">
        <f t="shared" si="40"/>
        <v>112935.32338028171</v>
      </c>
      <c r="M212" s="301">
        <f t="shared" si="41"/>
        <v>-84701.492535211291</v>
      </c>
      <c r="N212" s="10">
        <v>0</v>
      </c>
      <c r="O212" s="10">
        <f t="shared" si="42"/>
        <v>9326</v>
      </c>
      <c r="P212" s="442">
        <v>9326</v>
      </c>
      <c r="Q212" s="10">
        <f t="shared" si="43"/>
        <v>20549.584577464786</v>
      </c>
      <c r="R212" s="14">
        <f t="shared" si="44"/>
        <v>0</v>
      </c>
      <c r="S212" s="2">
        <f t="shared" si="45"/>
        <v>0</v>
      </c>
      <c r="T212" s="130">
        <f t="shared" si="46"/>
        <v>-84701.492535211291</v>
      </c>
      <c r="U212" s="437">
        <f t="shared" si="47"/>
        <v>-4.1218104539250477</v>
      </c>
      <c r="V212" s="126"/>
      <c r="W212" s="526"/>
      <c r="X212" s="526"/>
      <c r="Y212" s="526"/>
      <c r="Z212" s="526"/>
      <c r="AA212" s="526"/>
      <c r="AB212" s="526"/>
      <c r="AC212" s="423"/>
      <c r="AD212" s="423"/>
      <c r="AE212" s="423"/>
      <c r="AF212" s="423"/>
      <c r="AG212" s="423"/>
    </row>
    <row r="213" spans="1:33" x14ac:dyDescent="0.25">
      <c r="A213" s="49">
        <f>+'A) Base RI'!A215</f>
        <v>5744</v>
      </c>
      <c r="B213" s="484" t="str">
        <f>+'A) Base RI'!B215</f>
        <v>Ballaigues</v>
      </c>
      <c r="C213" s="304">
        <f>+'D) Ecrêtage'!C213</f>
        <v>40453.358769230777</v>
      </c>
      <c r="D213" s="440">
        <v>210992</v>
      </c>
      <c r="E213" s="440">
        <f t="shared" si="36"/>
        <v>383921</v>
      </c>
      <c r="F213" s="518">
        <f t="shared" si="37"/>
        <v>9.4904604136854545</v>
      </c>
      <c r="G213" s="440">
        <v>594913</v>
      </c>
      <c r="H213" s="440">
        <v>49252</v>
      </c>
      <c r="I213" s="438">
        <v>121571</v>
      </c>
      <c r="J213" s="304">
        <f t="shared" si="38"/>
        <v>765736</v>
      </c>
      <c r="K213" s="284">
        <f t="shared" si="39"/>
        <v>323626.87015384622</v>
      </c>
      <c r="L213" s="10">
        <f t="shared" si="40"/>
        <v>442109.12984615378</v>
      </c>
      <c r="M213" s="301">
        <f t="shared" si="41"/>
        <v>-331581.84738461534</v>
      </c>
      <c r="N213" s="10">
        <v>0</v>
      </c>
      <c r="O213" s="10">
        <f t="shared" si="42"/>
        <v>96819</v>
      </c>
      <c r="P213" s="442">
        <v>96819</v>
      </c>
      <c r="Q213" s="10">
        <f t="shared" si="43"/>
        <v>40453.358769230777</v>
      </c>
      <c r="R213" s="14">
        <f t="shared" si="44"/>
        <v>56365.641230769223</v>
      </c>
      <c r="S213" s="2">
        <f t="shared" si="45"/>
        <v>-42274.230923076917</v>
      </c>
      <c r="T213" s="130">
        <f t="shared" si="46"/>
        <v>-373856.07830769225</v>
      </c>
      <c r="U213" s="437">
        <f t="shared" si="47"/>
        <v>-9.2416572982328198</v>
      </c>
      <c r="V213" s="126"/>
      <c r="W213" s="526"/>
      <c r="X213" s="526"/>
      <c r="Y213" s="526"/>
      <c r="Z213" s="526"/>
      <c r="AA213" s="526"/>
      <c r="AB213" s="526"/>
      <c r="AC213" s="423"/>
      <c r="AD213" s="423"/>
      <c r="AE213" s="423"/>
      <c r="AF213" s="423"/>
      <c r="AG213" s="423"/>
    </row>
    <row r="214" spans="1:33" x14ac:dyDescent="0.25">
      <c r="A214" s="49">
        <f>+'A) Base RI'!A216</f>
        <v>5745</v>
      </c>
      <c r="B214" s="484" t="str">
        <f>+'A) Base RI'!B216</f>
        <v>Baulmes</v>
      </c>
      <c r="C214" s="304">
        <f>+'D) Ecrêtage'!C214</f>
        <v>26827.589150326792</v>
      </c>
      <c r="D214" s="440">
        <v>23733</v>
      </c>
      <c r="E214" s="440">
        <f t="shared" si="36"/>
        <v>148031</v>
      </c>
      <c r="F214" s="518">
        <f t="shared" si="37"/>
        <v>5.5178644331593549</v>
      </c>
      <c r="G214" s="440">
        <v>171764</v>
      </c>
      <c r="H214" s="440">
        <v>115794</v>
      </c>
      <c r="I214" s="438">
        <v>82778</v>
      </c>
      <c r="J214" s="304">
        <f t="shared" si="38"/>
        <v>370336</v>
      </c>
      <c r="K214" s="284">
        <f t="shared" si="39"/>
        <v>214620.71320261434</v>
      </c>
      <c r="L214" s="10">
        <f t="shared" si="40"/>
        <v>155715.28679738566</v>
      </c>
      <c r="M214" s="301">
        <f t="shared" si="41"/>
        <v>-116786.46509803925</v>
      </c>
      <c r="N214" s="10">
        <v>0</v>
      </c>
      <c r="O214" s="10">
        <f t="shared" si="42"/>
        <v>428376</v>
      </c>
      <c r="P214" s="442">
        <v>428376</v>
      </c>
      <c r="Q214" s="10">
        <f t="shared" si="43"/>
        <v>26827.589150326792</v>
      </c>
      <c r="R214" s="14">
        <f t="shared" si="44"/>
        <v>401548.41084967321</v>
      </c>
      <c r="S214" s="2">
        <f t="shared" si="45"/>
        <v>-301161.30813725491</v>
      </c>
      <c r="T214" s="130">
        <f t="shared" si="46"/>
        <v>-417947.77323529415</v>
      </c>
      <c r="U214" s="437">
        <f t="shared" si="47"/>
        <v>-15.579028398465057</v>
      </c>
      <c r="V214" s="126"/>
      <c r="W214" s="526"/>
      <c r="X214" s="526"/>
      <c r="Y214" s="526"/>
      <c r="Z214" s="526"/>
      <c r="AA214" s="526"/>
      <c r="AB214" s="526"/>
      <c r="AC214" s="423"/>
      <c r="AD214" s="423"/>
      <c r="AE214" s="423"/>
      <c r="AF214" s="423"/>
      <c r="AG214" s="423"/>
    </row>
    <row r="215" spans="1:33" x14ac:dyDescent="0.25">
      <c r="A215" s="49">
        <f>+'A) Base RI'!A217</f>
        <v>5746</v>
      </c>
      <c r="B215" s="484" t="str">
        <f>+'A) Base RI'!B217</f>
        <v>Bavois</v>
      </c>
      <c r="C215" s="304">
        <f>+'D) Ecrêtage'!C215</f>
        <v>30466.611141552505</v>
      </c>
      <c r="D215" s="440">
        <v>58219</v>
      </c>
      <c r="E215" s="440">
        <f t="shared" si="36"/>
        <v>184065</v>
      </c>
      <c r="F215" s="518">
        <f t="shared" si="37"/>
        <v>6.0415317983613619</v>
      </c>
      <c r="G215" s="440">
        <v>242284</v>
      </c>
      <c r="H215" s="440">
        <v>105793</v>
      </c>
      <c r="I215" s="438">
        <v>124204</v>
      </c>
      <c r="J215" s="304">
        <f t="shared" si="38"/>
        <v>472281</v>
      </c>
      <c r="K215" s="284">
        <f t="shared" si="39"/>
        <v>243732.88913242004</v>
      </c>
      <c r="L215" s="10">
        <f t="shared" si="40"/>
        <v>228548.11086757996</v>
      </c>
      <c r="M215" s="301">
        <f t="shared" si="41"/>
        <v>-171411.08315068498</v>
      </c>
      <c r="N215" s="10">
        <v>0</v>
      </c>
      <c r="O215" s="10">
        <f t="shared" si="42"/>
        <v>44332</v>
      </c>
      <c r="P215" s="442">
        <v>44332</v>
      </c>
      <c r="Q215" s="10">
        <f t="shared" si="43"/>
        <v>30466.611141552505</v>
      </c>
      <c r="R215" s="14">
        <f t="shared" si="44"/>
        <v>13865.388858447495</v>
      </c>
      <c r="S215" s="2">
        <f t="shared" si="45"/>
        <v>-10399.041643835622</v>
      </c>
      <c r="T215" s="130">
        <f t="shared" si="46"/>
        <v>-181810.12479452061</v>
      </c>
      <c r="U215" s="437">
        <f t="shared" si="47"/>
        <v>-5.9675204422901897</v>
      </c>
      <c r="V215" s="126"/>
      <c r="W215" s="526"/>
      <c r="X215" s="526"/>
      <c r="Y215" s="526"/>
      <c r="Z215" s="526"/>
      <c r="AA215" s="526"/>
      <c r="AB215" s="526"/>
      <c r="AC215" s="423"/>
      <c r="AD215" s="423"/>
      <c r="AE215" s="423"/>
      <c r="AF215" s="423"/>
      <c r="AG215" s="423"/>
    </row>
    <row r="216" spans="1:33" x14ac:dyDescent="0.25">
      <c r="A216" s="49">
        <f>+'A) Base RI'!A218</f>
        <v>5747</v>
      </c>
      <c r="B216" s="484" t="str">
        <f>+'A) Base RI'!B218</f>
        <v>Bofflens</v>
      </c>
      <c r="C216" s="304">
        <f>+'D) Ecrêtage'!C216</f>
        <v>5608.7786956521741</v>
      </c>
      <c r="D216" s="440">
        <v>28029</v>
      </c>
      <c r="E216" s="440">
        <f t="shared" si="36"/>
        <v>17997</v>
      </c>
      <c r="F216" s="518">
        <f t="shared" si="37"/>
        <v>3.2087199329064195</v>
      </c>
      <c r="G216" s="440">
        <v>46026</v>
      </c>
      <c r="H216" s="440">
        <v>8624</v>
      </c>
      <c r="I216" s="438">
        <v>23220</v>
      </c>
      <c r="J216" s="304">
        <f t="shared" si="38"/>
        <v>77870</v>
      </c>
      <c r="K216" s="284">
        <f t="shared" si="39"/>
        <v>44870.229565217393</v>
      </c>
      <c r="L216" s="10">
        <f t="shared" si="40"/>
        <v>32999.770434782607</v>
      </c>
      <c r="M216" s="301">
        <f t="shared" si="41"/>
        <v>-24749.827826086956</v>
      </c>
      <c r="N216" s="10">
        <v>0</v>
      </c>
      <c r="O216" s="10">
        <f t="shared" si="42"/>
        <v>-12960</v>
      </c>
      <c r="P216" s="442">
        <v>-12960</v>
      </c>
      <c r="Q216" s="10">
        <f t="shared" si="43"/>
        <v>5608.7786956521741</v>
      </c>
      <c r="R216" s="14">
        <f t="shared" si="44"/>
        <v>0</v>
      </c>
      <c r="S216" s="2">
        <f t="shared" si="45"/>
        <v>0</v>
      </c>
      <c r="T216" s="130">
        <f t="shared" si="46"/>
        <v>-24749.827826086956</v>
      </c>
      <c r="U216" s="437">
        <f t="shared" si="47"/>
        <v>-4.4126946647534133</v>
      </c>
      <c r="V216" s="126"/>
      <c r="W216" s="526"/>
      <c r="X216" s="526"/>
      <c r="Y216" s="526"/>
      <c r="Z216" s="526"/>
      <c r="AA216" s="526"/>
      <c r="AB216" s="526"/>
      <c r="AC216" s="423"/>
      <c r="AD216" s="423"/>
      <c r="AE216" s="423"/>
      <c r="AF216" s="423"/>
      <c r="AG216" s="423"/>
    </row>
    <row r="217" spans="1:33" x14ac:dyDescent="0.25">
      <c r="A217" s="49">
        <f>+'A) Base RI'!A219</f>
        <v>5748</v>
      </c>
      <c r="B217" s="484" t="str">
        <f>+'A) Base RI'!B219</f>
        <v>Bretonnières</v>
      </c>
      <c r="C217" s="304">
        <f>+'D) Ecrêtage'!C217</f>
        <v>5789.9884160756492</v>
      </c>
      <c r="D217" s="440">
        <v>42039</v>
      </c>
      <c r="E217" s="440">
        <f t="shared" si="36"/>
        <v>7826</v>
      </c>
      <c r="F217" s="518">
        <f t="shared" si="37"/>
        <v>1.3516434641339616</v>
      </c>
      <c r="G217" s="440">
        <v>49865</v>
      </c>
      <c r="H217" s="440">
        <v>29893</v>
      </c>
      <c r="I217" s="438">
        <v>31874</v>
      </c>
      <c r="J217" s="304">
        <f t="shared" si="38"/>
        <v>111632</v>
      </c>
      <c r="K217" s="284">
        <f t="shared" si="39"/>
        <v>46319.907328605193</v>
      </c>
      <c r="L217" s="10">
        <f t="shared" si="40"/>
        <v>65312.092671394807</v>
      </c>
      <c r="M217" s="301">
        <f t="shared" si="41"/>
        <v>-48984.069503546103</v>
      </c>
      <c r="N217" s="10">
        <v>0</v>
      </c>
      <c r="O217" s="10">
        <f t="shared" si="42"/>
        <v>7719</v>
      </c>
      <c r="P217" s="442">
        <v>7719</v>
      </c>
      <c r="Q217" s="10">
        <f t="shared" si="43"/>
        <v>5789.9884160756492</v>
      </c>
      <c r="R217" s="14">
        <f t="shared" si="44"/>
        <v>1929.0115839243508</v>
      </c>
      <c r="S217" s="2">
        <f t="shared" si="45"/>
        <v>-1446.7586879432631</v>
      </c>
      <c r="T217" s="130">
        <f t="shared" si="46"/>
        <v>-50430.828191489367</v>
      </c>
      <c r="U217" s="437">
        <f t="shared" si="47"/>
        <v>-8.7100050237527906</v>
      </c>
      <c r="V217" s="126"/>
      <c r="W217" s="526"/>
      <c r="X217" s="526"/>
      <c r="Y217" s="526"/>
      <c r="Z217" s="526"/>
      <c r="AA217" s="526"/>
      <c r="AB217" s="526"/>
      <c r="AC217" s="423"/>
      <c r="AD217" s="423"/>
      <c r="AE217" s="423"/>
      <c r="AF217" s="423"/>
      <c r="AG217" s="423"/>
    </row>
    <row r="218" spans="1:33" x14ac:dyDescent="0.25">
      <c r="A218" s="49">
        <f>+'A) Base RI'!A220</f>
        <v>5749</v>
      </c>
      <c r="B218" s="484" t="str">
        <f>+'A) Base RI'!B220</f>
        <v>Chavornay</v>
      </c>
      <c r="C218" s="304">
        <f>+'D) Ecrêtage'!C218</f>
        <v>140676.80723404256</v>
      </c>
      <c r="D218" s="440">
        <v>307664</v>
      </c>
      <c r="E218" s="440">
        <f t="shared" si="36"/>
        <v>308924</v>
      </c>
      <c r="F218" s="518">
        <f t="shared" si="37"/>
        <v>2.1959838730633567</v>
      </c>
      <c r="G218" s="440">
        <v>616588</v>
      </c>
      <c r="H218" s="440">
        <v>570639</v>
      </c>
      <c r="I218" s="438">
        <v>679886</v>
      </c>
      <c r="J218" s="304">
        <f t="shared" si="38"/>
        <v>1867113</v>
      </c>
      <c r="K218" s="284">
        <f t="shared" si="39"/>
        <v>1125414.4578723405</v>
      </c>
      <c r="L218" s="10">
        <f t="shared" si="40"/>
        <v>741698.54212765954</v>
      </c>
      <c r="M218" s="301">
        <f t="shared" si="41"/>
        <v>-556273.90659574466</v>
      </c>
      <c r="N218" s="10">
        <v>8705</v>
      </c>
      <c r="O218" s="10">
        <f>P218-N218</f>
        <v>219356</v>
      </c>
      <c r="P218" s="442">
        <v>228061</v>
      </c>
      <c r="Q218" s="10">
        <f t="shared" si="43"/>
        <v>140676.80723404256</v>
      </c>
      <c r="R218" s="14">
        <f t="shared" si="44"/>
        <v>87384.192765957443</v>
      </c>
      <c r="S218" s="2">
        <f t="shared" si="45"/>
        <v>-65538.144574468082</v>
      </c>
      <c r="T218" s="130">
        <f t="shared" si="46"/>
        <v>-621812.05117021268</v>
      </c>
      <c r="U218" s="437">
        <f t="shared" si="47"/>
        <v>-4.4201461733184662</v>
      </c>
      <c r="V218" s="126"/>
      <c r="W218" s="526"/>
      <c r="X218" s="526"/>
      <c r="Y218" s="526"/>
      <c r="Z218" s="526"/>
      <c r="AA218" s="526"/>
      <c r="AB218" s="526"/>
      <c r="AC218" s="423"/>
      <c r="AD218" s="423"/>
      <c r="AE218" s="423"/>
      <c r="AF218" s="423"/>
      <c r="AG218" s="423"/>
    </row>
    <row r="219" spans="1:33" x14ac:dyDescent="0.25">
      <c r="A219" s="49">
        <f>+'A) Base RI'!A221</f>
        <v>5750</v>
      </c>
      <c r="B219" s="484" t="str">
        <f>+'A) Base RI'!B221</f>
        <v>Les Clées</v>
      </c>
      <c r="C219" s="304">
        <f>+'D) Ecrêtage'!C219</f>
        <v>6037.9437500000004</v>
      </c>
      <c r="D219" s="440">
        <v>28934</v>
      </c>
      <c r="E219" s="440">
        <f t="shared" si="36"/>
        <v>22161</v>
      </c>
      <c r="F219" s="518">
        <f t="shared" si="37"/>
        <v>3.6702892437512356</v>
      </c>
      <c r="G219" s="440">
        <v>51095</v>
      </c>
      <c r="H219" s="440">
        <v>0</v>
      </c>
      <c r="I219" s="438">
        <v>19629</v>
      </c>
      <c r="J219" s="304">
        <f t="shared" si="38"/>
        <v>70724</v>
      </c>
      <c r="K219" s="284">
        <f t="shared" si="39"/>
        <v>48303.55</v>
      </c>
      <c r="L219" s="10">
        <f t="shared" si="40"/>
        <v>22420.449999999997</v>
      </c>
      <c r="M219" s="301">
        <f t="shared" si="41"/>
        <v>-16815.337499999998</v>
      </c>
      <c r="N219" s="10">
        <v>0</v>
      </c>
      <c r="O219" s="10">
        <f t="shared" ref="O219:O282" si="48">P219-N219</f>
        <v>38986</v>
      </c>
      <c r="P219" s="442">
        <v>38986</v>
      </c>
      <c r="Q219" s="10">
        <f t="shared" si="43"/>
        <v>6037.9437500000004</v>
      </c>
      <c r="R219" s="14">
        <f t="shared" si="44"/>
        <v>32948.056250000001</v>
      </c>
      <c r="S219" s="2">
        <f t="shared" si="45"/>
        <v>-24711.042187500003</v>
      </c>
      <c r="T219" s="130">
        <f t="shared" si="46"/>
        <v>-41526.379687499997</v>
      </c>
      <c r="U219" s="437">
        <f t="shared" si="47"/>
        <v>-6.8775698162971448</v>
      </c>
      <c r="V219" s="126"/>
      <c r="W219" s="526"/>
      <c r="X219" s="526"/>
      <c r="Y219" s="526"/>
      <c r="Z219" s="526"/>
      <c r="AA219" s="526"/>
      <c r="AB219" s="526"/>
      <c r="AC219" s="423"/>
      <c r="AD219" s="423"/>
      <c r="AE219" s="423"/>
      <c r="AF219" s="423"/>
      <c r="AG219" s="423"/>
    </row>
    <row r="220" spans="1:33" x14ac:dyDescent="0.25">
      <c r="A220" s="49">
        <f>+'A) Base RI'!A222</f>
        <v>5752</v>
      </c>
      <c r="B220" s="484" t="str">
        <f>+'A) Base RI'!B222</f>
        <v>Croy</v>
      </c>
      <c r="C220" s="304">
        <f>+'D) Ecrêtage'!C220</f>
        <v>9416.7971235521236</v>
      </c>
      <c r="D220" s="440">
        <v>27860</v>
      </c>
      <c r="E220" s="440">
        <f t="shared" si="36"/>
        <v>679228</v>
      </c>
      <c r="F220" s="518">
        <f t="shared" si="37"/>
        <v>72.129407811197211</v>
      </c>
      <c r="G220" s="440">
        <v>707088</v>
      </c>
      <c r="H220" s="440">
        <v>44785</v>
      </c>
      <c r="I220" s="438">
        <v>32999</v>
      </c>
      <c r="J220" s="304">
        <f t="shared" si="38"/>
        <v>784872</v>
      </c>
      <c r="K220" s="284">
        <f t="shared" si="39"/>
        <v>75334.376988416989</v>
      </c>
      <c r="L220" s="10">
        <f t="shared" si="40"/>
        <v>709537.623011583</v>
      </c>
      <c r="M220" s="301">
        <f t="shared" si="41"/>
        <v>-532153.21725868725</v>
      </c>
      <c r="N220" s="10">
        <v>0</v>
      </c>
      <c r="O220" s="10">
        <f t="shared" si="48"/>
        <v>8135</v>
      </c>
      <c r="P220" s="442">
        <v>8135</v>
      </c>
      <c r="Q220" s="10">
        <f t="shared" si="43"/>
        <v>9416.7971235521236</v>
      </c>
      <c r="R220" s="14">
        <f t="shared" si="44"/>
        <v>0</v>
      </c>
      <c r="S220" s="2">
        <f t="shared" si="45"/>
        <v>0</v>
      </c>
      <c r="T220" s="130">
        <f t="shared" si="46"/>
        <v>-532153.21725868725</v>
      </c>
      <c r="U220" s="437">
        <f t="shared" si="47"/>
        <v>-56.511063185988334</v>
      </c>
      <c r="V220" s="126"/>
      <c r="W220" s="526"/>
      <c r="X220" s="526"/>
      <c r="Y220" s="526"/>
      <c r="Z220" s="526"/>
      <c r="AA220" s="526"/>
      <c r="AB220" s="526"/>
      <c r="AC220" s="423"/>
      <c r="AD220" s="423"/>
      <c r="AE220" s="423"/>
      <c r="AF220" s="423"/>
      <c r="AG220" s="423"/>
    </row>
    <row r="221" spans="1:33" x14ac:dyDescent="0.25">
      <c r="A221" s="49">
        <f>+'A) Base RI'!A223</f>
        <v>5754</v>
      </c>
      <c r="B221" s="484" t="str">
        <f>+'A) Base RI'!B223</f>
        <v>Juriens</v>
      </c>
      <c r="C221" s="304">
        <f>+'D) Ecrêtage'!C221</f>
        <v>8043.7859493670894</v>
      </c>
      <c r="D221" s="440">
        <v>17087</v>
      </c>
      <c r="E221" s="440">
        <f t="shared" si="36"/>
        <v>41183</v>
      </c>
      <c r="F221" s="518">
        <f t="shared" si="37"/>
        <v>5.1198527980770558</v>
      </c>
      <c r="G221" s="440">
        <v>58270</v>
      </c>
      <c r="H221" s="440">
        <v>14580</v>
      </c>
      <c r="I221" s="438">
        <v>31961</v>
      </c>
      <c r="J221" s="304">
        <f t="shared" si="38"/>
        <v>104811</v>
      </c>
      <c r="K221" s="284">
        <f t="shared" si="39"/>
        <v>64350.287594936715</v>
      </c>
      <c r="L221" s="10">
        <f t="shared" si="40"/>
        <v>40460.712405063285</v>
      </c>
      <c r="M221" s="301">
        <f t="shared" si="41"/>
        <v>-30345.534303797464</v>
      </c>
      <c r="N221" s="10">
        <v>0</v>
      </c>
      <c r="O221" s="10">
        <f t="shared" si="48"/>
        <v>51931</v>
      </c>
      <c r="P221" s="442">
        <v>51931</v>
      </c>
      <c r="Q221" s="10">
        <f t="shared" si="43"/>
        <v>8043.7859493670894</v>
      </c>
      <c r="R221" s="14">
        <f t="shared" si="44"/>
        <v>43887.214050632909</v>
      </c>
      <c r="S221" s="2">
        <f t="shared" si="45"/>
        <v>-32915.410537974683</v>
      </c>
      <c r="T221" s="130">
        <f t="shared" si="46"/>
        <v>-63260.944841772143</v>
      </c>
      <c r="U221" s="437">
        <f t="shared" si="47"/>
        <v>-7.8645733787520431</v>
      </c>
      <c r="V221" s="126"/>
      <c r="W221" s="526"/>
      <c r="X221" s="526"/>
      <c r="Y221" s="526"/>
      <c r="Z221" s="526"/>
      <c r="AA221" s="526"/>
      <c r="AB221" s="526"/>
      <c r="AC221" s="423"/>
      <c r="AD221" s="423"/>
      <c r="AE221" s="423"/>
      <c r="AF221" s="423"/>
      <c r="AG221" s="423"/>
    </row>
    <row r="222" spans="1:33" x14ac:dyDescent="0.25">
      <c r="A222" s="49">
        <f>+'A) Base RI'!A224</f>
        <v>5755</v>
      </c>
      <c r="B222" s="484" t="str">
        <f>+'A) Base RI'!B224</f>
        <v>Lignerolle</v>
      </c>
      <c r="C222" s="304">
        <f>+'D) Ecrêtage'!C222</f>
        <v>9055.2737033666963</v>
      </c>
      <c r="D222" s="440">
        <v>13490</v>
      </c>
      <c r="E222" s="440">
        <f t="shared" si="36"/>
        <v>621347</v>
      </c>
      <c r="F222" s="518">
        <f t="shared" si="37"/>
        <v>68.617141828522193</v>
      </c>
      <c r="G222" s="440">
        <v>634837</v>
      </c>
      <c r="H222" s="440">
        <v>19425</v>
      </c>
      <c r="I222" s="438">
        <v>52180</v>
      </c>
      <c r="J222" s="304">
        <f t="shared" si="38"/>
        <v>706442</v>
      </c>
      <c r="K222" s="284">
        <f t="shared" si="39"/>
        <v>72442.18962693357</v>
      </c>
      <c r="L222" s="10">
        <f t="shared" si="40"/>
        <v>633999.81037306646</v>
      </c>
      <c r="M222" s="301">
        <f t="shared" si="41"/>
        <v>-475499.85777979984</v>
      </c>
      <c r="N222" s="10">
        <v>0</v>
      </c>
      <c r="O222" s="10">
        <f t="shared" si="48"/>
        <v>71125</v>
      </c>
      <c r="P222" s="442">
        <v>71125</v>
      </c>
      <c r="Q222" s="10">
        <f t="shared" si="43"/>
        <v>9055.2737033666963</v>
      </c>
      <c r="R222" s="14">
        <f t="shared" si="44"/>
        <v>62069.726296633307</v>
      </c>
      <c r="S222" s="2">
        <f t="shared" si="45"/>
        <v>-46552.294722474981</v>
      </c>
      <c r="T222" s="130">
        <f t="shared" si="46"/>
        <v>-522052.15250227484</v>
      </c>
      <c r="U222" s="437">
        <f t="shared" si="47"/>
        <v>-57.651725348531322</v>
      </c>
      <c r="V222" s="126"/>
      <c r="W222" s="526"/>
      <c r="X222" s="526"/>
      <c r="Y222" s="526"/>
      <c r="Z222" s="526"/>
      <c r="AA222" s="526"/>
      <c r="AB222" s="526"/>
      <c r="AC222" s="423"/>
      <c r="AD222" s="423"/>
      <c r="AE222" s="423"/>
      <c r="AF222" s="423"/>
      <c r="AG222" s="423"/>
    </row>
    <row r="223" spans="1:33" x14ac:dyDescent="0.25">
      <c r="A223" s="49">
        <f>+'A) Base RI'!A225</f>
        <v>5756</v>
      </c>
      <c r="B223" s="484" t="str">
        <f>+'A) Base RI'!B225</f>
        <v>Montcherand</v>
      </c>
      <c r="C223" s="304">
        <f>+'D) Ecrêtage'!C223</f>
        <v>15758.308611111112</v>
      </c>
      <c r="D223" s="440">
        <v>57648</v>
      </c>
      <c r="E223" s="440">
        <f t="shared" si="36"/>
        <v>81727</v>
      </c>
      <c r="F223" s="518">
        <f t="shared" si="37"/>
        <v>5.1862799502717358</v>
      </c>
      <c r="G223" s="440">
        <v>139375</v>
      </c>
      <c r="H223" s="440">
        <v>22447</v>
      </c>
      <c r="I223" s="438">
        <v>62121</v>
      </c>
      <c r="J223" s="304">
        <f t="shared" si="38"/>
        <v>223943</v>
      </c>
      <c r="K223" s="284">
        <f t="shared" si="39"/>
        <v>126066.46888888889</v>
      </c>
      <c r="L223" s="10">
        <f t="shared" si="40"/>
        <v>97876.531111111108</v>
      </c>
      <c r="M223" s="301">
        <f t="shared" si="41"/>
        <v>-73407.398333333331</v>
      </c>
      <c r="N223" s="10">
        <v>0</v>
      </c>
      <c r="O223" s="10">
        <f t="shared" si="48"/>
        <v>10804</v>
      </c>
      <c r="P223" s="442">
        <v>10804</v>
      </c>
      <c r="Q223" s="10">
        <f t="shared" si="43"/>
        <v>15758.308611111112</v>
      </c>
      <c r="R223" s="14">
        <f t="shared" si="44"/>
        <v>0</v>
      </c>
      <c r="S223" s="2">
        <f t="shared" si="45"/>
        <v>0</v>
      </c>
      <c r="T223" s="130">
        <f t="shared" si="46"/>
        <v>-73407.398333333331</v>
      </c>
      <c r="U223" s="437">
        <f t="shared" si="47"/>
        <v>-4.6583297830310357</v>
      </c>
      <c r="V223" s="126"/>
      <c r="W223" s="526"/>
      <c r="X223" s="526"/>
      <c r="Y223" s="526"/>
      <c r="Z223" s="526"/>
      <c r="AA223" s="526"/>
      <c r="AB223" s="526"/>
      <c r="AC223" s="423"/>
      <c r="AD223" s="423"/>
      <c r="AE223" s="423"/>
      <c r="AF223" s="423"/>
      <c r="AG223" s="423"/>
    </row>
    <row r="224" spans="1:33" x14ac:dyDescent="0.25">
      <c r="A224" s="49">
        <f>+'A) Base RI'!A226</f>
        <v>5757</v>
      </c>
      <c r="B224" s="484" t="str">
        <f>+'A) Base RI'!B226</f>
        <v>Orbe</v>
      </c>
      <c r="C224" s="304">
        <f>+'D) Ecrêtage'!C224</f>
        <v>203783.43483443707</v>
      </c>
      <c r="D224" s="440">
        <v>603164</v>
      </c>
      <c r="E224" s="440">
        <f t="shared" si="36"/>
        <v>1896805</v>
      </c>
      <c r="F224" s="518">
        <f t="shared" si="37"/>
        <v>9.3079449835608603</v>
      </c>
      <c r="G224" s="440">
        <v>2499969</v>
      </c>
      <c r="H224" s="440">
        <v>965098</v>
      </c>
      <c r="I224" s="438">
        <v>789359</v>
      </c>
      <c r="J224" s="304">
        <f t="shared" si="38"/>
        <v>4254426</v>
      </c>
      <c r="K224" s="284">
        <f t="shared" si="39"/>
        <v>1630267.4786754965</v>
      </c>
      <c r="L224" s="10">
        <f t="shared" si="40"/>
        <v>2624158.5213245032</v>
      </c>
      <c r="M224" s="301">
        <f t="shared" si="41"/>
        <v>-1968118.8909933774</v>
      </c>
      <c r="N224" s="10">
        <v>0</v>
      </c>
      <c r="O224" s="10">
        <f t="shared" si="48"/>
        <v>98544</v>
      </c>
      <c r="P224" s="442">
        <v>98544</v>
      </c>
      <c r="Q224" s="10">
        <f t="shared" si="43"/>
        <v>203783.43483443707</v>
      </c>
      <c r="R224" s="14">
        <f t="shared" si="44"/>
        <v>0</v>
      </c>
      <c r="S224" s="2">
        <f t="shared" si="45"/>
        <v>0</v>
      </c>
      <c r="T224" s="130">
        <f t="shared" si="46"/>
        <v>-1968118.8909933774</v>
      </c>
      <c r="U224" s="437">
        <f t="shared" si="47"/>
        <v>-9.6578943847539271</v>
      </c>
      <c r="V224" s="126"/>
      <c r="W224" s="526"/>
      <c r="X224" s="526"/>
      <c r="Y224" s="526"/>
      <c r="Z224" s="526"/>
      <c r="AA224" s="526"/>
      <c r="AB224" s="526"/>
      <c r="AC224" s="423"/>
      <c r="AD224" s="423"/>
      <c r="AE224" s="423"/>
      <c r="AF224" s="423"/>
      <c r="AG224" s="423"/>
    </row>
    <row r="225" spans="1:33" x14ac:dyDescent="0.25">
      <c r="A225" s="49">
        <f>+'A) Base RI'!A227</f>
        <v>5758</v>
      </c>
      <c r="B225" s="484" t="str">
        <f>+'A) Base RI'!B227</f>
        <v>La Praz</v>
      </c>
      <c r="C225" s="304">
        <f>+'D) Ecrêtage'!C225</f>
        <v>4313.3939759036139</v>
      </c>
      <c r="D225" s="440">
        <v>2393</v>
      </c>
      <c r="E225" s="440">
        <f t="shared" si="36"/>
        <v>12509</v>
      </c>
      <c r="F225" s="518">
        <f t="shared" si="37"/>
        <v>2.9000365071867766</v>
      </c>
      <c r="G225" s="440">
        <v>14902</v>
      </c>
      <c r="H225" s="440">
        <v>7334</v>
      </c>
      <c r="I225" s="438">
        <v>18116</v>
      </c>
      <c r="J225" s="304">
        <f t="shared" si="38"/>
        <v>40352</v>
      </c>
      <c r="K225" s="284">
        <f t="shared" si="39"/>
        <v>34507.151807228911</v>
      </c>
      <c r="L225" s="10">
        <f t="shared" si="40"/>
        <v>5844.8481927710891</v>
      </c>
      <c r="M225" s="301">
        <f t="shared" si="41"/>
        <v>-4383.6361445783168</v>
      </c>
      <c r="N225" s="10">
        <v>0</v>
      </c>
      <c r="O225" s="10">
        <f t="shared" si="48"/>
        <v>12529</v>
      </c>
      <c r="P225" s="442">
        <v>12529</v>
      </c>
      <c r="Q225" s="10">
        <f t="shared" si="43"/>
        <v>4313.3939759036139</v>
      </c>
      <c r="R225" s="14">
        <f t="shared" si="44"/>
        <v>8215.6060240963852</v>
      </c>
      <c r="S225" s="2">
        <f t="shared" si="45"/>
        <v>-6161.7045180722889</v>
      </c>
      <c r="T225" s="130">
        <f t="shared" si="46"/>
        <v>-10545.340662650606</v>
      </c>
      <c r="U225" s="437">
        <f t="shared" si="47"/>
        <v>-2.4447895836923776</v>
      </c>
      <c r="V225" s="126"/>
      <c r="W225" s="526"/>
      <c r="X225" s="526"/>
      <c r="Y225" s="526"/>
      <c r="Z225" s="526"/>
      <c r="AA225" s="526"/>
      <c r="AB225" s="526"/>
      <c r="AC225" s="423"/>
      <c r="AD225" s="423"/>
      <c r="AE225" s="423"/>
      <c r="AF225" s="423"/>
      <c r="AG225" s="423"/>
    </row>
    <row r="226" spans="1:33" x14ac:dyDescent="0.25">
      <c r="A226" s="49">
        <f>+'A) Base RI'!A228</f>
        <v>5759</v>
      </c>
      <c r="B226" s="484" t="str">
        <f>+'A) Base RI'!B228</f>
        <v>Premier</v>
      </c>
      <c r="C226" s="304">
        <f>+'D) Ecrêtage'!C226</f>
        <v>5307.4840251572332</v>
      </c>
      <c r="D226" s="440">
        <v>53273</v>
      </c>
      <c r="E226" s="440">
        <f t="shared" si="36"/>
        <v>24713</v>
      </c>
      <c r="F226" s="518">
        <f t="shared" si="37"/>
        <v>4.6562551828439807</v>
      </c>
      <c r="G226" s="440">
        <v>77986</v>
      </c>
      <c r="H226" s="440">
        <v>9557</v>
      </c>
      <c r="I226" s="438">
        <v>27013</v>
      </c>
      <c r="J226" s="304">
        <f t="shared" si="38"/>
        <v>114556</v>
      </c>
      <c r="K226" s="284">
        <f t="shared" si="39"/>
        <v>42459.872201257866</v>
      </c>
      <c r="L226" s="10">
        <f t="shared" si="40"/>
        <v>72096.127798742134</v>
      </c>
      <c r="M226" s="301">
        <f t="shared" si="41"/>
        <v>-54072.095849056597</v>
      </c>
      <c r="N226" s="10">
        <v>0</v>
      </c>
      <c r="O226" s="10">
        <f t="shared" si="48"/>
        <v>7599</v>
      </c>
      <c r="P226" s="442">
        <v>7599</v>
      </c>
      <c r="Q226" s="10">
        <f t="shared" si="43"/>
        <v>5307.4840251572332</v>
      </c>
      <c r="R226" s="14">
        <f t="shared" si="44"/>
        <v>2291.5159748427668</v>
      </c>
      <c r="S226" s="2">
        <f t="shared" si="45"/>
        <v>-1718.6369811320751</v>
      </c>
      <c r="T226" s="130">
        <f t="shared" si="46"/>
        <v>-55790.732830188674</v>
      </c>
      <c r="U226" s="437">
        <f t="shared" si="47"/>
        <v>-10.511709986453683</v>
      </c>
      <c r="V226" s="126"/>
      <c r="W226" s="526"/>
      <c r="X226" s="526"/>
      <c r="Y226" s="526"/>
      <c r="Z226" s="526"/>
      <c r="AA226" s="526"/>
      <c r="AB226" s="526"/>
      <c r="AC226" s="423"/>
      <c r="AD226" s="423"/>
      <c r="AE226" s="423"/>
      <c r="AF226" s="423"/>
      <c r="AG226" s="423"/>
    </row>
    <row r="227" spans="1:33" x14ac:dyDescent="0.25">
      <c r="A227" s="49">
        <f>+'A) Base RI'!A229</f>
        <v>5760</v>
      </c>
      <c r="B227" s="484" t="str">
        <f>+'A) Base RI'!B229</f>
        <v>Rances</v>
      </c>
      <c r="C227" s="304">
        <f>+'D) Ecrêtage'!C227</f>
        <v>12826.018997821348</v>
      </c>
      <c r="D227" s="440">
        <v>5133</v>
      </c>
      <c r="E227" s="440">
        <f t="shared" si="36"/>
        <v>95304</v>
      </c>
      <c r="F227" s="518">
        <f t="shared" si="37"/>
        <v>7.4305207263601059</v>
      </c>
      <c r="G227" s="440">
        <v>100437</v>
      </c>
      <c r="H227" s="440">
        <v>33672</v>
      </c>
      <c r="I227" s="438">
        <v>53442</v>
      </c>
      <c r="J227" s="304">
        <f t="shared" si="38"/>
        <v>187551</v>
      </c>
      <c r="K227" s="284">
        <f t="shared" si="39"/>
        <v>102608.15198257078</v>
      </c>
      <c r="L227" s="10">
        <f t="shared" si="40"/>
        <v>84942.84801742922</v>
      </c>
      <c r="M227" s="301">
        <f t="shared" si="41"/>
        <v>-63707.136013071911</v>
      </c>
      <c r="N227" s="10">
        <v>0</v>
      </c>
      <c r="O227" s="10">
        <f t="shared" si="48"/>
        <v>132701</v>
      </c>
      <c r="P227" s="442">
        <v>132701</v>
      </c>
      <c r="Q227" s="10">
        <f t="shared" si="43"/>
        <v>12826.018997821348</v>
      </c>
      <c r="R227" s="14">
        <f t="shared" si="44"/>
        <v>119874.98100217865</v>
      </c>
      <c r="S227" s="2">
        <f t="shared" si="45"/>
        <v>-89906.235751633998</v>
      </c>
      <c r="T227" s="130">
        <f t="shared" si="46"/>
        <v>-153613.37176470592</v>
      </c>
      <c r="U227" s="437">
        <f t="shared" si="47"/>
        <v>-11.976699222946651</v>
      </c>
      <c r="V227" s="126"/>
      <c r="W227" s="526"/>
      <c r="X227" s="526"/>
      <c r="Y227" s="526"/>
      <c r="Z227" s="526"/>
      <c r="AA227" s="526"/>
      <c r="AB227" s="526"/>
      <c r="AC227" s="423"/>
      <c r="AD227" s="423"/>
      <c r="AE227" s="423"/>
      <c r="AF227" s="423"/>
      <c r="AG227" s="423"/>
    </row>
    <row r="228" spans="1:33" x14ac:dyDescent="0.25">
      <c r="A228" s="49">
        <f>+'A) Base RI'!A230</f>
        <v>5761</v>
      </c>
      <c r="B228" s="484" t="str">
        <f>+'A) Base RI'!B230</f>
        <v>Romainmôtier-Envy</v>
      </c>
      <c r="C228" s="304">
        <f>+'D) Ecrêtage'!C228</f>
        <v>12135.004377104378</v>
      </c>
      <c r="D228" s="440">
        <v>6069</v>
      </c>
      <c r="E228" s="440">
        <f t="shared" si="36"/>
        <v>258683</v>
      </c>
      <c r="F228" s="518">
        <f t="shared" si="37"/>
        <v>21.317091610454469</v>
      </c>
      <c r="G228" s="440">
        <v>264752</v>
      </c>
      <c r="H228" s="440">
        <v>47562</v>
      </c>
      <c r="I228" s="438">
        <v>50744</v>
      </c>
      <c r="J228" s="304">
        <f t="shared" si="38"/>
        <v>363058</v>
      </c>
      <c r="K228" s="284">
        <f t="shared" si="39"/>
        <v>97080.035016835027</v>
      </c>
      <c r="L228" s="10">
        <f t="shared" si="40"/>
        <v>265977.96498316497</v>
      </c>
      <c r="M228" s="301">
        <f t="shared" si="41"/>
        <v>-199483.47373737372</v>
      </c>
      <c r="N228" s="10">
        <v>0</v>
      </c>
      <c r="O228" s="10">
        <f t="shared" si="48"/>
        <v>4358</v>
      </c>
      <c r="P228" s="442">
        <v>4358</v>
      </c>
      <c r="Q228" s="10">
        <f t="shared" si="43"/>
        <v>12135.004377104378</v>
      </c>
      <c r="R228" s="14">
        <f t="shared" si="44"/>
        <v>0</v>
      </c>
      <c r="S228" s="2">
        <f t="shared" si="45"/>
        <v>0</v>
      </c>
      <c r="T228" s="130">
        <f t="shared" si="46"/>
        <v>-199483.47373737372</v>
      </c>
      <c r="U228" s="437">
        <f t="shared" si="47"/>
        <v>-16.438681646769535</v>
      </c>
      <c r="V228" s="126"/>
      <c r="W228" s="526"/>
      <c r="X228" s="526"/>
      <c r="Y228" s="526"/>
      <c r="Z228" s="526"/>
      <c r="AA228" s="526"/>
      <c r="AB228" s="526"/>
      <c r="AC228" s="423"/>
      <c r="AD228" s="423"/>
      <c r="AE228" s="423"/>
      <c r="AF228" s="423"/>
      <c r="AG228" s="423"/>
    </row>
    <row r="229" spans="1:33" x14ac:dyDescent="0.25">
      <c r="A229" s="49">
        <f>+'A) Base RI'!A231</f>
        <v>5762</v>
      </c>
      <c r="B229" s="484" t="str">
        <f>+'A) Base RI'!B231</f>
        <v>Sergey</v>
      </c>
      <c r="C229" s="304">
        <f>+'D) Ecrêtage'!C229</f>
        <v>3773.0282051282052</v>
      </c>
      <c r="D229" s="440">
        <v>8141</v>
      </c>
      <c r="E229" s="440">
        <f t="shared" si="36"/>
        <v>27114</v>
      </c>
      <c r="F229" s="518">
        <f t="shared" si="37"/>
        <v>7.1862701591118059</v>
      </c>
      <c r="G229" s="440">
        <v>35255</v>
      </c>
      <c r="H229" s="440">
        <v>6445</v>
      </c>
      <c r="I229" s="438">
        <v>17356</v>
      </c>
      <c r="J229" s="304">
        <f t="shared" si="38"/>
        <v>59056</v>
      </c>
      <c r="K229" s="284">
        <f t="shared" si="39"/>
        <v>30184.225641025641</v>
      </c>
      <c r="L229" s="10">
        <f t="shared" si="40"/>
        <v>28871.774358974359</v>
      </c>
      <c r="M229" s="301">
        <f t="shared" si="41"/>
        <v>-21653.830769230768</v>
      </c>
      <c r="N229" s="10">
        <v>0</v>
      </c>
      <c r="O229" s="10">
        <f t="shared" si="48"/>
        <v>10854</v>
      </c>
      <c r="P229" s="442">
        <v>10854</v>
      </c>
      <c r="Q229" s="10">
        <f t="shared" si="43"/>
        <v>3773.0282051282052</v>
      </c>
      <c r="R229" s="14">
        <f t="shared" si="44"/>
        <v>7080.9717948717953</v>
      </c>
      <c r="S229" s="2">
        <f t="shared" si="45"/>
        <v>-5310.7288461538465</v>
      </c>
      <c r="T229" s="130">
        <f t="shared" si="46"/>
        <v>-26964.559615384613</v>
      </c>
      <c r="U229" s="437">
        <f t="shared" si="47"/>
        <v>-7.1466626140602552</v>
      </c>
      <c r="V229" s="126"/>
      <c r="W229" s="526"/>
      <c r="X229" s="526"/>
      <c r="Y229" s="526"/>
      <c r="Z229" s="526"/>
      <c r="AA229" s="526"/>
      <c r="AB229" s="526"/>
      <c r="AC229" s="423"/>
      <c r="AD229" s="423"/>
      <c r="AE229" s="423"/>
      <c r="AF229" s="423"/>
      <c r="AG229" s="423"/>
    </row>
    <row r="230" spans="1:33" x14ac:dyDescent="0.25">
      <c r="A230" s="49">
        <f>+'A) Base RI'!A232</f>
        <v>5763</v>
      </c>
      <c r="B230" s="484" t="str">
        <f>+'A) Base RI'!B232</f>
        <v>Valeyres-sous-Rances</v>
      </c>
      <c r="C230" s="304">
        <f>+'D) Ecrêtage'!C230</f>
        <v>20456.385294117645</v>
      </c>
      <c r="D230" s="440">
        <v>23360</v>
      </c>
      <c r="E230" s="440">
        <f t="shared" si="36"/>
        <v>123310</v>
      </c>
      <c r="F230" s="518">
        <f t="shared" si="37"/>
        <v>6.0279466888736462</v>
      </c>
      <c r="G230" s="440">
        <v>146670</v>
      </c>
      <c r="H230" s="440">
        <v>41339</v>
      </c>
      <c r="I230" s="438">
        <v>79073</v>
      </c>
      <c r="J230" s="304">
        <f t="shared" si="38"/>
        <v>267082</v>
      </c>
      <c r="K230" s="284">
        <f t="shared" si="39"/>
        <v>163651.08235294116</v>
      </c>
      <c r="L230" s="10">
        <f t="shared" si="40"/>
        <v>103430.91764705884</v>
      </c>
      <c r="M230" s="301">
        <f t="shared" si="41"/>
        <v>-77573.188235294132</v>
      </c>
      <c r="N230" s="10">
        <v>0</v>
      </c>
      <c r="O230" s="10">
        <f t="shared" si="48"/>
        <v>70952</v>
      </c>
      <c r="P230" s="442">
        <v>70952</v>
      </c>
      <c r="Q230" s="10">
        <f t="shared" si="43"/>
        <v>20456.385294117645</v>
      </c>
      <c r="R230" s="14">
        <f t="shared" si="44"/>
        <v>50495.614705882355</v>
      </c>
      <c r="S230" s="2">
        <f t="shared" si="45"/>
        <v>-37871.711029411767</v>
      </c>
      <c r="T230" s="130">
        <f t="shared" si="46"/>
        <v>-115444.89926470589</v>
      </c>
      <c r="U230" s="437">
        <f t="shared" si="47"/>
        <v>-5.6434652361530731</v>
      </c>
      <c r="V230" s="126"/>
      <c r="W230" s="526"/>
      <c r="X230" s="526"/>
      <c r="Y230" s="526"/>
      <c r="Z230" s="526"/>
      <c r="AA230" s="526"/>
      <c r="AB230" s="526"/>
      <c r="AC230" s="423"/>
      <c r="AD230" s="423"/>
      <c r="AE230" s="423"/>
      <c r="AF230" s="423"/>
      <c r="AG230" s="423"/>
    </row>
    <row r="231" spans="1:33" x14ac:dyDescent="0.25">
      <c r="A231" s="49">
        <f>+'A) Base RI'!A233</f>
        <v>5764</v>
      </c>
      <c r="B231" s="484" t="str">
        <f>+'A) Base RI'!B233</f>
        <v>Vallorbe</v>
      </c>
      <c r="C231" s="304">
        <f>+'D) Ecrêtage'!C231</f>
        <v>84310.704615384602</v>
      </c>
      <c r="D231" s="440">
        <v>357781</v>
      </c>
      <c r="E231" s="440">
        <f t="shared" si="36"/>
        <v>1449140</v>
      </c>
      <c r="F231" s="518">
        <f t="shared" si="37"/>
        <v>17.188090250352005</v>
      </c>
      <c r="G231" s="440">
        <v>1806921</v>
      </c>
      <c r="H231" s="440">
        <v>428619</v>
      </c>
      <c r="I231" s="438">
        <v>417894</v>
      </c>
      <c r="J231" s="304">
        <f t="shared" si="38"/>
        <v>2653434</v>
      </c>
      <c r="K231" s="284">
        <f t="shared" si="39"/>
        <v>674485.63692307682</v>
      </c>
      <c r="L231" s="10">
        <f t="shared" si="40"/>
        <v>1978948.3630769232</v>
      </c>
      <c r="M231" s="301">
        <f t="shared" si="41"/>
        <v>-1484211.2723076923</v>
      </c>
      <c r="N231" s="10">
        <v>0</v>
      </c>
      <c r="O231" s="10">
        <f t="shared" si="48"/>
        <v>801409</v>
      </c>
      <c r="P231" s="442">
        <v>801409</v>
      </c>
      <c r="Q231" s="10">
        <f t="shared" si="43"/>
        <v>84310.704615384602</v>
      </c>
      <c r="R231" s="14">
        <f t="shared" si="44"/>
        <v>717098.29538461543</v>
      </c>
      <c r="S231" s="2">
        <f t="shared" si="45"/>
        <v>-537823.72153846151</v>
      </c>
      <c r="T231" s="130">
        <f t="shared" si="46"/>
        <v>-2022034.9938461538</v>
      </c>
      <c r="U231" s="437">
        <f t="shared" si="47"/>
        <v>-23.983134799672673</v>
      </c>
      <c r="V231" s="126"/>
      <c r="W231" s="526"/>
      <c r="X231" s="526"/>
      <c r="Y231" s="526"/>
      <c r="Z231" s="526"/>
      <c r="AA231" s="526"/>
      <c r="AB231" s="526"/>
      <c r="AC231" s="423"/>
      <c r="AD231" s="423"/>
      <c r="AE231" s="423"/>
      <c r="AF231" s="423"/>
      <c r="AG231" s="423"/>
    </row>
    <row r="232" spans="1:33" x14ac:dyDescent="0.25">
      <c r="A232" s="49">
        <f>+'A) Base RI'!A234</f>
        <v>5765</v>
      </c>
      <c r="B232" s="484" t="str">
        <f>+'A) Base RI'!B234</f>
        <v>Vaulion</v>
      </c>
      <c r="C232" s="304">
        <f>+'D) Ecrêtage'!C232</f>
        <v>11314.597037037036</v>
      </c>
      <c r="D232" s="440">
        <v>30310</v>
      </c>
      <c r="E232" s="440">
        <f t="shared" si="36"/>
        <v>141104</v>
      </c>
      <c r="F232" s="518">
        <f t="shared" si="37"/>
        <v>12.470969981353488</v>
      </c>
      <c r="G232" s="440">
        <v>171414</v>
      </c>
      <c r="H232" s="440">
        <v>22047</v>
      </c>
      <c r="I232" s="438">
        <v>51133</v>
      </c>
      <c r="J232" s="304">
        <f t="shared" si="38"/>
        <v>244594</v>
      </c>
      <c r="K232" s="284">
        <f t="shared" si="39"/>
        <v>90516.776296296288</v>
      </c>
      <c r="L232" s="10">
        <f t="shared" si="40"/>
        <v>154077.22370370373</v>
      </c>
      <c r="M232" s="301">
        <f t="shared" si="41"/>
        <v>-115557.91777777779</v>
      </c>
      <c r="N232" s="10">
        <v>0</v>
      </c>
      <c r="O232" s="10">
        <f t="shared" si="48"/>
        <v>63982</v>
      </c>
      <c r="P232" s="442">
        <v>63982</v>
      </c>
      <c r="Q232" s="10">
        <f t="shared" si="43"/>
        <v>11314.597037037036</v>
      </c>
      <c r="R232" s="14">
        <f t="shared" si="44"/>
        <v>52667.402962962966</v>
      </c>
      <c r="S232" s="2">
        <f t="shared" si="45"/>
        <v>-39500.552222222221</v>
      </c>
      <c r="T232" s="130">
        <f t="shared" si="46"/>
        <v>-155058.47000000003</v>
      </c>
      <c r="U232" s="437">
        <f t="shared" si="47"/>
        <v>-13.704285666774867</v>
      </c>
      <c r="V232" s="126"/>
      <c r="W232" s="526"/>
      <c r="X232" s="526"/>
      <c r="Y232" s="526"/>
      <c r="Z232" s="526"/>
      <c r="AA232" s="526"/>
      <c r="AB232" s="526"/>
      <c r="AC232" s="423"/>
      <c r="AD232" s="423"/>
      <c r="AE232" s="423"/>
      <c r="AF232" s="423"/>
      <c r="AG232" s="423"/>
    </row>
    <row r="233" spans="1:33" x14ac:dyDescent="0.25">
      <c r="A233" s="49">
        <f>+'A) Base RI'!A235</f>
        <v>5766</v>
      </c>
      <c r="B233" s="484" t="str">
        <f>+'A) Base RI'!B235</f>
        <v>Vuiteboeuf</v>
      </c>
      <c r="C233" s="304">
        <f>+'D) Ecrêtage'!C233</f>
        <v>15993.559610389608</v>
      </c>
      <c r="D233" s="440">
        <v>15354</v>
      </c>
      <c r="E233" s="440">
        <f t="shared" si="36"/>
        <v>143235</v>
      </c>
      <c r="F233" s="518">
        <f t="shared" si="37"/>
        <v>8.9557924245302356</v>
      </c>
      <c r="G233" s="440">
        <v>158589</v>
      </c>
      <c r="H233" s="440">
        <v>64009</v>
      </c>
      <c r="I233" s="438">
        <v>56285</v>
      </c>
      <c r="J233" s="304">
        <f t="shared" si="38"/>
        <v>278883</v>
      </c>
      <c r="K233" s="284">
        <f t="shared" si="39"/>
        <v>127948.47688311686</v>
      </c>
      <c r="L233" s="10">
        <f t="shared" si="40"/>
        <v>150934.52311688312</v>
      </c>
      <c r="M233" s="301">
        <f t="shared" si="41"/>
        <v>-113200.89233766234</v>
      </c>
      <c r="N233" s="10">
        <v>0</v>
      </c>
      <c r="O233" s="10">
        <f t="shared" si="48"/>
        <v>15894</v>
      </c>
      <c r="P233" s="442">
        <v>15894</v>
      </c>
      <c r="Q233" s="10">
        <f t="shared" si="43"/>
        <v>15993.559610389608</v>
      </c>
      <c r="R233" s="14">
        <f t="shared" si="44"/>
        <v>0</v>
      </c>
      <c r="S233" s="2">
        <f t="shared" si="45"/>
        <v>0</v>
      </c>
      <c r="T233" s="130">
        <f t="shared" si="46"/>
        <v>-113200.89233766234</v>
      </c>
      <c r="U233" s="437">
        <f t="shared" si="47"/>
        <v>-7.0779048001375306</v>
      </c>
      <c r="V233" s="126"/>
      <c r="W233" s="526"/>
      <c r="X233" s="526"/>
      <c r="Y233" s="526"/>
      <c r="Z233" s="526"/>
      <c r="AA233" s="526"/>
      <c r="AB233" s="526"/>
      <c r="AC233" s="423"/>
      <c r="AD233" s="423"/>
      <c r="AE233" s="423"/>
      <c r="AF233" s="423"/>
      <c r="AG233" s="423"/>
    </row>
    <row r="234" spans="1:33" x14ac:dyDescent="0.25">
      <c r="A234" s="49">
        <f>+'A) Base RI'!A236</f>
        <v>5785</v>
      </c>
      <c r="B234" s="484" t="str">
        <f>+'A) Base RI'!B236</f>
        <v>Corcelles-le-Jorat</v>
      </c>
      <c r="C234" s="304">
        <f>+'D) Ecrêtage'!C234</f>
        <v>17506.662467532471</v>
      </c>
      <c r="D234" s="440">
        <v>1004</v>
      </c>
      <c r="E234" s="440">
        <f t="shared" si="36"/>
        <v>129186</v>
      </c>
      <c r="F234" s="518">
        <f t="shared" si="37"/>
        <v>7.3792477715033318</v>
      </c>
      <c r="G234" s="440">
        <v>130190</v>
      </c>
      <c r="H234" s="440">
        <v>13105</v>
      </c>
      <c r="I234" s="438">
        <v>59412</v>
      </c>
      <c r="J234" s="304">
        <f t="shared" si="38"/>
        <v>202707</v>
      </c>
      <c r="K234" s="284">
        <f t="shared" si="39"/>
        <v>140053.29974025977</v>
      </c>
      <c r="L234" s="10">
        <f t="shared" si="40"/>
        <v>62653.700259740232</v>
      </c>
      <c r="M234" s="301">
        <f t="shared" si="41"/>
        <v>-46990.275194805174</v>
      </c>
      <c r="N234" s="10">
        <v>0</v>
      </c>
      <c r="O234" s="10">
        <f t="shared" si="48"/>
        <v>41432</v>
      </c>
      <c r="P234" s="442">
        <f>91666-50234</f>
        <v>41432</v>
      </c>
      <c r="Q234" s="10">
        <f t="shared" si="43"/>
        <v>17506.662467532471</v>
      </c>
      <c r="R234" s="14">
        <f t="shared" si="44"/>
        <v>23925.337532467529</v>
      </c>
      <c r="S234" s="2">
        <f t="shared" si="45"/>
        <v>-17944.003149350647</v>
      </c>
      <c r="T234" s="130">
        <f t="shared" si="46"/>
        <v>-64934.27834415582</v>
      </c>
      <c r="U234" s="437">
        <f t="shared" si="47"/>
        <v>-3.7091180837342193</v>
      </c>
      <c r="V234" s="126"/>
      <c r="W234" s="526"/>
      <c r="X234" s="526"/>
      <c r="Y234" s="526"/>
      <c r="Z234" s="526"/>
      <c r="AA234" s="526"/>
      <c r="AB234" s="526"/>
      <c r="AC234" s="423"/>
      <c r="AD234" s="423"/>
      <c r="AE234" s="423"/>
      <c r="AF234" s="423"/>
      <c r="AG234" s="423"/>
    </row>
    <row r="235" spans="1:33" x14ac:dyDescent="0.25">
      <c r="A235" s="49">
        <f>+'A) Base RI'!A237</f>
        <v>5788</v>
      </c>
      <c r="B235" s="484" t="str">
        <f>+'A) Base RI'!B237</f>
        <v>Essertes</v>
      </c>
      <c r="C235" s="304">
        <f>+'D) Ecrêtage'!C235</f>
        <v>16224.893706293702</v>
      </c>
      <c r="D235" s="440">
        <v>9544</v>
      </c>
      <c r="E235" s="440">
        <f t="shared" si="36"/>
        <v>64662</v>
      </c>
      <c r="F235" s="518">
        <f t="shared" si="37"/>
        <v>3.9853573878833699</v>
      </c>
      <c r="G235" s="440">
        <v>74206</v>
      </c>
      <c r="H235" s="440">
        <v>16310</v>
      </c>
      <c r="I235" s="438">
        <v>47369</v>
      </c>
      <c r="J235" s="304">
        <f t="shared" si="38"/>
        <v>137885</v>
      </c>
      <c r="K235" s="284">
        <f t="shared" si="39"/>
        <v>129799.14965034962</v>
      </c>
      <c r="L235" s="10">
        <f t="shared" si="40"/>
        <v>8085.8503496503836</v>
      </c>
      <c r="M235" s="301">
        <f t="shared" si="41"/>
        <v>-6064.3877622377877</v>
      </c>
      <c r="N235" s="10">
        <v>0</v>
      </c>
      <c r="O235" s="10">
        <f t="shared" si="48"/>
        <v>6552</v>
      </c>
      <c r="P235" s="442">
        <v>6552</v>
      </c>
      <c r="Q235" s="10">
        <f t="shared" si="43"/>
        <v>16224.893706293702</v>
      </c>
      <c r="R235" s="14">
        <f t="shared" si="44"/>
        <v>0</v>
      </c>
      <c r="S235" s="2">
        <f t="shared" si="45"/>
        <v>0</v>
      </c>
      <c r="T235" s="130">
        <f t="shared" si="46"/>
        <v>-6064.3877622377877</v>
      </c>
      <c r="U235" s="437">
        <f t="shared" si="47"/>
        <v>-0.3737705695961131</v>
      </c>
      <c r="V235" s="126"/>
      <c r="W235" s="526"/>
      <c r="X235" s="526"/>
      <c r="Y235" s="526"/>
      <c r="Z235" s="526"/>
      <c r="AA235" s="526"/>
      <c r="AB235" s="526"/>
      <c r="AC235" s="423"/>
      <c r="AD235" s="423"/>
      <c r="AE235" s="423"/>
      <c r="AF235" s="423"/>
      <c r="AG235" s="423"/>
    </row>
    <row r="236" spans="1:33" x14ac:dyDescent="0.25">
      <c r="A236" s="49">
        <f>+'A) Base RI'!A238</f>
        <v>5790</v>
      </c>
      <c r="B236" s="484" t="str">
        <f>+'A) Base RI'!B238</f>
        <v>Maracon</v>
      </c>
      <c r="C236" s="304">
        <f>+'D) Ecrêtage'!C236</f>
        <v>13398.084966442953</v>
      </c>
      <c r="D236" s="440">
        <v>28372</v>
      </c>
      <c r="E236" s="440">
        <f t="shared" si="36"/>
        <v>71599</v>
      </c>
      <c r="F236" s="518">
        <f t="shared" si="37"/>
        <v>5.3439726781348185</v>
      </c>
      <c r="G236" s="440">
        <v>99971</v>
      </c>
      <c r="H236" s="440">
        <v>15394</v>
      </c>
      <c r="I236" s="438">
        <v>70472</v>
      </c>
      <c r="J236" s="304">
        <f t="shared" si="38"/>
        <v>185837</v>
      </c>
      <c r="K236" s="284">
        <f t="shared" si="39"/>
        <v>107184.67973154363</v>
      </c>
      <c r="L236" s="10">
        <f t="shared" si="40"/>
        <v>78652.320268456373</v>
      </c>
      <c r="M236" s="301">
        <f t="shared" si="41"/>
        <v>-58989.240201342283</v>
      </c>
      <c r="N236" s="10">
        <v>0</v>
      </c>
      <c r="O236" s="10">
        <f t="shared" si="48"/>
        <v>6029</v>
      </c>
      <c r="P236" s="442">
        <v>6029</v>
      </c>
      <c r="Q236" s="10">
        <f t="shared" si="43"/>
        <v>13398.084966442953</v>
      </c>
      <c r="R236" s="14">
        <f t="shared" si="44"/>
        <v>0</v>
      </c>
      <c r="S236" s="2">
        <f t="shared" si="45"/>
        <v>0</v>
      </c>
      <c r="T236" s="130">
        <f t="shared" si="46"/>
        <v>-58989.240201342283</v>
      </c>
      <c r="U236" s="437">
        <f t="shared" si="47"/>
        <v>-4.4028113233411812</v>
      </c>
      <c r="V236" s="126"/>
      <c r="W236" s="526"/>
      <c r="X236" s="526"/>
      <c r="Y236" s="526"/>
      <c r="Z236" s="526"/>
      <c r="AA236" s="526"/>
      <c r="AB236" s="526"/>
      <c r="AC236" s="423"/>
      <c r="AD236" s="423"/>
      <c r="AE236" s="423"/>
      <c r="AF236" s="423"/>
      <c r="AG236" s="423"/>
    </row>
    <row r="237" spans="1:33" x14ac:dyDescent="0.25">
      <c r="A237" s="49">
        <f>+'A) Base RI'!A239</f>
        <v>5792</v>
      </c>
      <c r="B237" s="484" t="str">
        <f>+'A) Base RI'!B239</f>
        <v>Montpreveyres</v>
      </c>
      <c r="C237" s="304">
        <f>+'D) Ecrêtage'!C237</f>
        <v>17609.230799999998</v>
      </c>
      <c r="D237" s="440">
        <v>67045</v>
      </c>
      <c r="E237" s="440">
        <f t="shared" si="36"/>
        <v>191666</v>
      </c>
      <c r="F237" s="518">
        <f t="shared" si="37"/>
        <v>10.884405013306999</v>
      </c>
      <c r="G237" s="440">
        <v>258711</v>
      </c>
      <c r="H237" s="440">
        <v>28199</v>
      </c>
      <c r="I237" s="438">
        <v>89318</v>
      </c>
      <c r="J237" s="304">
        <f t="shared" si="38"/>
        <v>376228</v>
      </c>
      <c r="K237" s="284">
        <f t="shared" si="39"/>
        <v>140873.84639999998</v>
      </c>
      <c r="L237" s="10">
        <f t="shared" si="40"/>
        <v>235354.15360000002</v>
      </c>
      <c r="M237" s="301">
        <f t="shared" si="41"/>
        <v>-176515.6152</v>
      </c>
      <c r="N237" s="10">
        <v>0</v>
      </c>
      <c r="O237" s="10">
        <f t="shared" si="48"/>
        <v>7988</v>
      </c>
      <c r="P237" s="442">
        <v>7988</v>
      </c>
      <c r="Q237" s="10">
        <f t="shared" si="43"/>
        <v>17609.230799999998</v>
      </c>
      <c r="R237" s="14">
        <f t="shared" si="44"/>
        <v>0</v>
      </c>
      <c r="S237" s="2">
        <f t="shared" si="45"/>
        <v>0</v>
      </c>
      <c r="T237" s="130">
        <f t="shared" si="46"/>
        <v>-176515.6152</v>
      </c>
      <c r="U237" s="437">
        <f t="shared" si="47"/>
        <v>-10.024038937578126</v>
      </c>
      <c r="V237" s="126"/>
      <c r="W237" s="526"/>
      <c r="X237" s="526"/>
      <c r="Y237" s="526"/>
      <c r="Z237" s="526"/>
      <c r="AA237" s="526"/>
      <c r="AB237" s="526"/>
      <c r="AC237" s="423"/>
      <c r="AD237" s="423"/>
      <c r="AE237" s="423"/>
      <c r="AF237" s="423"/>
      <c r="AG237" s="423"/>
    </row>
    <row r="238" spans="1:33" x14ac:dyDescent="0.25">
      <c r="A238" s="49">
        <f>+'A) Base RI'!A240</f>
        <v>5798</v>
      </c>
      <c r="B238" s="484" t="str">
        <f>+'A) Base RI'!B240</f>
        <v>Ropraz</v>
      </c>
      <c r="C238" s="304">
        <f>+'D) Ecrêtage'!C238</f>
        <v>15760.164903225806</v>
      </c>
      <c r="D238" s="440">
        <v>11572</v>
      </c>
      <c r="E238" s="440">
        <f t="shared" si="36"/>
        <v>97002</v>
      </c>
      <c r="F238" s="518">
        <f t="shared" si="37"/>
        <v>6.1548848375403438</v>
      </c>
      <c r="G238" s="440">
        <v>108574</v>
      </c>
      <c r="H238" s="440">
        <v>13964</v>
      </c>
      <c r="I238" s="438">
        <v>79831</v>
      </c>
      <c r="J238" s="304">
        <f t="shared" si="38"/>
        <v>202369</v>
      </c>
      <c r="K238" s="284">
        <f t="shared" si="39"/>
        <v>126081.31922580645</v>
      </c>
      <c r="L238" s="10">
        <f t="shared" si="40"/>
        <v>76287.680774193548</v>
      </c>
      <c r="M238" s="301">
        <f t="shared" si="41"/>
        <v>-57215.760580645161</v>
      </c>
      <c r="N238" s="10">
        <v>0</v>
      </c>
      <c r="O238" s="10">
        <f t="shared" si="48"/>
        <v>-2237</v>
      </c>
      <c r="P238" s="442">
        <v>-2237</v>
      </c>
      <c r="Q238" s="10">
        <f t="shared" si="43"/>
        <v>15760.164903225806</v>
      </c>
      <c r="R238" s="14">
        <f t="shared" si="44"/>
        <v>0</v>
      </c>
      <c r="S238" s="2">
        <f t="shared" si="45"/>
        <v>0</v>
      </c>
      <c r="T238" s="130">
        <f t="shared" si="46"/>
        <v>-57215.760580645161</v>
      </c>
      <c r="U238" s="437">
        <f t="shared" si="47"/>
        <v>-3.6304036748330075</v>
      </c>
      <c r="V238" s="126"/>
      <c r="W238" s="526"/>
      <c r="X238" s="526"/>
      <c r="Y238" s="526"/>
      <c r="Z238" s="526"/>
      <c r="AA238" s="526"/>
      <c r="AB238" s="526"/>
      <c r="AC238" s="423"/>
      <c r="AD238" s="423"/>
      <c r="AE238" s="423"/>
      <c r="AF238" s="423"/>
      <c r="AG238" s="423"/>
    </row>
    <row r="239" spans="1:33" x14ac:dyDescent="0.25">
      <c r="A239" s="49">
        <f>+'A) Base RI'!A241</f>
        <v>5799</v>
      </c>
      <c r="B239" s="484" t="str">
        <f>+'A) Base RI'!B241</f>
        <v>Servion</v>
      </c>
      <c r="C239" s="304">
        <f>+'D) Ecrêtage'!C239</f>
        <v>69387.22289855071</v>
      </c>
      <c r="D239" s="440">
        <v>253531</v>
      </c>
      <c r="E239" s="440">
        <f t="shared" si="36"/>
        <v>378458</v>
      </c>
      <c r="F239" s="518">
        <f t="shared" si="37"/>
        <v>5.4542894814126486</v>
      </c>
      <c r="G239" s="440">
        <v>631989</v>
      </c>
      <c r="H239" s="440">
        <v>85713</v>
      </c>
      <c r="I239" s="438">
        <v>276067</v>
      </c>
      <c r="J239" s="304">
        <f t="shared" si="38"/>
        <v>993769</v>
      </c>
      <c r="K239" s="284">
        <f t="shared" si="39"/>
        <v>555097.78318840568</v>
      </c>
      <c r="L239" s="10">
        <f t="shared" si="40"/>
        <v>438671.21681159432</v>
      </c>
      <c r="M239" s="301">
        <f t="shared" si="41"/>
        <v>-329003.41260869574</v>
      </c>
      <c r="N239" s="10">
        <v>0</v>
      </c>
      <c r="O239" s="10">
        <f t="shared" si="48"/>
        <v>39764</v>
      </c>
      <c r="P239" s="442">
        <v>39764</v>
      </c>
      <c r="Q239" s="10">
        <f t="shared" si="43"/>
        <v>69387.22289855071</v>
      </c>
      <c r="R239" s="14">
        <f t="shared" si="44"/>
        <v>0</v>
      </c>
      <c r="S239" s="2">
        <f t="shared" si="45"/>
        <v>0</v>
      </c>
      <c r="T239" s="130">
        <f t="shared" si="46"/>
        <v>-329003.41260869574</v>
      </c>
      <c r="U239" s="437">
        <f t="shared" si="47"/>
        <v>-4.7415561376440047</v>
      </c>
      <c r="V239" s="126"/>
      <c r="W239" s="526"/>
      <c r="X239" s="526"/>
      <c r="Y239" s="526"/>
      <c r="Z239" s="526"/>
      <c r="AA239" s="526"/>
      <c r="AB239" s="526"/>
      <c r="AC239" s="423"/>
      <c r="AD239" s="423"/>
      <c r="AE239" s="423"/>
      <c r="AF239" s="423"/>
      <c r="AG239" s="423"/>
    </row>
    <row r="240" spans="1:33" x14ac:dyDescent="0.25">
      <c r="A240" s="49">
        <f>+'A) Base RI'!A242</f>
        <v>5803</v>
      </c>
      <c r="B240" s="484" t="str">
        <f>+'A) Base RI'!B242</f>
        <v>Vulliens</v>
      </c>
      <c r="C240" s="304">
        <f>+'D) Ecrêtage'!C240</f>
        <v>18875.933421052636</v>
      </c>
      <c r="D240" s="440">
        <v>19719</v>
      </c>
      <c r="E240" s="440">
        <f t="shared" si="36"/>
        <v>100527</v>
      </c>
      <c r="F240" s="518">
        <f t="shared" si="37"/>
        <v>5.3256704056754405</v>
      </c>
      <c r="G240" s="440">
        <v>120246</v>
      </c>
      <c r="H240" s="440">
        <v>17569</v>
      </c>
      <c r="I240" s="438">
        <v>88612</v>
      </c>
      <c r="J240" s="304">
        <f t="shared" si="38"/>
        <v>226427</v>
      </c>
      <c r="K240" s="284">
        <f t="shared" si="39"/>
        <v>151007.46736842109</v>
      </c>
      <c r="L240" s="10">
        <f t="shared" si="40"/>
        <v>75419.532631578913</v>
      </c>
      <c r="M240" s="301">
        <f t="shared" si="41"/>
        <v>-56564.649473684185</v>
      </c>
      <c r="N240" s="10">
        <v>0</v>
      </c>
      <c r="O240" s="10">
        <f t="shared" si="48"/>
        <v>52817</v>
      </c>
      <c r="P240" s="442">
        <v>52817</v>
      </c>
      <c r="Q240" s="10">
        <f t="shared" si="43"/>
        <v>18875.933421052636</v>
      </c>
      <c r="R240" s="14">
        <f t="shared" si="44"/>
        <v>33941.066578947364</v>
      </c>
      <c r="S240" s="2">
        <f t="shared" si="45"/>
        <v>-25455.799934210525</v>
      </c>
      <c r="T240" s="130">
        <f t="shared" si="46"/>
        <v>-82020.449407894717</v>
      </c>
      <c r="U240" s="437">
        <f t="shared" si="47"/>
        <v>-4.3452393891374914</v>
      </c>
      <c r="V240" s="126"/>
      <c r="W240" s="526"/>
      <c r="X240" s="526"/>
      <c r="Y240" s="526"/>
      <c r="Z240" s="526"/>
      <c r="AA240" s="526"/>
      <c r="AB240" s="526"/>
      <c r="AC240" s="423"/>
      <c r="AD240" s="423"/>
      <c r="AE240" s="423"/>
      <c r="AF240" s="423"/>
      <c r="AG240" s="423"/>
    </row>
    <row r="241" spans="1:33" x14ac:dyDescent="0.25">
      <c r="A241" s="49">
        <f>+'A) Base RI'!A243</f>
        <v>5804</v>
      </c>
      <c r="B241" s="484" t="str">
        <f>+'A) Base RI'!B243</f>
        <v>Jorat-Menthue</v>
      </c>
      <c r="C241" s="304">
        <f>+'D) Ecrêtage'!C241</f>
        <v>46692.865106382982</v>
      </c>
      <c r="D241" s="440">
        <v>73136</v>
      </c>
      <c r="E241" s="440">
        <f t="shared" si="36"/>
        <v>655920</v>
      </c>
      <c r="F241" s="518">
        <f t="shared" si="37"/>
        <v>14.047542349469893</v>
      </c>
      <c r="G241" s="440">
        <v>729056</v>
      </c>
      <c r="H241" s="440">
        <v>45525</v>
      </c>
      <c r="I241" s="438">
        <v>127980</v>
      </c>
      <c r="J241" s="304">
        <f t="shared" si="38"/>
        <v>902561</v>
      </c>
      <c r="K241" s="284">
        <f t="shared" si="39"/>
        <v>373542.92085106386</v>
      </c>
      <c r="L241" s="10">
        <f t="shared" si="40"/>
        <v>529018.07914893609</v>
      </c>
      <c r="M241" s="301">
        <f t="shared" si="41"/>
        <v>-396763.55936170206</v>
      </c>
      <c r="N241" s="10">
        <v>0</v>
      </c>
      <c r="O241" s="10">
        <f t="shared" si="48"/>
        <v>176575</v>
      </c>
      <c r="P241" s="442">
        <v>176575</v>
      </c>
      <c r="Q241" s="10">
        <f t="shared" si="43"/>
        <v>46692.865106382982</v>
      </c>
      <c r="R241" s="14">
        <f t="shared" si="44"/>
        <v>129882.13489361701</v>
      </c>
      <c r="S241" s="2">
        <f t="shared" si="45"/>
        <v>-97411.601170212758</v>
      </c>
      <c r="T241" s="130">
        <f t="shared" si="46"/>
        <v>-494175.16053191479</v>
      </c>
      <c r="U241" s="437">
        <f t="shared" si="47"/>
        <v>-10.583526185553355</v>
      </c>
      <c r="V241" s="126"/>
      <c r="W241" s="526"/>
      <c r="X241" s="526"/>
      <c r="Y241" s="526"/>
      <c r="Z241" s="526"/>
      <c r="AA241" s="526"/>
      <c r="AB241" s="526"/>
      <c r="AC241" s="423"/>
      <c r="AD241" s="423"/>
      <c r="AE241" s="423"/>
      <c r="AF241" s="423"/>
      <c r="AG241" s="423"/>
    </row>
    <row r="242" spans="1:33" x14ac:dyDescent="0.25">
      <c r="A242" s="49">
        <f>+'A) Base RI'!A244</f>
        <v>5805</v>
      </c>
      <c r="B242" s="484" t="str">
        <f>+'A) Base RI'!B244</f>
        <v>Oron</v>
      </c>
      <c r="C242" s="304">
        <f>+'D) Ecrêtage'!C242</f>
        <v>154727.47061923583</v>
      </c>
      <c r="D242" s="440">
        <v>263127</v>
      </c>
      <c r="E242" s="440">
        <f t="shared" si="36"/>
        <v>1050175</v>
      </c>
      <c r="F242" s="518">
        <f t="shared" si="37"/>
        <v>6.7872563016579264</v>
      </c>
      <c r="G242" s="440">
        <v>1313302</v>
      </c>
      <c r="H242" s="440">
        <v>405535</v>
      </c>
      <c r="I242" s="438">
        <v>719217</v>
      </c>
      <c r="J242" s="304">
        <f t="shared" si="38"/>
        <v>2438054</v>
      </c>
      <c r="K242" s="284">
        <f t="shared" si="39"/>
        <v>1237819.7649538866</v>
      </c>
      <c r="L242" s="10">
        <f t="shared" si="40"/>
        <v>1200234.2350461134</v>
      </c>
      <c r="M242" s="301">
        <f t="shared" si="41"/>
        <v>-900175.67628458503</v>
      </c>
      <c r="N242" s="10">
        <v>0</v>
      </c>
      <c r="O242" s="10">
        <f t="shared" si="48"/>
        <v>49427</v>
      </c>
      <c r="P242" s="442">
        <v>49427</v>
      </c>
      <c r="Q242" s="10">
        <f t="shared" si="43"/>
        <v>154727.47061923583</v>
      </c>
      <c r="R242" s="14">
        <f t="shared" si="44"/>
        <v>0</v>
      </c>
      <c r="S242" s="2">
        <f t="shared" si="45"/>
        <v>0</v>
      </c>
      <c r="T242" s="130">
        <f t="shared" si="46"/>
        <v>-900175.67628458503</v>
      </c>
      <c r="U242" s="437">
        <f t="shared" si="47"/>
        <v>-5.8178142037867353</v>
      </c>
      <c r="V242" s="126"/>
      <c r="W242" s="526"/>
      <c r="X242" s="526"/>
      <c r="Y242" s="526"/>
      <c r="Z242" s="526"/>
      <c r="AA242" s="526"/>
      <c r="AB242" s="526"/>
      <c r="AC242" s="423"/>
      <c r="AD242" s="423"/>
      <c r="AE242" s="423"/>
      <c r="AF242" s="423"/>
      <c r="AG242" s="423"/>
    </row>
    <row r="243" spans="1:33" x14ac:dyDescent="0.25">
      <c r="A243" s="49">
        <f>+'A) Base RI'!A245</f>
        <v>5806</v>
      </c>
      <c r="B243" s="484" t="str">
        <f>+'A) Base RI'!B245</f>
        <v>Jorat-Mézières</v>
      </c>
      <c r="C243" s="304">
        <f>+'D) Ecrêtage'!C243</f>
        <v>91070.268493150696</v>
      </c>
      <c r="D243" s="440">
        <v>243846</v>
      </c>
      <c r="E243" s="440">
        <f t="shared" si="36"/>
        <v>474688</v>
      </c>
      <c r="F243" s="518">
        <f t="shared" si="37"/>
        <v>5.2123267873718939</v>
      </c>
      <c r="G243" s="440">
        <v>718534</v>
      </c>
      <c r="H243" s="440">
        <v>126575</v>
      </c>
      <c r="I243" s="438">
        <v>434629</v>
      </c>
      <c r="J243" s="304">
        <f t="shared" si="38"/>
        <v>1279738</v>
      </c>
      <c r="K243" s="284">
        <f t="shared" si="39"/>
        <v>728562.14794520556</v>
      </c>
      <c r="L243" s="10">
        <f t="shared" si="40"/>
        <v>551175.85205479444</v>
      </c>
      <c r="M243" s="301">
        <f t="shared" si="41"/>
        <v>-413381.88904109586</v>
      </c>
      <c r="N243" s="10">
        <v>74586</v>
      </c>
      <c r="O243" s="10">
        <f t="shared" si="48"/>
        <v>12571</v>
      </c>
      <c r="P243" s="442">
        <v>87157</v>
      </c>
      <c r="Q243" s="10">
        <f t="shared" si="43"/>
        <v>91070.268493150696</v>
      </c>
      <c r="R243" s="14">
        <f t="shared" si="44"/>
        <v>0</v>
      </c>
      <c r="S243" s="2">
        <f t="shared" si="45"/>
        <v>0</v>
      </c>
      <c r="T243" s="130">
        <f t="shared" si="46"/>
        <v>-413381.88904109586</v>
      </c>
      <c r="U243" s="437">
        <f t="shared" si="47"/>
        <v>-4.5391530724671787</v>
      </c>
      <c r="V243" s="126"/>
      <c r="W243" s="526"/>
      <c r="X243" s="526"/>
      <c r="Y243" s="526"/>
      <c r="Z243" s="526"/>
      <c r="AA243" s="526"/>
      <c r="AB243" s="526"/>
      <c r="AC243" s="423"/>
      <c r="AD243" s="423"/>
      <c r="AE243" s="423"/>
      <c r="AF243" s="423"/>
      <c r="AG243" s="423"/>
    </row>
    <row r="244" spans="1:33" x14ac:dyDescent="0.25">
      <c r="A244" s="49">
        <f>+'A) Base RI'!A246</f>
        <v>5812</v>
      </c>
      <c r="B244" s="484" t="str">
        <f>+'A) Base RI'!B246</f>
        <v>Champtauroz</v>
      </c>
      <c r="C244" s="304">
        <f>+'D) Ecrêtage'!C244</f>
        <v>2503.1327272727272</v>
      </c>
      <c r="D244" s="440">
        <v>15747</v>
      </c>
      <c r="E244" s="440">
        <f t="shared" si="36"/>
        <v>21762</v>
      </c>
      <c r="F244" s="518">
        <f t="shared" si="37"/>
        <v>8.6939057457455142</v>
      </c>
      <c r="G244" s="440">
        <v>37509</v>
      </c>
      <c r="H244" s="440">
        <v>4906</v>
      </c>
      <c r="I244" s="438">
        <v>17085</v>
      </c>
      <c r="J244" s="304">
        <f t="shared" si="38"/>
        <v>59500</v>
      </c>
      <c r="K244" s="284">
        <f t="shared" si="39"/>
        <v>20025.061818181817</v>
      </c>
      <c r="L244" s="10">
        <f t="shared" si="40"/>
        <v>39474.938181818186</v>
      </c>
      <c r="M244" s="301">
        <f t="shared" si="41"/>
        <v>-29606.20363636364</v>
      </c>
      <c r="N244" s="10">
        <v>200</v>
      </c>
      <c r="O244" s="10">
        <f t="shared" si="48"/>
        <v>1029</v>
      </c>
      <c r="P244" s="442">
        <v>1229</v>
      </c>
      <c r="Q244" s="10">
        <f t="shared" si="43"/>
        <v>2503.1327272727272</v>
      </c>
      <c r="R244" s="14">
        <f t="shared" si="44"/>
        <v>0</v>
      </c>
      <c r="S244" s="2">
        <f t="shared" si="45"/>
        <v>0</v>
      </c>
      <c r="T244" s="130">
        <f t="shared" si="46"/>
        <v>-29606.20363636364</v>
      </c>
      <c r="U244" s="437">
        <f t="shared" si="47"/>
        <v>-11.827660320921494</v>
      </c>
      <c r="V244" s="126"/>
      <c r="W244" s="526"/>
      <c r="X244" s="526"/>
      <c r="Y244" s="526"/>
      <c r="Z244" s="526"/>
      <c r="AA244" s="526"/>
      <c r="AB244" s="526"/>
      <c r="AC244" s="423"/>
      <c r="AD244" s="423"/>
      <c r="AE244" s="423"/>
      <c r="AF244" s="423"/>
      <c r="AG244" s="423"/>
    </row>
    <row r="245" spans="1:33" x14ac:dyDescent="0.25">
      <c r="A245" s="49">
        <f>+'A) Base RI'!A247</f>
        <v>5813</v>
      </c>
      <c r="B245" s="484" t="str">
        <f>+'A) Base RI'!B247</f>
        <v>Chevroux</v>
      </c>
      <c r="C245" s="304">
        <f>+'D) Ecrêtage'!C245</f>
        <v>15179.777080291971</v>
      </c>
      <c r="D245" s="440">
        <v>107075</v>
      </c>
      <c r="E245" s="440">
        <f t="shared" si="36"/>
        <v>387465</v>
      </c>
      <c r="F245" s="518">
        <f t="shared" si="37"/>
        <v>25.525078395456081</v>
      </c>
      <c r="G245" s="440">
        <v>494540</v>
      </c>
      <c r="H245" s="440">
        <v>27852</v>
      </c>
      <c r="I245" s="438">
        <v>35273</v>
      </c>
      <c r="J245" s="304">
        <f t="shared" si="38"/>
        <v>557665</v>
      </c>
      <c r="K245" s="284">
        <f t="shared" si="39"/>
        <v>121438.21664233577</v>
      </c>
      <c r="L245" s="10">
        <f t="shared" si="40"/>
        <v>436226.78335766424</v>
      </c>
      <c r="M245" s="301">
        <f t="shared" si="41"/>
        <v>-327170.08751824818</v>
      </c>
      <c r="N245" s="10">
        <v>0</v>
      </c>
      <c r="O245" s="10">
        <f t="shared" si="48"/>
        <v>4835</v>
      </c>
      <c r="P245" s="442">
        <v>4835</v>
      </c>
      <c r="Q245" s="10">
        <f t="shared" si="43"/>
        <v>15179.777080291971</v>
      </c>
      <c r="R245" s="14">
        <f t="shared" si="44"/>
        <v>0</v>
      </c>
      <c r="S245" s="2">
        <f t="shared" si="45"/>
        <v>0</v>
      </c>
      <c r="T245" s="130">
        <f t="shared" si="46"/>
        <v>-327170.08751824818</v>
      </c>
      <c r="U245" s="437">
        <f t="shared" si="47"/>
        <v>-21.553023195776426</v>
      </c>
      <c r="V245" s="126"/>
      <c r="W245" s="526"/>
      <c r="X245" s="526"/>
      <c r="Y245" s="526"/>
      <c r="Z245" s="526"/>
      <c r="AA245" s="526"/>
      <c r="AB245" s="526"/>
      <c r="AC245" s="423"/>
      <c r="AD245" s="423"/>
      <c r="AE245" s="423"/>
      <c r="AF245" s="423"/>
      <c r="AG245" s="423"/>
    </row>
    <row r="246" spans="1:33" x14ac:dyDescent="0.25">
      <c r="A246" s="49">
        <f>+'A) Base RI'!A248</f>
        <v>5816</v>
      </c>
      <c r="B246" s="484" t="str">
        <f>+'A) Base RI'!B248</f>
        <v>Corcelles-près-Payerne</v>
      </c>
      <c r="C246" s="304">
        <f>+'D) Ecrêtage'!C246</f>
        <v>60528.996913451512</v>
      </c>
      <c r="D246" s="440">
        <v>182824</v>
      </c>
      <c r="E246" s="440">
        <f t="shared" si="36"/>
        <v>327388</v>
      </c>
      <c r="F246" s="518">
        <f t="shared" si="37"/>
        <v>5.4087795386419781</v>
      </c>
      <c r="G246" s="440">
        <v>510212</v>
      </c>
      <c r="H246" s="440">
        <v>242576</v>
      </c>
      <c r="I246" s="438">
        <v>181457</v>
      </c>
      <c r="J246" s="304">
        <f t="shared" si="38"/>
        <v>934245</v>
      </c>
      <c r="K246" s="284">
        <f t="shared" si="39"/>
        <v>484231.9753076121</v>
      </c>
      <c r="L246" s="10">
        <f t="shared" si="40"/>
        <v>450013.0246923879</v>
      </c>
      <c r="M246" s="301">
        <f t="shared" si="41"/>
        <v>-337509.76851929096</v>
      </c>
      <c r="N246" s="10">
        <v>0</v>
      </c>
      <c r="O246" s="10">
        <f t="shared" si="48"/>
        <v>20422</v>
      </c>
      <c r="P246" s="442">
        <v>20422</v>
      </c>
      <c r="Q246" s="10">
        <f t="shared" si="43"/>
        <v>60528.996913451512</v>
      </c>
      <c r="R246" s="14">
        <f t="shared" si="44"/>
        <v>0</v>
      </c>
      <c r="S246" s="2">
        <f t="shared" si="45"/>
        <v>0</v>
      </c>
      <c r="T246" s="130">
        <f t="shared" si="46"/>
        <v>-337509.76851929096</v>
      </c>
      <c r="U246" s="437">
        <f t="shared" si="47"/>
        <v>-5.5760013502600323</v>
      </c>
      <c r="V246" s="126"/>
      <c r="W246" s="526"/>
      <c r="X246" s="526"/>
      <c r="Y246" s="526"/>
      <c r="Z246" s="526"/>
      <c r="AA246" s="526"/>
      <c r="AB246" s="526"/>
      <c r="AC246" s="423"/>
      <c r="AD246" s="423"/>
      <c r="AE246" s="423"/>
      <c r="AF246" s="423"/>
      <c r="AG246" s="423"/>
    </row>
    <row r="247" spans="1:33" x14ac:dyDescent="0.25">
      <c r="A247" s="49">
        <f>+'A) Base RI'!A249</f>
        <v>5817</v>
      </c>
      <c r="B247" s="484" t="str">
        <f>+'A) Base RI'!B249</f>
        <v>Grandcour</v>
      </c>
      <c r="C247" s="304">
        <f>+'D) Ecrêtage'!C247</f>
        <v>21854.748299319726</v>
      </c>
      <c r="D247" s="440">
        <v>93892</v>
      </c>
      <c r="E247" s="440">
        <f t="shared" si="36"/>
        <v>121406</v>
      </c>
      <c r="F247" s="518">
        <f t="shared" si="37"/>
        <v>5.5551314678732311</v>
      </c>
      <c r="G247" s="440">
        <v>215298</v>
      </c>
      <c r="H247" s="440">
        <v>35967</v>
      </c>
      <c r="I247" s="438">
        <v>73839</v>
      </c>
      <c r="J247" s="304">
        <f t="shared" si="38"/>
        <v>325104</v>
      </c>
      <c r="K247" s="284">
        <f t="shared" si="39"/>
        <v>174837.98639455781</v>
      </c>
      <c r="L247" s="10">
        <f t="shared" si="40"/>
        <v>150266.01360544219</v>
      </c>
      <c r="M247" s="301">
        <f t="shared" si="41"/>
        <v>-112699.51020408164</v>
      </c>
      <c r="N247" s="10">
        <v>0</v>
      </c>
      <c r="O247" s="10">
        <f t="shared" si="48"/>
        <v>68517</v>
      </c>
      <c r="P247" s="442">
        <v>68517</v>
      </c>
      <c r="Q247" s="10">
        <f t="shared" si="43"/>
        <v>21854.748299319726</v>
      </c>
      <c r="R247" s="14">
        <f t="shared" si="44"/>
        <v>46662.251700680274</v>
      </c>
      <c r="S247" s="2">
        <f t="shared" si="45"/>
        <v>-34996.688775510207</v>
      </c>
      <c r="T247" s="130">
        <f t="shared" si="46"/>
        <v>-147696.19897959183</v>
      </c>
      <c r="U247" s="437">
        <f t="shared" si="47"/>
        <v>-6.7580828182857262</v>
      </c>
      <c r="V247" s="126"/>
      <c r="W247" s="526"/>
      <c r="X247" s="526"/>
      <c r="Y247" s="526"/>
      <c r="Z247" s="526"/>
      <c r="AA247" s="526"/>
      <c r="AB247" s="526"/>
      <c r="AC247" s="423"/>
      <c r="AD247" s="423"/>
      <c r="AE247" s="423"/>
      <c r="AF247" s="423"/>
      <c r="AG247" s="423"/>
    </row>
    <row r="248" spans="1:33" x14ac:dyDescent="0.25">
      <c r="A248" s="49">
        <f>+'A) Base RI'!A250</f>
        <v>5819</v>
      </c>
      <c r="B248" s="484" t="str">
        <f>+'A) Base RI'!B250</f>
        <v>Henniez</v>
      </c>
      <c r="C248" s="304">
        <f>+'D) Ecrêtage'!C248</f>
        <v>11468.217826086959</v>
      </c>
      <c r="D248" s="440">
        <v>51072</v>
      </c>
      <c r="E248" s="440">
        <f t="shared" si="36"/>
        <v>84272</v>
      </c>
      <c r="F248" s="518">
        <f t="shared" si="37"/>
        <v>7.348308279278144</v>
      </c>
      <c r="G248" s="440">
        <v>135344</v>
      </c>
      <c r="H248" s="440">
        <v>28506</v>
      </c>
      <c r="I248" s="438">
        <v>62911</v>
      </c>
      <c r="J248" s="304">
        <f t="shared" si="38"/>
        <v>226761</v>
      </c>
      <c r="K248" s="284">
        <f t="shared" si="39"/>
        <v>91745.742608695669</v>
      </c>
      <c r="L248" s="10">
        <f t="shared" si="40"/>
        <v>135015.25739130433</v>
      </c>
      <c r="M248" s="301">
        <f t="shared" si="41"/>
        <v>-101261.44304347824</v>
      </c>
      <c r="N248" s="10">
        <v>0</v>
      </c>
      <c r="O248" s="10">
        <f t="shared" si="48"/>
        <v>0</v>
      </c>
      <c r="P248" s="442">
        <v>0</v>
      </c>
      <c r="Q248" s="10">
        <f t="shared" si="43"/>
        <v>11468.217826086959</v>
      </c>
      <c r="R248" s="14">
        <f t="shared" si="44"/>
        <v>0</v>
      </c>
      <c r="S248" s="2">
        <f t="shared" si="45"/>
        <v>0</v>
      </c>
      <c r="T248" s="130">
        <f t="shared" si="46"/>
        <v>-101261.44304347824</v>
      </c>
      <c r="U248" s="437">
        <f t="shared" si="47"/>
        <v>-8.8297453518136919</v>
      </c>
      <c r="V248" s="126"/>
      <c r="W248" s="526"/>
      <c r="X248" s="526"/>
      <c r="Y248" s="526"/>
      <c r="Z248" s="526"/>
      <c r="AA248" s="526"/>
      <c r="AB248" s="526"/>
      <c r="AC248" s="423"/>
      <c r="AD248" s="423"/>
      <c r="AE248" s="423"/>
      <c r="AF248" s="423"/>
      <c r="AG248" s="423"/>
    </row>
    <row r="249" spans="1:33" x14ac:dyDescent="0.25">
      <c r="A249" s="49">
        <f>+'A) Base RI'!A251</f>
        <v>5821</v>
      </c>
      <c r="B249" s="484" t="str">
        <f>+'A) Base RI'!B251</f>
        <v>Missy</v>
      </c>
      <c r="C249" s="304">
        <f>+'D) Ecrêtage'!C249</f>
        <v>7872.7337500000012</v>
      </c>
      <c r="D249" s="440">
        <v>28004</v>
      </c>
      <c r="E249" s="440">
        <f t="shared" si="36"/>
        <v>20569</v>
      </c>
      <c r="F249" s="518">
        <f t="shared" si="37"/>
        <v>2.6126883815929882</v>
      </c>
      <c r="G249" s="440">
        <v>48573</v>
      </c>
      <c r="H249" s="440">
        <v>13662</v>
      </c>
      <c r="I249" s="438">
        <v>26553</v>
      </c>
      <c r="J249" s="304">
        <f t="shared" si="38"/>
        <v>88788</v>
      </c>
      <c r="K249" s="284">
        <f t="shared" si="39"/>
        <v>62981.87000000001</v>
      </c>
      <c r="L249" s="10">
        <f t="shared" si="40"/>
        <v>25806.12999999999</v>
      </c>
      <c r="M249" s="301">
        <f t="shared" si="41"/>
        <v>-19354.597499999993</v>
      </c>
      <c r="N249" s="10">
        <v>0</v>
      </c>
      <c r="O249" s="10">
        <f t="shared" si="48"/>
        <v>0</v>
      </c>
      <c r="P249" s="442">
        <v>0</v>
      </c>
      <c r="Q249" s="10">
        <f t="shared" si="43"/>
        <v>7872.7337500000012</v>
      </c>
      <c r="R249" s="14">
        <f t="shared" si="44"/>
        <v>0</v>
      </c>
      <c r="S249" s="2">
        <f t="shared" si="45"/>
        <v>0</v>
      </c>
      <c r="T249" s="130">
        <f t="shared" si="46"/>
        <v>-19354.597499999993</v>
      </c>
      <c r="U249" s="437">
        <f t="shared" si="47"/>
        <v>-2.4584341493829878</v>
      </c>
      <c r="V249" s="126"/>
      <c r="W249" s="526"/>
      <c r="X249" s="526"/>
      <c r="Y249" s="526"/>
      <c r="Z249" s="526"/>
      <c r="AA249" s="526"/>
      <c r="AB249" s="526"/>
      <c r="AC249" s="423"/>
      <c r="AD249" s="423"/>
      <c r="AE249" s="423"/>
      <c r="AF249" s="423"/>
      <c r="AG249" s="423"/>
    </row>
    <row r="250" spans="1:33" x14ac:dyDescent="0.25">
      <c r="A250" s="49">
        <f>+'A) Base RI'!A252</f>
        <v>5822</v>
      </c>
      <c r="B250" s="484" t="str">
        <f>+'A) Base RI'!B252</f>
        <v>Payerne</v>
      </c>
      <c r="C250" s="304">
        <f>+'D) Ecrêtage'!C250</f>
        <v>237851.57178082189</v>
      </c>
      <c r="D250" s="440">
        <v>464103</v>
      </c>
      <c r="E250" s="440">
        <f t="shared" si="36"/>
        <v>1670655</v>
      </c>
      <c r="F250" s="518">
        <f t="shared" si="37"/>
        <v>7.0239392890768606</v>
      </c>
      <c r="G250" s="440">
        <v>2134758</v>
      </c>
      <c r="H250" s="440">
        <v>1294334</v>
      </c>
      <c r="I250" s="438">
        <v>744993</v>
      </c>
      <c r="J250" s="304">
        <f t="shared" si="38"/>
        <v>4174085</v>
      </c>
      <c r="K250" s="284">
        <f t="shared" si="39"/>
        <v>1902812.5742465751</v>
      </c>
      <c r="L250" s="10">
        <f t="shared" si="40"/>
        <v>2271272.4257534249</v>
      </c>
      <c r="M250" s="301">
        <f t="shared" si="41"/>
        <v>-1703454.3193150687</v>
      </c>
      <c r="N250" s="10">
        <v>0</v>
      </c>
      <c r="O250" s="10">
        <f t="shared" si="48"/>
        <v>147507</v>
      </c>
      <c r="P250" s="442">
        <v>147507</v>
      </c>
      <c r="Q250" s="10">
        <f t="shared" si="43"/>
        <v>237851.57178082189</v>
      </c>
      <c r="R250" s="14">
        <f t="shared" si="44"/>
        <v>0</v>
      </c>
      <c r="S250" s="2">
        <f t="shared" si="45"/>
        <v>0</v>
      </c>
      <c r="T250" s="130">
        <f t="shared" si="46"/>
        <v>-1703454.3193150687</v>
      </c>
      <c r="U250" s="437">
        <f t="shared" si="47"/>
        <v>-7.1618375550815641</v>
      </c>
      <c r="V250" s="126"/>
      <c r="W250" s="526"/>
      <c r="X250" s="526"/>
      <c r="Y250" s="526"/>
      <c r="Z250" s="526"/>
      <c r="AA250" s="526"/>
      <c r="AB250" s="526"/>
      <c r="AC250" s="423"/>
      <c r="AD250" s="423"/>
      <c r="AE250" s="423"/>
      <c r="AF250" s="423"/>
      <c r="AG250" s="423"/>
    </row>
    <row r="251" spans="1:33" x14ac:dyDescent="0.25">
      <c r="A251" s="49">
        <f>+'A) Base RI'!A253</f>
        <v>5827</v>
      </c>
      <c r="B251" s="484" t="str">
        <f>+'A) Base RI'!B253</f>
        <v>Trey</v>
      </c>
      <c r="C251" s="304">
        <f>+'D) Ecrêtage'!C251</f>
        <v>6163.6291025641031</v>
      </c>
      <c r="D251" s="440">
        <v>52616</v>
      </c>
      <c r="E251" s="440">
        <f t="shared" si="36"/>
        <v>29971</v>
      </c>
      <c r="F251" s="518">
        <f t="shared" si="37"/>
        <v>4.8625573507549147</v>
      </c>
      <c r="G251" s="440">
        <v>82587</v>
      </c>
      <c r="H251" s="440">
        <v>10756</v>
      </c>
      <c r="I251" s="438">
        <v>28749</v>
      </c>
      <c r="J251" s="304">
        <f t="shared" si="38"/>
        <v>122092</v>
      </c>
      <c r="K251" s="284">
        <f t="shared" si="39"/>
        <v>49309.032820512824</v>
      </c>
      <c r="L251" s="10">
        <f t="shared" si="40"/>
        <v>72782.967179487168</v>
      </c>
      <c r="M251" s="301">
        <f t="shared" si="41"/>
        <v>-54587.225384615376</v>
      </c>
      <c r="N251" s="10">
        <v>0</v>
      </c>
      <c r="O251" s="10">
        <f t="shared" si="48"/>
        <v>-16462</v>
      </c>
      <c r="P251" s="442">
        <v>-16462</v>
      </c>
      <c r="Q251" s="10">
        <f t="shared" si="43"/>
        <v>6163.6291025641031</v>
      </c>
      <c r="R251" s="14">
        <f t="shared" si="44"/>
        <v>0</v>
      </c>
      <c r="S251" s="2">
        <f t="shared" si="45"/>
        <v>0</v>
      </c>
      <c r="T251" s="130">
        <f t="shared" si="46"/>
        <v>-54587.225384615376</v>
      </c>
      <c r="U251" s="437">
        <f t="shared" si="47"/>
        <v>-8.8563449351465344</v>
      </c>
      <c r="V251" s="126"/>
      <c r="W251" s="526"/>
      <c r="X251" s="526"/>
      <c r="Y251" s="526"/>
      <c r="Z251" s="526"/>
      <c r="AA251" s="526"/>
      <c r="AB251" s="526"/>
      <c r="AC251" s="423"/>
      <c r="AD251" s="423"/>
      <c r="AE251" s="423"/>
      <c r="AF251" s="423"/>
      <c r="AG251" s="423"/>
    </row>
    <row r="252" spans="1:33" x14ac:dyDescent="0.25">
      <c r="A252" s="49">
        <f>+'A) Base RI'!A254</f>
        <v>5828</v>
      </c>
      <c r="B252" s="484" t="str">
        <f>+'A) Base RI'!B254</f>
        <v>Treytorrens (Payerne)</v>
      </c>
      <c r="C252" s="304">
        <f>+'D) Ecrêtage'!C252</f>
        <v>2288.4160317460314</v>
      </c>
      <c r="D252" s="440">
        <v>20448</v>
      </c>
      <c r="E252" s="440">
        <f t="shared" si="36"/>
        <v>10273</v>
      </c>
      <c r="F252" s="518">
        <f t="shared" si="37"/>
        <v>4.489131284472708</v>
      </c>
      <c r="G252" s="440">
        <v>30721</v>
      </c>
      <c r="H252" s="440">
        <v>4189</v>
      </c>
      <c r="I252" s="438">
        <v>16429</v>
      </c>
      <c r="J252" s="304">
        <f t="shared" si="38"/>
        <v>51339</v>
      </c>
      <c r="K252" s="284">
        <f t="shared" si="39"/>
        <v>18307.328253968251</v>
      </c>
      <c r="L252" s="10">
        <f t="shared" si="40"/>
        <v>33031.671746031745</v>
      </c>
      <c r="M252" s="301">
        <f t="shared" si="41"/>
        <v>-24773.753809523809</v>
      </c>
      <c r="N252" s="10">
        <v>0</v>
      </c>
      <c r="O252" s="10">
        <f t="shared" si="48"/>
        <v>3834</v>
      </c>
      <c r="P252" s="442">
        <v>3834</v>
      </c>
      <c r="Q252" s="10">
        <f t="shared" si="43"/>
        <v>2288.4160317460314</v>
      </c>
      <c r="R252" s="14">
        <f t="shared" si="44"/>
        <v>1545.5839682539686</v>
      </c>
      <c r="S252" s="2">
        <f t="shared" si="45"/>
        <v>-1159.1879761904765</v>
      </c>
      <c r="T252" s="130">
        <f t="shared" si="46"/>
        <v>-25932.941785714283</v>
      </c>
      <c r="U252" s="437">
        <f t="shared" si="47"/>
        <v>-11.332267134104889</v>
      </c>
      <c r="V252" s="126"/>
      <c r="W252" s="526"/>
      <c r="X252" s="526"/>
      <c r="Y252" s="526"/>
      <c r="Z252" s="526"/>
      <c r="AA252" s="526"/>
      <c r="AB252" s="526"/>
      <c r="AC252" s="423"/>
      <c r="AD252" s="423"/>
      <c r="AE252" s="423"/>
      <c r="AF252" s="423"/>
      <c r="AG252" s="423"/>
    </row>
    <row r="253" spans="1:33" x14ac:dyDescent="0.25">
      <c r="A253" s="49">
        <f>+'A) Base RI'!A255</f>
        <v>5830</v>
      </c>
      <c r="B253" s="484" t="str">
        <f>+'A) Base RI'!B255</f>
        <v>Villarzel</v>
      </c>
      <c r="C253" s="304">
        <f>+'D) Ecrêtage'!C253</f>
        <v>12470.916233766235</v>
      </c>
      <c r="D253" s="440">
        <v>70497</v>
      </c>
      <c r="E253" s="440">
        <f t="shared" si="36"/>
        <v>53289</v>
      </c>
      <c r="F253" s="518">
        <f t="shared" si="37"/>
        <v>4.2730621392287746</v>
      </c>
      <c r="G253" s="440">
        <v>123786</v>
      </c>
      <c r="H253" s="440">
        <v>25531</v>
      </c>
      <c r="I253" s="438">
        <v>74205</v>
      </c>
      <c r="J253" s="304">
        <f t="shared" si="38"/>
        <v>223522</v>
      </c>
      <c r="K253" s="284">
        <f t="shared" si="39"/>
        <v>99767.329870129877</v>
      </c>
      <c r="L253" s="10">
        <f t="shared" si="40"/>
        <v>123754.67012987012</v>
      </c>
      <c r="M253" s="301">
        <f t="shared" si="41"/>
        <v>-92816.002597402592</v>
      </c>
      <c r="N253" s="10">
        <v>0</v>
      </c>
      <c r="O253" s="10">
        <f t="shared" si="48"/>
        <v>8747</v>
      </c>
      <c r="P253" s="442">
        <v>8747</v>
      </c>
      <c r="Q253" s="10">
        <f t="shared" si="43"/>
        <v>12470.916233766235</v>
      </c>
      <c r="R253" s="14">
        <f t="shared" si="44"/>
        <v>0</v>
      </c>
      <c r="S253" s="2">
        <f t="shared" si="45"/>
        <v>0</v>
      </c>
      <c r="T253" s="130">
        <f t="shared" si="46"/>
        <v>-92816.002597402592</v>
      </c>
      <c r="U253" s="437">
        <f t="shared" si="47"/>
        <v>-7.442596907683023</v>
      </c>
      <c r="V253" s="126"/>
      <c r="W253" s="526"/>
      <c r="X253" s="526"/>
      <c r="Y253" s="526"/>
      <c r="Z253" s="526"/>
      <c r="AA253" s="526"/>
      <c r="AB253" s="526"/>
      <c r="AC253" s="423"/>
      <c r="AD253" s="423"/>
      <c r="AE253" s="423"/>
      <c r="AF253" s="423"/>
      <c r="AG253" s="423"/>
    </row>
    <row r="254" spans="1:33" x14ac:dyDescent="0.25">
      <c r="A254" s="49">
        <f>+'A) Base RI'!A256</f>
        <v>5831</v>
      </c>
      <c r="B254" s="484" t="str">
        <f>+'A) Base RI'!B256</f>
        <v>Valbroye</v>
      </c>
      <c r="C254" s="304">
        <f>+'D) Ecrêtage'!C254</f>
        <v>83756.732765957451</v>
      </c>
      <c r="D254" s="440">
        <v>497252</v>
      </c>
      <c r="E254" s="440">
        <f t="shared" si="36"/>
        <v>415977</v>
      </c>
      <c r="F254" s="518">
        <f t="shared" si="37"/>
        <v>4.9664902899492276</v>
      </c>
      <c r="G254" s="440">
        <v>913229</v>
      </c>
      <c r="H254" s="440">
        <v>310981</v>
      </c>
      <c r="I254" s="438">
        <v>495851</v>
      </c>
      <c r="J254" s="304">
        <f t="shared" si="38"/>
        <v>1720061</v>
      </c>
      <c r="K254" s="284">
        <f t="shared" si="39"/>
        <v>670053.86212765961</v>
      </c>
      <c r="L254" s="10">
        <f t="shared" si="40"/>
        <v>1050007.1378723404</v>
      </c>
      <c r="M254" s="301">
        <f t="shared" si="41"/>
        <v>-787505.35340425535</v>
      </c>
      <c r="N254" s="10">
        <v>200</v>
      </c>
      <c r="O254" s="10">
        <f t="shared" si="48"/>
        <v>34395</v>
      </c>
      <c r="P254" s="442">
        <v>34595</v>
      </c>
      <c r="Q254" s="10">
        <f t="shared" si="43"/>
        <v>83756.732765957451</v>
      </c>
      <c r="R254" s="14">
        <f t="shared" si="44"/>
        <v>0</v>
      </c>
      <c r="S254" s="2">
        <f t="shared" si="45"/>
        <v>0</v>
      </c>
      <c r="T254" s="130">
        <f t="shared" si="46"/>
        <v>-787505.35340425535</v>
      </c>
      <c r="U254" s="437">
        <f t="shared" si="47"/>
        <v>-9.4022931339118969</v>
      </c>
      <c r="V254" s="126"/>
      <c r="W254" s="526"/>
      <c r="X254" s="526"/>
      <c r="Y254" s="526"/>
      <c r="Z254" s="526"/>
      <c r="AA254" s="526"/>
      <c r="AB254" s="526"/>
      <c r="AC254" s="423"/>
      <c r="AD254" s="423"/>
      <c r="AE254" s="423"/>
      <c r="AF254" s="423"/>
      <c r="AG254" s="423"/>
    </row>
    <row r="255" spans="1:33" x14ac:dyDescent="0.25">
      <c r="A255" s="49">
        <f>+'A) Base RI'!A257</f>
        <v>5841</v>
      </c>
      <c r="B255" s="484" t="str">
        <f>+'A) Base RI'!B257</f>
        <v>Château-d'Oex</v>
      </c>
      <c r="C255" s="304">
        <f>+'D) Ecrêtage'!C255</f>
        <v>108658.39067484663</v>
      </c>
      <c r="D255" s="440">
        <v>466081</v>
      </c>
      <c r="E255" s="440">
        <f t="shared" si="36"/>
        <v>2469377</v>
      </c>
      <c r="F255" s="518">
        <f t="shared" si="37"/>
        <v>22.726059024649601</v>
      </c>
      <c r="G255" s="440">
        <v>2935458</v>
      </c>
      <c r="H255" s="440">
        <v>298269</v>
      </c>
      <c r="I255" s="438">
        <v>392058</v>
      </c>
      <c r="J255" s="304">
        <f t="shared" si="38"/>
        <v>3625785</v>
      </c>
      <c r="K255" s="284">
        <f t="shared" si="39"/>
        <v>869267.125398773</v>
      </c>
      <c r="L255" s="10">
        <f t="shared" si="40"/>
        <v>2756517.8746012272</v>
      </c>
      <c r="M255" s="301">
        <f t="shared" si="41"/>
        <v>-2067388.4059509204</v>
      </c>
      <c r="N255" s="10">
        <v>50373</v>
      </c>
      <c r="O255" s="10">
        <f t="shared" si="48"/>
        <v>30007</v>
      </c>
      <c r="P255" s="442">
        <v>80380</v>
      </c>
      <c r="Q255" s="10">
        <f t="shared" si="43"/>
        <v>108658.39067484663</v>
      </c>
      <c r="R255" s="14">
        <f t="shared" si="44"/>
        <v>0</v>
      </c>
      <c r="S255" s="2">
        <f t="shared" si="45"/>
        <v>0</v>
      </c>
      <c r="T255" s="130">
        <f t="shared" si="46"/>
        <v>-2067388.4059509204</v>
      </c>
      <c r="U255" s="437">
        <f t="shared" si="47"/>
        <v>-19.02649572767417</v>
      </c>
      <c r="V255" s="126"/>
      <c r="W255" s="526"/>
      <c r="X255" s="526"/>
      <c r="Y255" s="526"/>
      <c r="Z255" s="526"/>
      <c r="AA255" s="526"/>
      <c r="AB255" s="526"/>
      <c r="AC255" s="423"/>
      <c r="AD255" s="423"/>
      <c r="AE255" s="423"/>
      <c r="AF255" s="423"/>
      <c r="AG255" s="423"/>
    </row>
    <row r="256" spans="1:33" x14ac:dyDescent="0.25">
      <c r="A256" s="49">
        <f>+'A) Base RI'!A258</f>
        <v>5842</v>
      </c>
      <c r="B256" s="484" t="str">
        <f>+'A) Base RI'!B258</f>
        <v>Rossinière</v>
      </c>
      <c r="C256" s="304">
        <f>+'D) Ecrêtage'!C256</f>
        <v>14509.951028806583</v>
      </c>
      <c r="D256" s="440">
        <v>17801</v>
      </c>
      <c r="E256" s="440">
        <f t="shared" si="36"/>
        <v>448902</v>
      </c>
      <c r="F256" s="518">
        <f t="shared" si="37"/>
        <v>30.937526881296538</v>
      </c>
      <c r="G256" s="440">
        <v>466703</v>
      </c>
      <c r="H256" s="440">
        <v>47131</v>
      </c>
      <c r="I256" s="438">
        <v>110000</v>
      </c>
      <c r="J256" s="304">
        <f t="shared" si="38"/>
        <v>623834</v>
      </c>
      <c r="K256" s="284">
        <f t="shared" si="39"/>
        <v>116079.60823045266</v>
      </c>
      <c r="L256" s="10">
        <f t="shared" si="40"/>
        <v>507754.39176954736</v>
      </c>
      <c r="M256" s="301">
        <f t="shared" si="41"/>
        <v>-380815.79382716049</v>
      </c>
      <c r="N256" s="10">
        <v>0</v>
      </c>
      <c r="O256" s="10">
        <f t="shared" si="48"/>
        <v>212</v>
      </c>
      <c r="P256" s="442">
        <v>212</v>
      </c>
      <c r="Q256" s="10">
        <f t="shared" si="43"/>
        <v>14509.951028806583</v>
      </c>
      <c r="R256" s="14">
        <f t="shared" si="44"/>
        <v>0</v>
      </c>
      <c r="S256" s="2">
        <f t="shared" si="45"/>
        <v>0</v>
      </c>
      <c r="T256" s="130">
        <f t="shared" si="46"/>
        <v>-380815.79382716049</v>
      </c>
      <c r="U256" s="437">
        <f t="shared" si="47"/>
        <v>-26.245146732137655</v>
      </c>
      <c r="V256" s="126"/>
      <c r="W256" s="526"/>
      <c r="X256" s="526"/>
      <c r="Y256" s="526"/>
      <c r="Z256" s="526"/>
      <c r="AA256" s="526"/>
      <c r="AB256" s="526"/>
      <c r="AC256" s="423"/>
      <c r="AD256" s="423"/>
      <c r="AE256" s="423"/>
      <c r="AF256" s="423"/>
      <c r="AG256" s="423"/>
    </row>
    <row r="257" spans="1:33" x14ac:dyDescent="0.25">
      <c r="A257" s="49">
        <f>+'A) Base RI'!A259</f>
        <v>5843</v>
      </c>
      <c r="B257" s="484" t="str">
        <f>+'A) Base RI'!B259</f>
        <v>Rougemont</v>
      </c>
      <c r="C257" s="304">
        <f>+'D) Ecrêtage'!C257</f>
        <v>100468.99797297297</v>
      </c>
      <c r="D257" s="440">
        <v>70778</v>
      </c>
      <c r="E257" s="440">
        <f t="shared" si="36"/>
        <v>653387</v>
      </c>
      <c r="F257" s="518">
        <f t="shared" si="37"/>
        <v>6.5033693296689075</v>
      </c>
      <c r="G257" s="440">
        <v>724165</v>
      </c>
      <c r="H257" s="440">
        <v>92241</v>
      </c>
      <c r="I257" s="438">
        <v>81710</v>
      </c>
      <c r="J257" s="304">
        <f t="shared" si="38"/>
        <v>898116</v>
      </c>
      <c r="K257" s="284">
        <f t="shared" si="39"/>
        <v>803751.98378378374</v>
      </c>
      <c r="L257" s="10">
        <f t="shared" si="40"/>
        <v>94364.01621621626</v>
      </c>
      <c r="M257" s="301">
        <f t="shared" si="41"/>
        <v>-70773.012162162195</v>
      </c>
      <c r="N257" s="10">
        <v>0</v>
      </c>
      <c r="O257" s="10">
        <f t="shared" si="48"/>
        <v>14952</v>
      </c>
      <c r="P257" s="442">
        <v>14952</v>
      </c>
      <c r="Q257" s="10">
        <f t="shared" si="43"/>
        <v>100468.99797297297</v>
      </c>
      <c r="R257" s="14">
        <f t="shared" si="44"/>
        <v>0</v>
      </c>
      <c r="S257" s="2">
        <f t="shared" si="45"/>
        <v>0</v>
      </c>
      <c r="T257" s="130">
        <f t="shared" si="46"/>
        <v>-70773.012162162195</v>
      </c>
      <c r="U257" s="437">
        <f t="shared" si="47"/>
        <v>-0.70442637619617499</v>
      </c>
      <c r="V257" s="126"/>
      <c r="W257" s="526"/>
      <c r="X257" s="526"/>
      <c r="Y257" s="526"/>
      <c r="Z257" s="526"/>
      <c r="AA257" s="526"/>
      <c r="AB257" s="526"/>
      <c r="AC257" s="423"/>
      <c r="AD257" s="423"/>
      <c r="AE257" s="423"/>
      <c r="AF257" s="423"/>
      <c r="AG257" s="423"/>
    </row>
    <row r="258" spans="1:33" x14ac:dyDescent="0.25">
      <c r="A258" s="49">
        <f>+'A) Base RI'!A260</f>
        <v>5851</v>
      </c>
      <c r="B258" s="484" t="str">
        <f>+'A) Base RI'!B260</f>
        <v>Allaman</v>
      </c>
      <c r="C258" s="304">
        <f>+'D) Ecrêtage'!C258</f>
        <v>24314.213954545452</v>
      </c>
      <c r="D258" s="440">
        <v>0</v>
      </c>
      <c r="E258" s="440">
        <f t="shared" si="36"/>
        <v>109057</v>
      </c>
      <c r="F258" s="518">
        <f t="shared" si="37"/>
        <v>4.485318760617889</v>
      </c>
      <c r="G258" s="440">
        <v>109057</v>
      </c>
      <c r="H258" s="440">
        <v>33136</v>
      </c>
      <c r="I258" s="438">
        <v>39232</v>
      </c>
      <c r="J258" s="304">
        <f t="shared" si="38"/>
        <v>181425</v>
      </c>
      <c r="K258" s="284">
        <f t="shared" si="39"/>
        <v>194513.71163636362</v>
      </c>
      <c r="L258" s="10">
        <f t="shared" si="40"/>
        <v>0</v>
      </c>
      <c r="M258" s="301">
        <f t="shared" si="41"/>
        <v>0</v>
      </c>
      <c r="N258" s="10">
        <v>0</v>
      </c>
      <c r="O258" s="10">
        <f t="shared" si="48"/>
        <v>396</v>
      </c>
      <c r="P258" s="442">
        <v>396</v>
      </c>
      <c r="Q258" s="10">
        <f t="shared" si="43"/>
        <v>24314.213954545452</v>
      </c>
      <c r="R258" s="14">
        <f t="shared" si="44"/>
        <v>0</v>
      </c>
      <c r="S258" s="2">
        <f t="shared" si="45"/>
        <v>0</v>
      </c>
      <c r="T258" s="130">
        <f t="shared" si="46"/>
        <v>0</v>
      </c>
      <c r="U258" s="437">
        <f t="shared" si="47"/>
        <v>0</v>
      </c>
      <c r="V258" s="126"/>
      <c r="W258" s="526"/>
      <c r="X258" s="526"/>
      <c r="Y258" s="526"/>
      <c r="Z258" s="526"/>
      <c r="AA258" s="526"/>
      <c r="AB258" s="526"/>
      <c r="AC258" s="423"/>
      <c r="AD258" s="423"/>
      <c r="AE258" s="423"/>
      <c r="AF258" s="423"/>
      <c r="AG258" s="423"/>
    </row>
    <row r="259" spans="1:33" x14ac:dyDescent="0.25">
      <c r="A259" s="49">
        <f>+'A) Base RI'!A261</f>
        <v>5852</v>
      </c>
      <c r="B259" s="484" t="str">
        <f>+'A) Base RI'!B261</f>
        <v>Bursinel</v>
      </c>
      <c r="C259" s="304">
        <f>+'D) Ecrêtage'!C259</f>
        <v>40706.215623409669</v>
      </c>
      <c r="D259" s="440">
        <v>6969</v>
      </c>
      <c r="E259" s="440">
        <f t="shared" si="36"/>
        <v>163228</v>
      </c>
      <c r="F259" s="518">
        <f t="shared" si="37"/>
        <v>4.0099035859803553</v>
      </c>
      <c r="G259" s="440">
        <v>170197</v>
      </c>
      <c r="H259" s="440">
        <v>29829</v>
      </c>
      <c r="I259" s="438">
        <v>44320</v>
      </c>
      <c r="J259" s="304">
        <f t="shared" si="38"/>
        <v>244346</v>
      </c>
      <c r="K259" s="284">
        <f t="shared" si="39"/>
        <v>325649.72498727735</v>
      </c>
      <c r="L259" s="10">
        <f t="shared" si="40"/>
        <v>0</v>
      </c>
      <c r="M259" s="301">
        <f t="shared" si="41"/>
        <v>0</v>
      </c>
      <c r="N259" s="10">
        <v>0</v>
      </c>
      <c r="O259" s="10">
        <f t="shared" si="48"/>
        <v>768</v>
      </c>
      <c r="P259" s="442">
        <v>768</v>
      </c>
      <c r="Q259" s="10">
        <f t="shared" si="43"/>
        <v>40706.215623409669</v>
      </c>
      <c r="R259" s="14">
        <f t="shared" si="44"/>
        <v>0</v>
      </c>
      <c r="S259" s="2">
        <f t="shared" si="45"/>
        <v>0</v>
      </c>
      <c r="T259" s="130">
        <f t="shared" si="46"/>
        <v>0</v>
      </c>
      <c r="U259" s="437">
        <f t="shared" si="47"/>
        <v>0</v>
      </c>
      <c r="V259" s="126"/>
      <c r="W259" s="526"/>
      <c r="X259" s="526"/>
      <c r="Y259" s="526"/>
      <c r="Z259" s="526"/>
      <c r="AA259" s="526"/>
      <c r="AB259" s="526"/>
      <c r="AC259" s="423"/>
      <c r="AD259" s="423"/>
      <c r="AE259" s="423"/>
      <c r="AF259" s="423"/>
      <c r="AG259" s="423"/>
    </row>
    <row r="260" spans="1:33" x14ac:dyDescent="0.25">
      <c r="A260" s="49">
        <f>+'A) Base RI'!A262</f>
        <v>5853</v>
      </c>
      <c r="B260" s="484" t="str">
        <f>+'A) Base RI'!B262</f>
        <v>Bursins</v>
      </c>
      <c r="C260" s="304">
        <f>+'D) Ecrêtage'!C260</f>
        <v>42015.881830985905</v>
      </c>
      <c r="D260" s="440">
        <v>60426</v>
      </c>
      <c r="E260" s="440">
        <f t="shared" si="36"/>
        <v>129414</v>
      </c>
      <c r="F260" s="518">
        <f t="shared" si="37"/>
        <v>3.0801210009249327</v>
      </c>
      <c r="G260" s="440">
        <v>189840</v>
      </c>
      <c r="H260" s="440">
        <v>46878</v>
      </c>
      <c r="I260" s="438">
        <v>69148</v>
      </c>
      <c r="J260" s="304">
        <f t="shared" si="38"/>
        <v>305866</v>
      </c>
      <c r="K260" s="284">
        <f t="shared" si="39"/>
        <v>336127.05464788724</v>
      </c>
      <c r="L260" s="10">
        <f t="shared" si="40"/>
        <v>0</v>
      </c>
      <c r="M260" s="301">
        <f t="shared" si="41"/>
        <v>0</v>
      </c>
      <c r="N260" s="10">
        <v>0</v>
      </c>
      <c r="O260" s="10">
        <f t="shared" si="48"/>
        <v>47887</v>
      </c>
      <c r="P260" s="442">
        <v>47887</v>
      </c>
      <c r="Q260" s="10">
        <f t="shared" si="43"/>
        <v>42015.881830985905</v>
      </c>
      <c r="R260" s="14">
        <f t="shared" si="44"/>
        <v>5871.1181690140947</v>
      </c>
      <c r="S260" s="2">
        <f t="shared" si="45"/>
        <v>-4403.3386267605711</v>
      </c>
      <c r="T260" s="130">
        <f t="shared" si="46"/>
        <v>-4403.3386267605711</v>
      </c>
      <c r="U260" s="437">
        <f t="shared" si="47"/>
        <v>-0.10480176625766292</v>
      </c>
      <c r="V260" s="126"/>
      <c r="W260" s="526"/>
      <c r="X260" s="526"/>
      <c r="Y260" s="526"/>
      <c r="Z260" s="526"/>
      <c r="AA260" s="526"/>
      <c r="AB260" s="526"/>
      <c r="AC260" s="423"/>
      <c r="AD260" s="423"/>
      <c r="AE260" s="423"/>
      <c r="AF260" s="423"/>
      <c r="AG260" s="423"/>
    </row>
    <row r="261" spans="1:33" x14ac:dyDescent="0.25">
      <c r="A261" s="49">
        <f>+'A) Base RI'!A263</f>
        <v>5854</v>
      </c>
      <c r="B261" s="484" t="str">
        <f>+'A) Base RI'!B263</f>
        <v>Burtigny</v>
      </c>
      <c r="C261" s="304">
        <f>+'D) Ecrêtage'!C261</f>
        <v>10782.893958333336</v>
      </c>
      <c r="D261" s="440">
        <v>0</v>
      </c>
      <c r="E261" s="440">
        <f t="shared" si="36"/>
        <v>77640</v>
      </c>
      <c r="F261" s="518">
        <f t="shared" si="37"/>
        <v>7.2002933813512593</v>
      </c>
      <c r="G261" s="440">
        <v>77640</v>
      </c>
      <c r="H261" s="440">
        <v>11044</v>
      </c>
      <c r="I261" s="438">
        <v>40034</v>
      </c>
      <c r="J261" s="304">
        <f t="shared" si="38"/>
        <v>128718</v>
      </c>
      <c r="K261" s="284">
        <f t="shared" si="39"/>
        <v>86263.151666666687</v>
      </c>
      <c r="L261" s="10">
        <f t="shared" si="40"/>
        <v>42454.848333333313</v>
      </c>
      <c r="M261" s="301">
        <f t="shared" si="41"/>
        <v>-31841.136249999985</v>
      </c>
      <c r="N261" s="10">
        <v>0</v>
      </c>
      <c r="O261" s="10">
        <f t="shared" si="48"/>
        <v>17294</v>
      </c>
      <c r="P261" s="442">
        <v>17294</v>
      </c>
      <c r="Q261" s="10">
        <f t="shared" si="43"/>
        <v>10782.893958333336</v>
      </c>
      <c r="R261" s="14">
        <f t="shared" si="44"/>
        <v>6511.1060416666642</v>
      </c>
      <c r="S261" s="2">
        <f t="shared" si="45"/>
        <v>-4883.3295312499977</v>
      </c>
      <c r="T261" s="130">
        <f t="shared" si="46"/>
        <v>-36724.465781249979</v>
      </c>
      <c r="U261" s="437">
        <f t="shared" si="47"/>
        <v>-3.4058079327459434</v>
      </c>
      <c r="V261" s="126"/>
      <c r="W261" s="526"/>
      <c r="X261" s="526"/>
      <c r="Y261" s="526"/>
      <c r="Z261" s="526"/>
      <c r="AA261" s="526"/>
      <c r="AB261" s="526"/>
      <c r="AC261" s="423"/>
      <c r="AD261" s="423"/>
      <c r="AE261" s="423"/>
      <c r="AF261" s="423"/>
      <c r="AG261" s="423"/>
    </row>
    <row r="262" spans="1:33" x14ac:dyDescent="0.25">
      <c r="A262" s="49">
        <f>+'A) Base RI'!A264</f>
        <v>5855</v>
      </c>
      <c r="B262" s="484" t="str">
        <f>+'A) Base RI'!B264</f>
        <v>Dully</v>
      </c>
      <c r="C262" s="304">
        <f>+'D) Ecrêtage'!C262</f>
        <v>98158.514897959176</v>
      </c>
      <c r="D262" s="440">
        <v>32540</v>
      </c>
      <c r="E262" s="440">
        <f t="shared" ref="E262:E313" si="49">G262-D262</f>
        <v>242226</v>
      </c>
      <c r="F262" s="518">
        <f t="shared" ref="F262:F313" si="50">+E262/C262</f>
        <v>2.4677023715345161</v>
      </c>
      <c r="G262" s="440">
        <v>274766</v>
      </c>
      <c r="H262" s="440">
        <v>31484</v>
      </c>
      <c r="I262" s="438">
        <v>44403</v>
      </c>
      <c r="J262" s="304">
        <f t="shared" ref="J262:J313" si="51">SUM(G262:I262)</f>
        <v>350653</v>
      </c>
      <c r="K262" s="284">
        <f t="shared" ref="K262:K313" si="52">+C262*$L$4</f>
        <v>785268.11918367341</v>
      </c>
      <c r="L262" s="10">
        <f t="shared" ref="L262:L313" si="53">IF(J262&gt;K262,J262-K262,0)</f>
        <v>0</v>
      </c>
      <c r="M262" s="301">
        <f t="shared" ref="M262:M313" si="54">-L262*M$4</f>
        <v>0</v>
      </c>
      <c r="N262" s="10">
        <v>0</v>
      </c>
      <c r="O262" s="10">
        <f t="shared" si="48"/>
        <v>3304</v>
      </c>
      <c r="P262" s="442">
        <v>3304</v>
      </c>
      <c r="Q262" s="10">
        <f t="shared" ref="Q262:Q313" si="55">C262*R$4</f>
        <v>98158.514897959176</v>
      </c>
      <c r="R262" s="14">
        <f t="shared" ref="R262:R313" si="56">IF(P262&gt;Q262,P262-Q262,0)</f>
        <v>0</v>
      </c>
      <c r="S262" s="2">
        <f t="shared" ref="S262:S313" si="57">-R262*S$4</f>
        <v>0</v>
      </c>
      <c r="T262" s="130">
        <f t="shared" ref="T262:T313" si="58">S262+M262</f>
        <v>0</v>
      </c>
      <c r="U262" s="437">
        <f t="shared" ref="U262:U313" si="59">+T262/C262</f>
        <v>0</v>
      </c>
      <c r="V262" s="126"/>
      <c r="W262" s="526"/>
      <c r="X262" s="526"/>
      <c r="Y262" s="526"/>
      <c r="Z262" s="526"/>
      <c r="AA262" s="526"/>
      <c r="AB262" s="526"/>
      <c r="AC262" s="423"/>
      <c r="AD262" s="423"/>
      <c r="AE262" s="423"/>
      <c r="AF262" s="423"/>
      <c r="AG262" s="423"/>
    </row>
    <row r="263" spans="1:33" x14ac:dyDescent="0.25">
      <c r="A263" s="49">
        <f>+'A) Base RI'!A265</f>
        <v>5856</v>
      </c>
      <c r="B263" s="484" t="str">
        <f>+'A) Base RI'!B265</f>
        <v>Essertines-sur-Rolle</v>
      </c>
      <c r="C263" s="304">
        <f>+'D) Ecrêtage'!C263</f>
        <v>35711.648536726432</v>
      </c>
      <c r="D263" s="440">
        <v>39370</v>
      </c>
      <c r="E263" s="440">
        <f t="shared" si="49"/>
        <v>102408</v>
      </c>
      <c r="F263" s="518">
        <f t="shared" si="50"/>
        <v>2.8676357490100735</v>
      </c>
      <c r="G263" s="440">
        <v>141778</v>
      </c>
      <c r="H263" s="440">
        <v>20444</v>
      </c>
      <c r="I263" s="438">
        <v>48396</v>
      </c>
      <c r="J263" s="304">
        <f t="shared" si="51"/>
        <v>210618</v>
      </c>
      <c r="K263" s="284">
        <f t="shared" si="52"/>
        <v>285693.18829381146</v>
      </c>
      <c r="L263" s="10">
        <f t="shared" si="53"/>
        <v>0</v>
      </c>
      <c r="M263" s="301">
        <f t="shared" si="54"/>
        <v>0</v>
      </c>
      <c r="N263" s="10">
        <v>0</v>
      </c>
      <c r="O263" s="10">
        <f t="shared" si="48"/>
        <v>-718</v>
      </c>
      <c r="P263" s="442">
        <v>-718</v>
      </c>
      <c r="Q263" s="10">
        <f t="shared" si="55"/>
        <v>35711.648536726432</v>
      </c>
      <c r="R263" s="14">
        <f t="shared" si="56"/>
        <v>0</v>
      </c>
      <c r="S263" s="2">
        <f t="shared" si="57"/>
        <v>0</v>
      </c>
      <c r="T263" s="130">
        <f t="shared" si="58"/>
        <v>0</v>
      </c>
      <c r="U263" s="437">
        <f t="shared" si="59"/>
        <v>0</v>
      </c>
      <c r="V263" s="126"/>
      <c r="W263" s="526"/>
      <c r="X263" s="526"/>
      <c r="Y263" s="526"/>
      <c r="Z263" s="526"/>
      <c r="AA263" s="526"/>
      <c r="AB263" s="526"/>
      <c r="AC263" s="423"/>
      <c r="AD263" s="423"/>
      <c r="AE263" s="423"/>
      <c r="AF263" s="423"/>
      <c r="AG263" s="423"/>
    </row>
    <row r="264" spans="1:33" x14ac:dyDescent="0.25">
      <c r="A264" s="49">
        <f>+'A) Base RI'!A266</f>
        <v>5857</v>
      </c>
      <c r="B264" s="484" t="str">
        <f>+'A) Base RI'!B266</f>
        <v>Gilly</v>
      </c>
      <c r="C264" s="304">
        <f>+'D) Ecrêtage'!C264</f>
        <v>82128.423720930223</v>
      </c>
      <c r="D264" s="440">
        <v>0</v>
      </c>
      <c r="E264" s="440">
        <f t="shared" si="49"/>
        <v>0</v>
      </c>
      <c r="F264" s="518">
        <f t="shared" si="50"/>
        <v>0</v>
      </c>
      <c r="G264" s="440">
        <v>0</v>
      </c>
      <c r="H264" s="440">
        <v>0</v>
      </c>
      <c r="I264" s="438">
        <v>0</v>
      </c>
      <c r="J264" s="304">
        <f t="shared" si="51"/>
        <v>0</v>
      </c>
      <c r="K264" s="284">
        <f t="shared" si="52"/>
        <v>657027.38976744178</v>
      </c>
      <c r="L264" s="10">
        <f t="shared" si="53"/>
        <v>0</v>
      </c>
      <c r="M264" s="301">
        <f t="shared" si="54"/>
        <v>0</v>
      </c>
      <c r="N264" s="10">
        <v>0</v>
      </c>
      <c r="O264" s="10">
        <f t="shared" si="48"/>
        <v>0</v>
      </c>
      <c r="P264" s="442">
        <v>0</v>
      </c>
      <c r="Q264" s="10">
        <f t="shared" si="55"/>
        <v>82128.423720930223</v>
      </c>
      <c r="R264" s="14">
        <f t="shared" si="56"/>
        <v>0</v>
      </c>
      <c r="S264" s="2">
        <f t="shared" si="57"/>
        <v>0</v>
      </c>
      <c r="T264" s="130">
        <f t="shared" si="58"/>
        <v>0</v>
      </c>
      <c r="U264" s="437">
        <f t="shared" si="59"/>
        <v>0</v>
      </c>
      <c r="V264" s="126"/>
      <c r="W264" s="526"/>
      <c r="X264" s="526"/>
      <c r="Y264" s="526"/>
      <c r="Z264" s="526"/>
      <c r="AA264" s="526"/>
      <c r="AB264" s="526"/>
      <c r="AC264" s="423"/>
      <c r="AD264" s="423"/>
      <c r="AE264" s="423"/>
      <c r="AF264" s="423"/>
      <c r="AG264" s="423"/>
    </row>
    <row r="265" spans="1:33" x14ac:dyDescent="0.25">
      <c r="A265" s="49">
        <f>+'A) Base RI'!A267</f>
        <v>5858</v>
      </c>
      <c r="B265" s="484" t="str">
        <f>+'A) Base RI'!B267</f>
        <v>Luins</v>
      </c>
      <c r="C265" s="304">
        <f>+'D) Ecrêtage'!C265</f>
        <v>40290.677378917375</v>
      </c>
      <c r="D265" s="440">
        <v>0</v>
      </c>
      <c r="E265" s="440">
        <f t="shared" si="49"/>
        <v>0</v>
      </c>
      <c r="F265" s="518">
        <f t="shared" si="50"/>
        <v>0</v>
      </c>
      <c r="G265" s="440">
        <v>0</v>
      </c>
      <c r="H265" s="440">
        <v>0</v>
      </c>
      <c r="I265" s="438">
        <v>0</v>
      </c>
      <c r="J265" s="304">
        <f t="shared" si="51"/>
        <v>0</v>
      </c>
      <c r="K265" s="284">
        <f t="shared" si="52"/>
        <v>322325.419031339</v>
      </c>
      <c r="L265" s="10">
        <f t="shared" si="53"/>
        <v>0</v>
      </c>
      <c r="M265" s="301">
        <f t="shared" si="54"/>
        <v>0</v>
      </c>
      <c r="N265" s="10">
        <v>0</v>
      </c>
      <c r="O265" s="10">
        <f t="shared" si="48"/>
        <v>0</v>
      </c>
      <c r="P265" s="442">
        <v>0</v>
      </c>
      <c r="Q265" s="10">
        <f t="shared" si="55"/>
        <v>40290.677378917375</v>
      </c>
      <c r="R265" s="14">
        <f t="shared" si="56"/>
        <v>0</v>
      </c>
      <c r="S265" s="2">
        <f t="shared" si="57"/>
        <v>0</v>
      </c>
      <c r="T265" s="130">
        <f t="shared" si="58"/>
        <v>0</v>
      </c>
      <c r="U265" s="437">
        <f t="shared" si="59"/>
        <v>0</v>
      </c>
      <c r="V265" s="126"/>
      <c r="W265" s="526"/>
      <c r="X265" s="526"/>
      <c r="Y265" s="526"/>
      <c r="Z265" s="526"/>
      <c r="AA265" s="526"/>
      <c r="AB265" s="526"/>
      <c r="AC265" s="423"/>
      <c r="AD265" s="423"/>
      <c r="AE265" s="423"/>
      <c r="AF265" s="423"/>
      <c r="AG265" s="423"/>
    </row>
    <row r="266" spans="1:33" x14ac:dyDescent="0.25">
      <c r="A266" s="49">
        <f>+'A) Base RI'!A268</f>
        <v>5859</v>
      </c>
      <c r="B266" s="484" t="str">
        <f>+'A) Base RI'!B268</f>
        <v>Mont-sur-Rolle</v>
      </c>
      <c r="C266" s="304">
        <f>+'D) Ecrêtage'!C266</f>
        <v>146465.78251968499</v>
      </c>
      <c r="D266" s="440">
        <v>49611</v>
      </c>
      <c r="E266" s="440">
        <f t="shared" si="49"/>
        <v>279273</v>
      </c>
      <c r="F266" s="518">
        <f t="shared" si="50"/>
        <v>1.9067456930595086</v>
      </c>
      <c r="G266" s="440">
        <v>328884</v>
      </c>
      <c r="H266" s="440">
        <v>119503</v>
      </c>
      <c r="I266" s="438">
        <v>227116</v>
      </c>
      <c r="J266" s="304">
        <f t="shared" si="51"/>
        <v>675503</v>
      </c>
      <c r="K266" s="284">
        <f t="shared" si="52"/>
        <v>1171726.2601574799</v>
      </c>
      <c r="L266" s="10">
        <f t="shared" si="53"/>
        <v>0</v>
      </c>
      <c r="M266" s="301">
        <f t="shared" si="54"/>
        <v>0</v>
      </c>
      <c r="N266" s="10">
        <v>0</v>
      </c>
      <c r="O266" s="10">
        <f t="shared" si="48"/>
        <v>2889</v>
      </c>
      <c r="P266" s="442">
        <v>2889</v>
      </c>
      <c r="Q266" s="10">
        <f t="shared" si="55"/>
        <v>146465.78251968499</v>
      </c>
      <c r="R266" s="14">
        <f t="shared" si="56"/>
        <v>0</v>
      </c>
      <c r="S266" s="2">
        <f t="shared" si="57"/>
        <v>0</v>
      </c>
      <c r="T266" s="130">
        <f t="shared" si="58"/>
        <v>0</v>
      </c>
      <c r="U266" s="437">
        <f t="shared" si="59"/>
        <v>0</v>
      </c>
      <c r="V266" s="126"/>
      <c r="W266" s="526"/>
      <c r="X266" s="526"/>
      <c r="Y266" s="526"/>
      <c r="Z266" s="526"/>
      <c r="AA266" s="526"/>
      <c r="AB266" s="526"/>
      <c r="AC266" s="423"/>
      <c r="AD266" s="423"/>
      <c r="AE266" s="423"/>
      <c r="AF266" s="423"/>
      <c r="AG266" s="423"/>
    </row>
    <row r="267" spans="1:33" x14ac:dyDescent="0.25">
      <c r="A267" s="49">
        <f>+'A) Base RI'!A269</f>
        <v>5860</v>
      </c>
      <c r="B267" s="484" t="str">
        <f>+'A) Base RI'!B269</f>
        <v>Perroy</v>
      </c>
      <c r="C267" s="304">
        <f>+'D) Ecrêtage'!C267</f>
        <v>187175.54426035503</v>
      </c>
      <c r="D267" s="440">
        <v>101081</v>
      </c>
      <c r="E267" s="440">
        <f t="shared" si="49"/>
        <v>173016</v>
      </c>
      <c r="F267" s="518">
        <f t="shared" si="50"/>
        <v>0.92435152617662719</v>
      </c>
      <c r="G267" s="440">
        <v>274097</v>
      </c>
      <c r="H267" s="440">
        <v>63586</v>
      </c>
      <c r="I267" s="438">
        <v>125191</v>
      </c>
      <c r="J267" s="304">
        <f t="shared" si="51"/>
        <v>462874</v>
      </c>
      <c r="K267" s="284">
        <f t="shared" si="52"/>
        <v>1497404.3540828403</v>
      </c>
      <c r="L267" s="10">
        <f t="shared" si="53"/>
        <v>0</v>
      </c>
      <c r="M267" s="301">
        <f t="shared" si="54"/>
        <v>0</v>
      </c>
      <c r="N267" s="10">
        <v>0</v>
      </c>
      <c r="O267" s="10">
        <f t="shared" si="48"/>
        <v>14069</v>
      </c>
      <c r="P267" s="442">
        <v>14069</v>
      </c>
      <c r="Q267" s="10">
        <f t="shared" si="55"/>
        <v>187175.54426035503</v>
      </c>
      <c r="R267" s="14">
        <f t="shared" si="56"/>
        <v>0</v>
      </c>
      <c r="S267" s="2">
        <f t="shared" si="57"/>
        <v>0</v>
      </c>
      <c r="T267" s="130">
        <f t="shared" si="58"/>
        <v>0</v>
      </c>
      <c r="U267" s="437">
        <f t="shared" si="59"/>
        <v>0</v>
      </c>
      <c r="V267" s="126"/>
      <c r="W267" s="526"/>
      <c r="X267" s="526"/>
      <c r="Y267" s="526"/>
      <c r="Z267" s="526"/>
      <c r="AA267" s="526"/>
      <c r="AB267" s="526"/>
      <c r="AC267" s="423"/>
      <c r="AD267" s="423"/>
      <c r="AE267" s="423"/>
      <c r="AF267" s="423"/>
      <c r="AG267" s="423"/>
    </row>
    <row r="268" spans="1:33" x14ac:dyDescent="0.25">
      <c r="A268" s="49">
        <f>+'A) Base RI'!A270</f>
        <v>5861</v>
      </c>
      <c r="B268" s="484" t="str">
        <f>+'A) Base RI'!B270</f>
        <v>Rolle</v>
      </c>
      <c r="C268" s="304">
        <f>+'D) Ecrêtage'!C268</f>
        <v>1938335.8673949579</v>
      </c>
      <c r="D268" s="440">
        <v>802451</v>
      </c>
      <c r="E268" s="440">
        <f t="shared" si="49"/>
        <v>1708654</v>
      </c>
      <c r="F268" s="518">
        <f t="shared" si="50"/>
        <v>0.88150564034929579</v>
      </c>
      <c r="G268" s="440">
        <v>2511105</v>
      </c>
      <c r="H268" s="440">
        <v>549545</v>
      </c>
      <c r="I268" s="438">
        <v>582969</v>
      </c>
      <c r="J268" s="304">
        <f t="shared" si="51"/>
        <v>3643619</v>
      </c>
      <c r="K268" s="284">
        <f t="shared" si="52"/>
        <v>15506686.939159663</v>
      </c>
      <c r="L268" s="10">
        <f t="shared" si="53"/>
        <v>0</v>
      </c>
      <c r="M268" s="301">
        <f t="shared" si="54"/>
        <v>0</v>
      </c>
      <c r="N268" s="10">
        <v>0</v>
      </c>
      <c r="O268" s="10">
        <f t="shared" si="48"/>
        <v>141510</v>
      </c>
      <c r="P268" s="442">
        <v>141510</v>
      </c>
      <c r="Q268" s="10">
        <f t="shared" si="55"/>
        <v>1938335.8673949579</v>
      </c>
      <c r="R268" s="14">
        <f t="shared" si="56"/>
        <v>0</v>
      </c>
      <c r="S268" s="2">
        <f t="shared" si="57"/>
        <v>0</v>
      </c>
      <c r="T268" s="130">
        <f t="shared" si="58"/>
        <v>0</v>
      </c>
      <c r="U268" s="437">
        <f t="shared" si="59"/>
        <v>0</v>
      </c>
      <c r="V268" s="126"/>
      <c r="W268" s="526"/>
      <c r="X268" s="526"/>
      <c r="Y268" s="526"/>
      <c r="Z268" s="526"/>
      <c r="AA268" s="526"/>
      <c r="AB268" s="526"/>
      <c r="AC268" s="423"/>
      <c r="AD268" s="423"/>
      <c r="AE268" s="423"/>
      <c r="AF268" s="423"/>
      <c r="AG268" s="423"/>
    </row>
    <row r="269" spans="1:33" x14ac:dyDescent="0.25">
      <c r="A269" s="49">
        <f>+'A) Base RI'!A271</f>
        <v>5862</v>
      </c>
      <c r="B269" s="484" t="str">
        <f>+'A) Base RI'!B271</f>
        <v>Tartegnin</v>
      </c>
      <c r="C269" s="304">
        <f>+'D) Ecrêtage'!C269</f>
        <v>8096.4381012658214</v>
      </c>
      <c r="D269" s="440">
        <v>0</v>
      </c>
      <c r="E269" s="440">
        <f t="shared" si="49"/>
        <v>14170</v>
      </c>
      <c r="F269" s="518">
        <f t="shared" si="50"/>
        <v>1.7501523290574679</v>
      </c>
      <c r="G269" s="440">
        <v>14170</v>
      </c>
      <c r="H269" s="440">
        <v>12380</v>
      </c>
      <c r="I269" s="438">
        <v>19241</v>
      </c>
      <c r="J269" s="304">
        <f t="shared" si="51"/>
        <v>45791</v>
      </c>
      <c r="K269" s="284">
        <f t="shared" si="52"/>
        <v>64771.504810126571</v>
      </c>
      <c r="L269" s="10">
        <f t="shared" si="53"/>
        <v>0</v>
      </c>
      <c r="M269" s="301">
        <f t="shared" si="54"/>
        <v>0</v>
      </c>
      <c r="N269" s="10">
        <v>0</v>
      </c>
      <c r="O269" s="10">
        <f t="shared" si="48"/>
        <v>7569</v>
      </c>
      <c r="P269" s="442">
        <v>7569</v>
      </c>
      <c r="Q269" s="10">
        <f t="shared" si="55"/>
        <v>8096.4381012658214</v>
      </c>
      <c r="R269" s="14">
        <f t="shared" si="56"/>
        <v>0</v>
      </c>
      <c r="S269" s="2">
        <f t="shared" si="57"/>
        <v>0</v>
      </c>
      <c r="T269" s="130">
        <f t="shared" si="58"/>
        <v>0</v>
      </c>
      <c r="U269" s="437">
        <f t="shared" si="59"/>
        <v>0</v>
      </c>
      <c r="V269" s="126"/>
      <c r="W269" s="526"/>
      <c r="X269" s="526"/>
      <c r="Y269" s="526"/>
      <c r="Z269" s="526"/>
      <c r="AA269" s="526"/>
      <c r="AB269" s="526"/>
      <c r="AC269" s="423"/>
      <c r="AD269" s="423"/>
      <c r="AE269" s="423"/>
      <c r="AF269" s="423"/>
      <c r="AG269" s="423"/>
    </row>
    <row r="270" spans="1:33" x14ac:dyDescent="0.25">
      <c r="A270" s="49">
        <f>+'A) Base RI'!A272</f>
        <v>5863</v>
      </c>
      <c r="B270" s="484" t="str">
        <f>+'A) Base RI'!B272</f>
        <v>Vinzel</v>
      </c>
      <c r="C270" s="304">
        <f>+'D) Ecrêtage'!C270</f>
        <v>21933.69492537314</v>
      </c>
      <c r="D270" s="440">
        <v>0</v>
      </c>
      <c r="E270" s="440">
        <f t="shared" si="49"/>
        <v>7672</v>
      </c>
      <c r="F270" s="518">
        <f t="shared" si="50"/>
        <v>0.34978146755952849</v>
      </c>
      <c r="G270" s="440">
        <v>7672</v>
      </c>
      <c r="H270" s="440">
        <v>18855</v>
      </c>
      <c r="I270" s="438">
        <v>28572</v>
      </c>
      <c r="J270" s="304">
        <f t="shared" si="51"/>
        <v>55099</v>
      </c>
      <c r="K270" s="284">
        <f t="shared" si="52"/>
        <v>175469.55940298512</v>
      </c>
      <c r="L270" s="10">
        <f t="shared" si="53"/>
        <v>0</v>
      </c>
      <c r="M270" s="301">
        <f t="shared" si="54"/>
        <v>0</v>
      </c>
      <c r="N270" s="10">
        <v>0</v>
      </c>
      <c r="O270" s="10">
        <f t="shared" si="48"/>
        <v>2072</v>
      </c>
      <c r="P270" s="442">
        <v>2072</v>
      </c>
      <c r="Q270" s="10">
        <f t="shared" si="55"/>
        <v>21933.69492537314</v>
      </c>
      <c r="R270" s="14">
        <f t="shared" si="56"/>
        <v>0</v>
      </c>
      <c r="S270" s="2">
        <f t="shared" si="57"/>
        <v>0</v>
      </c>
      <c r="T270" s="130">
        <f t="shared" si="58"/>
        <v>0</v>
      </c>
      <c r="U270" s="437">
        <f t="shared" si="59"/>
        <v>0</v>
      </c>
      <c r="V270" s="126"/>
      <c r="W270" s="526"/>
      <c r="X270" s="526"/>
      <c r="Y270" s="526"/>
      <c r="Z270" s="526"/>
      <c r="AA270" s="526"/>
      <c r="AB270" s="526"/>
      <c r="AC270" s="423"/>
      <c r="AD270" s="423"/>
      <c r="AE270" s="423"/>
      <c r="AF270" s="423"/>
      <c r="AG270" s="423"/>
    </row>
    <row r="271" spans="1:33" x14ac:dyDescent="0.25">
      <c r="A271" s="49">
        <f>+'A) Base RI'!A273</f>
        <v>5871</v>
      </c>
      <c r="B271" s="484" t="str">
        <f>+'A) Base RI'!B273</f>
        <v>L'Abbaye</v>
      </c>
      <c r="C271" s="304">
        <f>+'D) Ecrêtage'!C271</f>
        <v>49513.521273852508</v>
      </c>
      <c r="D271" s="440">
        <v>136972</v>
      </c>
      <c r="E271" s="440">
        <f t="shared" si="49"/>
        <v>360384</v>
      </c>
      <c r="F271" s="518">
        <f t="shared" si="50"/>
        <v>7.2784966758224572</v>
      </c>
      <c r="G271" s="440">
        <v>497356</v>
      </c>
      <c r="H271" s="440">
        <v>164580</v>
      </c>
      <c r="I271" s="438">
        <v>200293</v>
      </c>
      <c r="J271" s="304">
        <f t="shared" si="51"/>
        <v>862229</v>
      </c>
      <c r="K271" s="284">
        <f t="shared" si="52"/>
        <v>396108.17019082006</v>
      </c>
      <c r="L271" s="10">
        <f t="shared" si="53"/>
        <v>466120.82980917994</v>
      </c>
      <c r="M271" s="301">
        <f t="shared" si="54"/>
        <v>-349590.62235688494</v>
      </c>
      <c r="N271" s="10">
        <v>0</v>
      </c>
      <c r="O271" s="10">
        <f t="shared" si="48"/>
        <v>35920</v>
      </c>
      <c r="P271" s="442">
        <v>35920</v>
      </c>
      <c r="Q271" s="10">
        <f t="shared" si="55"/>
        <v>49513.521273852508</v>
      </c>
      <c r="R271" s="14">
        <f t="shared" si="56"/>
        <v>0</v>
      </c>
      <c r="S271" s="2">
        <f t="shared" si="57"/>
        <v>0</v>
      </c>
      <c r="T271" s="130">
        <f t="shared" si="58"/>
        <v>-349590.62235688494</v>
      </c>
      <c r="U271" s="437">
        <f t="shared" si="59"/>
        <v>-7.0605081877200186</v>
      </c>
      <c r="V271" s="126"/>
      <c r="W271" s="526"/>
      <c r="X271" s="526"/>
      <c r="Y271" s="526"/>
      <c r="Z271" s="526"/>
      <c r="AA271" s="526"/>
      <c r="AB271" s="526"/>
      <c r="AC271" s="423"/>
      <c r="AD271" s="423"/>
      <c r="AE271" s="423"/>
      <c r="AF271" s="423"/>
      <c r="AG271" s="423"/>
    </row>
    <row r="272" spans="1:33" x14ac:dyDescent="0.25">
      <c r="A272" s="49">
        <f>+'A) Base RI'!A274</f>
        <v>5872</v>
      </c>
      <c r="B272" s="484" t="str">
        <f>+'A) Base RI'!B274</f>
        <v>Le Chenit</v>
      </c>
      <c r="C272" s="304">
        <f>+'D) Ecrêtage'!C272</f>
        <v>236042.78222554145</v>
      </c>
      <c r="D272" s="440">
        <v>478047</v>
      </c>
      <c r="E272" s="440">
        <f t="shared" si="49"/>
        <v>2035180</v>
      </c>
      <c r="F272" s="518">
        <f t="shared" si="50"/>
        <v>8.6220810516263242</v>
      </c>
      <c r="G272" s="440">
        <v>2513227</v>
      </c>
      <c r="H272" s="440">
        <v>541582</v>
      </c>
      <c r="I272" s="438">
        <v>646835</v>
      </c>
      <c r="J272" s="304">
        <f t="shared" si="51"/>
        <v>3701644</v>
      </c>
      <c r="K272" s="284">
        <f t="shared" si="52"/>
        <v>1888342.2578043316</v>
      </c>
      <c r="L272" s="10">
        <f t="shared" si="53"/>
        <v>1813301.7421956684</v>
      </c>
      <c r="M272" s="301">
        <f t="shared" si="54"/>
        <v>-1359976.3066467512</v>
      </c>
      <c r="N272" s="10">
        <v>0</v>
      </c>
      <c r="O272" s="10">
        <f t="shared" si="48"/>
        <v>456245</v>
      </c>
      <c r="P272" s="442">
        <v>456245</v>
      </c>
      <c r="Q272" s="10">
        <f t="shared" si="55"/>
        <v>236042.78222554145</v>
      </c>
      <c r="R272" s="14">
        <f t="shared" si="56"/>
        <v>220202.21777445855</v>
      </c>
      <c r="S272" s="2">
        <f t="shared" si="57"/>
        <v>-165151.6633308439</v>
      </c>
      <c r="T272" s="130">
        <f t="shared" si="58"/>
        <v>-1525127.9699775951</v>
      </c>
      <c r="U272" s="437">
        <f t="shared" si="59"/>
        <v>-6.461235355717502</v>
      </c>
      <c r="V272" s="126"/>
      <c r="W272" s="526"/>
      <c r="X272" s="526"/>
      <c r="Y272" s="526"/>
      <c r="Z272" s="526"/>
      <c r="AA272" s="526"/>
      <c r="AB272" s="526"/>
      <c r="AC272" s="423"/>
      <c r="AD272" s="423"/>
      <c r="AE272" s="423"/>
      <c r="AF272" s="423"/>
      <c r="AG272" s="423"/>
    </row>
    <row r="273" spans="1:33" x14ac:dyDescent="0.25">
      <c r="A273" s="49">
        <f>+'A) Base RI'!A275</f>
        <v>5873</v>
      </c>
      <c r="B273" s="484" t="str">
        <f>+'A) Base RI'!B275</f>
        <v>Le Lieu</v>
      </c>
      <c r="C273" s="304">
        <f>+'D) Ecrêtage'!C273</f>
        <v>30440.408392857149</v>
      </c>
      <c r="D273" s="440">
        <v>19530</v>
      </c>
      <c r="E273" s="440">
        <f t="shared" si="49"/>
        <v>765359</v>
      </c>
      <c r="F273" s="518">
        <f t="shared" si="50"/>
        <v>25.142862412437008</v>
      </c>
      <c r="G273" s="440">
        <v>784889</v>
      </c>
      <c r="H273" s="440">
        <v>100015</v>
      </c>
      <c r="I273" s="438">
        <v>110719</v>
      </c>
      <c r="J273" s="304">
        <f t="shared" si="51"/>
        <v>995623</v>
      </c>
      <c r="K273" s="284">
        <f t="shared" si="52"/>
        <v>243523.26714285719</v>
      </c>
      <c r="L273" s="10">
        <f t="shared" si="53"/>
        <v>752099.73285714281</v>
      </c>
      <c r="M273" s="301">
        <f t="shared" si="54"/>
        <v>-564074.79964285716</v>
      </c>
      <c r="N273" s="10">
        <v>0</v>
      </c>
      <c r="O273" s="10">
        <f t="shared" si="48"/>
        <v>202518</v>
      </c>
      <c r="P273" s="442">
        <v>202518</v>
      </c>
      <c r="Q273" s="10">
        <f t="shared" si="55"/>
        <v>30440.408392857149</v>
      </c>
      <c r="R273" s="14">
        <f t="shared" si="56"/>
        <v>172077.59160714285</v>
      </c>
      <c r="S273" s="2">
        <f t="shared" si="57"/>
        <v>-129058.19370535715</v>
      </c>
      <c r="T273" s="130">
        <f t="shared" si="58"/>
        <v>-693132.99334821431</v>
      </c>
      <c r="U273" s="437">
        <f t="shared" si="59"/>
        <v>-22.770160781116793</v>
      </c>
      <c r="V273" s="126"/>
      <c r="W273" s="526"/>
      <c r="X273" s="526"/>
      <c r="Y273" s="526"/>
      <c r="Z273" s="526"/>
      <c r="AA273" s="526"/>
      <c r="AB273" s="526"/>
      <c r="AC273" s="423"/>
      <c r="AD273" s="423"/>
      <c r="AE273" s="423"/>
      <c r="AF273" s="423"/>
      <c r="AG273" s="423"/>
    </row>
    <row r="274" spans="1:33" x14ac:dyDescent="0.25">
      <c r="A274" s="49">
        <f>+'A) Base RI'!A276</f>
        <v>5881</v>
      </c>
      <c r="B274" s="484" t="str">
        <f>+'A) Base RI'!B276</f>
        <v>Blonay</v>
      </c>
      <c r="C274" s="304">
        <f>+'D) Ecrêtage'!C274</f>
        <v>363266.43007299263</v>
      </c>
      <c r="D274" s="440">
        <v>529344</v>
      </c>
      <c r="E274" s="440">
        <f t="shared" si="49"/>
        <v>1688937</v>
      </c>
      <c r="F274" s="518">
        <f t="shared" si="50"/>
        <v>4.649306570003275</v>
      </c>
      <c r="G274" s="440">
        <v>2218281</v>
      </c>
      <c r="H274" s="440">
        <v>1207429</v>
      </c>
      <c r="I274" s="438">
        <v>397664</v>
      </c>
      <c r="J274" s="304">
        <f t="shared" si="51"/>
        <v>3823374</v>
      </c>
      <c r="K274" s="284">
        <f t="shared" si="52"/>
        <v>2906131.4405839411</v>
      </c>
      <c r="L274" s="10">
        <f t="shared" si="53"/>
        <v>917242.55941605894</v>
      </c>
      <c r="M274" s="301">
        <f t="shared" si="54"/>
        <v>-687931.9195620442</v>
      </c>
      <c r="N274" s="10">
        <v>51803</v>
      </c>
      <c r="O274" s="10">
        <f t="shared" si="48"/>
        <v>342723</v>
      </c>
      <c r="P274" s="442">
        <v>394526</v>
      </c>
      <c r="Q274" s="10">
        <f t="shared" si="55"/>
        <v>363266.43007299263</v>
      </c>
      <c r="R274" s="14">
        <f t="shared" si="56"/>
        <v>31259.569927007367</v>
      </c>
      <c r="S274" s="2">
        <f t="shared" si="57"/>
        <v>-23444.677445255526</v>
      </c>
      <c r="T274" s="130">
        <f t="shared" si="58"/>
        <v>-711376.59700729977</v>
      </c>
      <c r="U274" s="437">
        <f t="shared" si="59"/>
        <v>-1.9582778316850251</v>
      </c>
      <c r="V274" s="126"/>
      <c r="W274" s="526"/>
      <c r="X274" s="526"/>
      <c r="Y274" s="526"/>
      <c r="Z274" s="526"/>
      <c r="AA274" s="526"/>
      <c r="AB274" s="526"/>
      <c r="AC274" s="423"/>
      <c r="AD274" s="423"/>
      <c r="AE274" s="423"/>
      <c r="AF274" s="423"/>
      <c r="AG274" s="423"/>
    </row>
    <row r="275" spans="1:33" x14ac:dyDescent="0.25">
      <c r="A275" s="49">
        <f>+'A) Base RI'!A277</f>
        <v>5882</v>
      </c>
      <c r="B275" s="484" t="str">
        <f>+'A) Base RI'!B277</f>
        <v>Chardonne</v>
      </c>
      <c r="C275" s="304">
        <f>+'D) Ecrêtage'!C275</f>
        <v>179032.37397058826</v>
      </c>
      <c r="D275" s="440">
        <v>406036</v>
      </c>
      <c r="E275" s="440">
        <f t="shared" si="49"/>
        <v>1061705</v>
      </c>
      <c r="F275" s="518">
        <f t="shared" si="50"/>
        <v>5.9302403048870849</v>
      </c>
      <c r="G275" s="440">
        <v>1467741</v>
      </c>
      <c r="H275" s="440">
        <v>325963</v>
      </c>
      <c r="I275" s="438">
        <v>151060</v>
      </c>
      <c r="J275" s="304">
        <f t="shared" si="51"/>
        <v>1944764</v>
      </c>
      <c r="K275" s="284">
        <f t="shared" si="52"/>
        <v>1432258.9917647061</v>
      </c>
      <c r="L275" s="10">
        <f t="shared" si="53"/>
        <v>512505.00823529391</v>
      </c>
      <c r="M275" s="301">
        <f t="shared" si="54"/>
        <v>-384378.75617647043</v>
      </c>
      <c r="N275" s="10">
        <v>0</v>
      </c>
      <c r="O275" s="10">
        <f t="shared" si="48"/>
        <v>9801</v>
      </c>
      <c r="P275" s="442">
        <v>9801</v>
      </c>
      <c r="Q275" s="10">
        <f t="shared" si="55"/>
        <v>179032.37397058826</v>
      </c>
      <c r="R275" s="14">
        <f t="shared" si="56"/>
        <v>0</v>
      </c>
      <c r="S275" s="2">
        <f t="shared" si="57"/>
        <v>0</v>
      </c>
      <c r="T275" s="130">
        <f t="shared" si="58"/>
        <v>-384378.75617647043</v>
      </c>
      <c r="U275" s="437">
        <f t="shared" si="59"/>
        <v>-2.1469790499433183</v>
      </c>
      <c r="V275" s="126"/>
      <c r="W275" s="526"/>
      <c r="X275" s="526"/>
      <c r="Y275" s="526"/>
      <c r="Z275" s="526"/>
      <c r="AA275" s="526"/>
      <c r="AB275" s="526"/>
      <c r="AC275" s="423"/>
      <c r="AD275" s="423"/>
      <c r="AE275" s="423"/>
      <c r="AF275" s="423"/>
      <c r="AG275" s="423"/>
    </row>
    <row r="276" spans="1:33" x14ac:dyDescent="0.25">
      <c r="A276" s="49">
        <f>+'A) Base RI'!A278</f>
        <v>5883</v>
      </c>
      <c r="B276" s="484" t="str">
        <f>+'A) Base RI'!B278</f>
        <v>Corseaux</v>
      </c>
      <c r="C276" s="304">
        <f>+'D) Ecrêtage'!C276</f>
        <v>167893.40074074076</v>
      </c>
      <c r="D276" s="440">
        <v>118036</v>
      </c>
      <c r="E276" s="440">
        <f t="shared" si="49"/>
        <v>336114</v>
      </c>
      <c r="F276" s="518">
        <f t="shared" si="50"/>
        <v>2.0019488468103863</v>
      </c>
      <c r="G276" s="440">
        <v>454150</v>
      </c>
      <c r="H276" s="440">
        <v>476185</v>
      </c>
      <c r="I276" s="438">
        <v>108250</v>
      </c>
      <c r="J276" s="304">
        <f t="shared" si="51"/>
        <v>1038585</v>
      </c>
      <c r="K276" s="284">
        <f t="shared" si="52"/>
        <v>1343147.2059259261</v>
      </c>
      <c r="L276" s="10">
        <f t="shared" si="53"/>
        <v>0</v>
      </c>
      <c r="M276" s="301">
        <f t="shared" si="54"/>
        <v>0</v>
      </c>
      <c r="N276" s="10">
        <v>0</v>
      </c>
      <c r="O276" s="10">
        <f t="shared" si="48"/>
        <v>1784</v>
      </c>
      <c r="P276" s="442">
        <v>1784</v>
      </c>
      <c r="Q276" s="10">
        <f t="shared" si="55"/>
        <v>167893.40074074076</v>
      </c>
      <c r="R276" s="14">
        <f t="shared" si="56"/>
        <v>0</v>
      </c>
      <c r="S276" s="2">
        <f t="shared" si="57"/>
        <v>0</v>
      </c>
      <c r="T276" s="130">
        <f t="shared" si="58"/>
        <v>0</v>
      </c>
      <c r="U276" s="437">
        <f t="shared" si="59"/>
        <v>0</v>
      </c>
      <c r="V276" s="126"/>
      <c r="W276" s="526"/>
      <c r="X276" s="526"/>
      <c r="Y276" s="526"/>
      <c r="Z276" s="526"/>
      <c r="AA276" s="526"/>
      <c r="AB276" s="526"/>
      <c r="AC276" s="423"/>
      <c r="AD276" s="423"/>
      <c r="AE276" s="423"/>
      <c r="AF276" s="423"/>
      <c r="AG276" s="423"/>
    </row>
    <row r="277" spans="1:33" x14ac:dyDescent="0.25">
      <c r="A277" s="49">
        <f>+'A) Base RI'!A279</f>
        <v>5884</v>
      </c>
      <c r="B277" s="484" t="str">
        <f>+'A) Base RI'!B279</f>
        <v>Corsier-sur-Vevey</v>
      </c>
      <c r="C277" s="304">
        <f>+'D) Ecrêtage'!C277</f>
        <v>122170.7416919192</v>
      </c>
      <c r="D277" s="440">
        <v>1042338</v>
      </c>
      <c r="E277" s="440">
        <f t="shared" si="49"/>
        <v>706729</v>
      </c>
      <c r="F277" s="518">
        <f t="shared" si="50"/>
        <v>5.7847647498299954</v>
      </c>
      <c r="G277" s="440">
        <v>1749067</v>
      </c>
      <c r="H277" s="440">
        <v>795571</v>
      </c>
      <c r="I277" s="438">
        <v>190752</v>
      </c>
      <c r="J277" s="304">
        <f t="shared" si="51"/>
        <v>2735390</v>
      </c>
      <c r="K277" s="284">
        <f t="shared" si="52"/>
        <v>977365.93353535363</v>
      </c>
      <c r="L277" s="10">
        <f t="shared" si="53"/>
        <v>1758024.0664646463</v>
      </c>
      <c r="M277" s="301">
        <f t="shared" si="54"/>
        <v>-1318518.0498484848</v>
      </c>
      <c r="N277" s="10">
        <v>0</v>
      </c>
      <c r="O277" s="10">
        <f t="shared" si="48"/>
        <v>-18070</v>
      </c>
      <c r="P277" s="442">
        <v>-18070</v>
      </c>
      <c r="Q277" s="10">
        <f t="shared" si="55"/>
        <v>122170.7416919192</v>
      </c>
      <c r="R277" s="14">
        <f t="shared" si="56"/>
        <v>0</v>
      </c>
      <c r="S277" s="2">
        <f t="shared" si="57"/>
        <v>0</v>
      </c>
      <c r="T277" s="130">
        <f t="shared" si="58"/>
        <v>-1318518.0498484848</v>
      </c>
      <c r="U277" s="437">
        <f t="shared" si="59"/>
        <v>-10.792420767759783</v>
      </c>
      <c r="V277" s="126"/>
      <c r="W277" s="526"/>
      <c r="X277" s="526"/>
      <c r="Y277" s="526"/>
      <c r="Z277" s="526"/>
      <c r="AA277" s="526"/>
      <c r="AB277" s="526"/>
      <c r="AC277" s="423"/>
      <c r="AD277" s="423"/>
      <c r="AE277" s="423"/>
      <c r="AF277" s="423"/>
      <c r="AG277" s="423"/>
    </row>
    <row r="278" spans="1:33" x14ac:dyDescent="0.25">
      <c r="A278" s="49">
        <f>+'A) Base RI'!A280</f>
        <v>5885</v>
      </c>
      <c r="B278" s="484" t="str">
        <f>+'A) Base RI'!B280</f>
        <v>Jongny</v>
      </c>
      <c r="C278" s="304">
        <f>+'D) Ecrêtage'!C278</f>
        <v>85101.213069544348</v>
      </c>
      <c r="D278" s="440">
        <v>58294</v>
      </c>
      <c r="E278" s="440">
        <f t="shared" si="49"/>
        <v>497054</v>
      </c>
      <c r="F278" s="518">
        <f t="shared" si="50"/>
        <v>5.8407393040779523</v>
      </c>
      <c r="G278" s="440">
        <v>555348</v>
      </c>
      <c r="H278" s="440">
        <v>133667</v>
      </c>
      <c r="I278" s="438">
        <v>90003</v>
      </c>
      <c r="J278" s="304">
        <f t="shared" si="51"/>
        <v>779018</v>
      </c>
      <c r="K278" s="284">
        <f t="shared" si="52"/>
        <v>680809.70455635479</v>
      </c>
      <c r="L278" s="10">
        <f t="shared" si="53"/>
        <v>98208.295443645213</v>
      </c>
      <c r="M278" s="301">
        <f t="shared" si="54"/>
        <v>-73656.22158273391</v>
      </c>
      <c r="N278" s="10">
        <v>0</v>
      </c>
      <c r="O278" s="10">
        <f t="shared" si="48"/>
        <v>-3096</v>
      </c>
      <c r="P278" s="442">
        <v>-3096</v>
      </c>
      <c r="Q278" s="10">
        <f t="shared" si="55"/>
        <v>85101.213069544348</v>
      </c>
      <c r="R278" s="14">
        <f t="shared" si="56"/>
        <v>0</v>
      </c>
      <c r="S278" s="2">
        <f t="shared" si="57"/>
        <v>0</v>
      </c>
      <c r="T278" s="130">
        <f t="shared" si="58"/>
        <v>-73656.22158273391</v>
      </c>
      <c r="U278" s="437">
        <f t="shared" si="59"/>
        <v>-0.86551318043542291</v>
      </c>
      <c r="V278" s="126"/>
      <c r="W278" s="526"/>
      <c r="X278" s="526"/>
      <c r="Y278" s="526"/>
      <c r="Z278" s="526"/>
      <c r="AA278" s="526"/>
      <c r="AB278" s="526"/>
      <c r="AC278" s="423"/>
      <c r="AD278" s="423"/>
      <c r="AE278" s="423"/>
      <c r="AF278" s="423"/>
      <c r="AG278" s="423"/>
    </row>
    <row r="279" spans="1:33" x14ac:dyDescent="0.25">
      <c r="A279" s="49">
        <f>+'A) Base RI'!A281</f>
        <v>5886</v>
      </c>
      <c r="B279" s="484" t="str">
        <f>+'A) Base RI'!B281</f>
        <v>Montreux</v>
      </c>
      <c r="C279" s="304">
        <f>+'D) Ecrêtage'!C279</f>
        <v>1097075.3945128203</v>
      </c>
      <c r="D279" s="440">
        <v>1092952</v>
      </c>
      <c r="E279" s="440">
        <f t="shared" si="49"/>
        <v>8268918</v>
      </c>
      <c r="F279" s="518">
        <f t="shared" si="50"/>
        <v>7.5372376787941624</v>
      </c>
      <c r="G279" s="440">
        <v>9361870</v>
      </c>
      <c r="H279" s="440">
        <v>6588868</v>
      </c>
      <c r="I279" s="438">
        <v>263014</v>
      </c>
      <c r="J279" s="304">
        <f t="shared" si="51"/>
        <v>16213752</v>
      </c>
      <c r="K279" s="284">
        <f t="shared" si="52"/>
        <v>8776603.1561025623</v>
      </c>
      <c r="L279" s="10">
        <f t="shared" si="53"/>
        <v>7437148.8438974377</v>
      </c>
      <c r="M279" s="301">
        <f t="shared" si="54"/>
        <v>-5577861.6329230778</v>
      </c>
      <c r="N279" s="10">
        <v>2090</v>
      </c>
      <c r="O279" s="10">
        <f t="shared" si="48"/>
        <v>2089597</v>
      </c>
      <c r="P279" s="442">
        <v>2091687</v>
      </c>
      <c r="Q279" s="10">
        <f t="shared" si="55"/>
        <v>1097075.3945128203</v>
      </c>
      <c r="R279" s="14">
        <f t="shared" si="56"/>
        <v>994611.60548717971</v>
      </c>
      <c r="S279" s="2">
        <f t="shared" si="57"/>
        <v>-745958.70411538472</v>
      </c>
      <c r="T279" s="130">
        <f t="shared" si="58"/>
        <v>-6323820.337038463</v>
      </c>
      <c r="U279" s="437">
        <f t="shared" si="59"/>
        <v>-5.7642531850299044</v>
      </c>
      <c r="V279" s="126"/>
      <c r="W279" s="526"/>
      <c r="X279" s="526"/>
      <c r="Y279" s="526"/>
      <c r="Z279" s="526"/>
      <c r="AA279" s="526"/>
      <c r="AB279" s="526"/>
      <c r="AC279" s="423"/>
      <c r="AD279" s="423"/>
      <c r="AE279" s="423"/>
      <c r="AF279" s="423"/>
      <c r="AG279" s="423"/>
    </row>
    <row r="280" spans="1:33" x14ac:dyDescent="0.25">
      <c r="A280" s="49">
        <f>+'A) Base RI'!A282</f>
        <v>5888</v>
      </c>
      <c r="B280" s="484" t="str">
        <f>+'A) Base RI'!B282</f>
        <v>Saint-Légier-La Chiésaz</v>
      </c>
      <c r="C280" s="304">
        <f>+'D) Ecrêtage'!C280</f>
        <v>325586.52158150851</v>
      </c>
      <c r="D280" s="440">
        <v>494524</v>
      </c>
      <c r="E280" s="440">
        <f t="shared" si="49"/>
        <v>1662640</v>
      </c>
      <c r="F280" s="518">
        <f t="shared" si="50"/>
        <v>5.1065995973170795</v>
      </c>
      <c r="G280" s="440">
        <v>2157164</v>
      </c>
      <c r="H280" s="440">
        <v>1241114</v>
      </c>
      <c r="I280" s="438">
        <v>317173</v>
      </c>
      <c r="J280" s="304">
        <f t="shared" si="51"/>
        <v>3715451</v>
      </c>
      <c r="K280" s="284">
        <f t="shared" si="52"/>
        <v>2604692.1726520681</v>
      </c>
      <c r="L280" s="10">
        <f t="shared" si="53"/>
        <v>1110758.8273479319</v>
      </c>
      <c r="M280" s="301">
        <f t="shared" si="54"/>
        <v>-833069.12051094894</v>
      </c>
      <c r="N280" s="10">
        <v>14866</v>
      </c>
      <c r="O280" s="10">
        <f t="shared" si="48"/>
        <v>791785</v>
      </c>
      <c r="P280" s="442">
        <v>806651</v>
      </c>
      <c r="Q280" s="10">
        <f t="shared" si="55"/>
        <v>325586.52158150851</v>
      </c>
      <c r="R280" s="14">
        <f t="shared" si="56"/>
        <v>481064.47841849149</v>
      </c>
      <c r="S280" s="2">
        <f t="shared" si="57"/>
        <v>-360798.3588138686</v>
      </c>
      <c r="T280" s="130">
        <f t="shared" si="58"/>
        <v>-1193867.4793248177</v>
      </c>
      <c r="U280" s="437">
        <f t="shared" si="59"/>
        <v>-3.6668209529243074</v>
      </c>
      <c r="V280" s="126"/>
      <c r="W280" s="526"/>
      <c r="X280" s="526"/>
      <c r="Y280" s="526"/>
      <c r="Z280" s="526"/>
      <c r="AA280" s="526"/>
      <c r="AB280" s="526"/>
      <c r="AC280" s="423"/>
      <c r="AD280" s="423"/>
      <c r="AE280" s="423"/>
      <c r="AF280" s="423"/>
      <c r="AG280" s="423"/>
    </row>
    <row r="281" spans="1:33" x14ac:dyDescent="0.25">
      <c r="A281" s="49">
        <f>+'A) Base RI'!A283</f>
        <v>5889</v>
      </c>
      <c r="B281" s="484" t="str">
        <f>+'A) Base RI'!B283</f>
        <v>La Tour-de-Peilz</v>
      </c>
      <c r="C281" s="304">
        <f>+'D) Ecrêtage'!C281</f>
        <v>675962.70015625004</v>
      </c>
      <c r="D281" s="440">
        <v>368171</v>
      </c>
      <c r="E281" s="440">
        <f t="shared" si="49"/>
        <v>2099944</v>
      </c>
      <c r="F281" s="518">
        <f t="shared" si="50"/>
        <v>3.1065974491116064</v>
      </c>
      <c r="G281" s="440">
        <v>2468115</v>
      </c>
      <c r="H281" s="440">
        <v>3122555</v>
      </c>
      <c r="I281" s="438">
        <v>782</v>
      </c>
      <c r="J281" s="304">
        <f t="shared" si="51"/>
        <v>5591452</v>
      </c>
      <c r="K281" s="284">
        <f t="shared" si="52"/>
        <v>5407701.6012500003</v>
      </c>
      <c r="L281" s="10">
        <f t="shared" si="53"/>
        <v>183750.3987499997</v>
      </c>
      <c r="M281" s="301">
        <f t="shared" si="54"/>
        <v>-137812.79906249978</v>
      </c>
      <c r="N281" s="10">
        <v>0</v>
      </c>
      <c r="O281" s="10">
        <f t="shared" si="48"/>
        <v>8144</v>
      </c>
      <c r="P281" s="442">
        <v>8144</v>
      </c>
      <c r="Q281" s="10">
        <f t="shared" si="55"/>
        <v>675962.70015625004</v>
      </c>
      <c r="R281" s="14">
        <f t="shared" si="56"/>
        <v>0</v>
      </c>
      <c r="S281" s="2">
        <f t="shared" si="57"/>
        <v>0</v>
      </c>
      <c r="T281" s="130">
        <f t="shared" si="58"/>
        <v>-137812.79906249978</v>
      </c>
      <c r="U281" s="437">
        <f t="shared" si="59"/>
        <v>-0.20387633671302291</v>
      </c>
      <c r="V281" s="126"/>
      <c r="W281" s="526"/>
      <c r="X281" s="526"/>
      <c r="Y281" s="526"/>
      <c r="Z281" s="526"/>
      <c r="AA281" s="526"/>
      <c r="AB281" s="526"/>
      <c r="AC281" s="423"/>
      <c r="AD281" s="423"/>
      <c r="AE281" s="423"/>
      <c r="AF281" s="423"/>
      <c r="AG281" s="423"/>
    </row>
    <row r="282" spans="1:33" x14ac:dyDescent="0.25">
      <c r="A282" s="49">
        <f>+'A) Base RI'!A284</f>
        <v>5890</v>
      </c>
      <c r="B282" s="484" t="str">
        <f>+'A) Base RI'!B284</f>
        <v>Vevey</v>
      </c>
      <c r="C282" s="304">
        <f>+'D) Ecrêtage'!C282</f>
        <v>862625.86017897108</v>
      </c>
      <c r="D282" s="440">
        <v>1436024</v>
      </c>
      <c r="E282" s="440">
        <f t="shared" si="49"/>
        <v>5529196</v>
      </c>
      <c r="F282" s="518">
        <f t="shared" si="50"/>
        <v>6.4097266906105093</v>
      </c>
      <c r="G282" s="440">
        <v>6965220</v>
      </c>
      <c r="H282" s="440">
        <v>4788740</v>
      </c>
      <c r="I282" s="438">
        <v>102751</v>
      </c>
      <c r="J282" s="304">
        <f t="shared" si="51"/>
        <v>11856711</v>
      </c>
      <c r="K282" s="284">
        <f t="shared" si="52"/>
        <v>6901006.8814317686</v>
      </c>
      <c r="L282" s="10">
        <f t="shared" si="53"/>
        <v>4955704.1185682314</v>
      </c>
      <c r="M282" s="301">
        <f t="shared" si="54"/>
        <v>-3716778.0889261737</v>
      </c>
      <c r="N282" s="10">
        <v>0</v>
      </c>
      <c r="O282" s="10">
        <f t="shared" si="48"/>
        <v>100000</v>
      </c>
      <c r="P282" s="442">
        <v>100000</v>
      </c>
      <c r="Q282" s="10">
        <f t="shared" si="55"/>
        <v>862625.86017897108</v>
      </c>
      <c r="R282" s="14">
        <f t="shared" si="56"/>
        <v>0</v>
      </c>
      <c r="S282" s="2">
        <f t="shared" si="57"/>
        <v>0</v>
      </c>
      <c r="T282" s="130">
        <f t="shared" si="58"/>
        <v>-3716778.0889261737</v>
      </c>
      <c r="U282" s="437">
        <f t="shared" si="59"/>
        <v>-4.3086791858466249</v>
      </c>
      <c r="V282" s="126"/>
      <c r="W282" s="526"/>
      <c r="X282" s="526"/>
      <c r="Y282" s="526"/>
      <c r="Z282" s="526"/>
      <c r="AA282" s="526"/>
      <c r="AB282" s="526"/>
      <c r="AC282" s="423"/>
      <c r="AD282" s="423"/>
      <c r="AE282" s="423"/>
      <c r="AF282" s="423"/>
      <c r="AG282" s="423"/>
    </row>
    <row r="283" spans="1:33" x14ac:dyDescent="0.25">
      <c r="A283" s="49">
        <f>+'A) Base RI'!A285</f>
        <v>5891</v>
      </c>
      <c r="B283" s="484" t="str">
        <f>+'A) Base RI'!B285</f>
        <v>Veytaux</v>
      </c>
      <c r="C283" s="304">
        <f>+'D) Ecrêtage'!C283</f>
        <v>43950.38565947242</v>
      </c>
      <c r="D283" s="440">
        <v>0</v>
      </c>
      <c r="E283" s="440">
        <f t="shared" si="49"/>
        <v>156816</v>
      </c>
      <c r="F283" s="518">
        <f t="shared" si="50"/>
        <v>3.5680232982484008</v>
      </c>
      <c r="G283" s="440">
        <v>156816</v>
      </c>
      <c r="H283" s="440">
        <v>416175</v>
      </c>
      <c r="I283" s="438">
        <v>30000</v>
      </c>
      <c r="J283" s="304">
        <f t="shared" si="51"/>
        <v>602991</v>
      </c>
      <c r="K283" s="284">
        <f t="shared" si="52"/>
        <v>351603.08527577936</v>
      </c>
      <c r="L283" s="10">
        <f t="shared" si="53"/>
        <v>251387.91472422064</v>
      </c>
      <c r="M283" s="301">
        <f t="shared" si="54"/>
        <v>-188540.93604316548</v>
      </c>
      <c r="N283" s="10">
        <v>20503</v>
      </c>
      <c r="O283" s="10">
        <f t="shared" ref="O283:O313" si="60">P283-N283</f>
        <v>381620</v>
      </c>
      <c r="P283" s="442">
        <v>402123</v>
      </c>
      <c r="Q283" s="10">
        <f t="shared" si="55"/>
        <v>43950.38565947242</v>
      </c>
      <c r="R283" s="14">
        <f t="shared" si="56"/>
        <v>358172.61434052757</v>
      </c>
      <c r="S283" s="2">
        <f t="shared" si="57"/>
        <v>-268629.4607553957</v>
      </c>
      <c r="T283" s="130">
        <f t="shared" si="58"/>
        <v>-457170.39679856121</v>
      </c>
      <c r="U283" s="437">
        <f t="shared" si="59"/>
        <v>-10.401965533151799</v>
      </c>
      <c r="V283" s="126"/>
      <c r="W283" s="526"/>
      <c r="X283" s="526"/>
      <c r="Y283" s="526"/>
      <c r="Z283" s="526"/>
      <c r="AA283" s="526"/>
      <c r="AB283" s="526"/>
      <c r="AC283" s="423"/>
      <c r="AD283" s="423"/>
      <c r="AE283" s="423"/>
      <c r="AF283" s="423"/>
      <c r="AG283" s="423"/>
    </row>
    <row r="284" spans="1:33" x14ac:dyDescent="0.25">
      <c r="A284" s="49">
        <f>+'A) Base RI'!A286</f>
        <v>5902</v>
      </c>
      <c r="B284" s="484" t="str">
        <f>+'A) Base RI'!B286</f>
        <v>Belmont-sur-Yverdon</v>
      </c>
      <c r="C284" s="304">
        <f>+'D) Ecrêtage'!C284</f>
        <v>11719.310285714289</v>
      </c>
      <c r="D284" s="440">
        <v>0</v>
      </c>
      <c r="E284" s="440">
        <f t="shared" si="49"/>
        <v>12793</v>
      </c>
      <c r="F284" s="518">
        <f t="shared" si="50"/>
        <v>1.0916171419741763</v>
      </c>
      <c r="G284" s="440">
        <v>12793</v>
      </c>
      <c r="H284" s="440">
        <v>16625</v>
      </c>
      <c r="I284" s="438">
        <v>47715</v>
      </c>
      <c r="J284" s="304">
        <f t="shared" si="51"/>
        <v>77133</v>
      </c>
      <c r="K284" s="284">
        <f t="shared" si="52"/>
        <v>93754.482285714315</v>
      </c>
      <c r="L284" s="10">
        <f t="shared" si="53"/>
        <v>0</v>
      </c>
      <c r="M284" s="301">
        <f t="shared" si="54"/>
        <v>0</v>
      </c>
      <c r="N284" s="10">
        <v>0</v>
      </c>
      <c r="O284" s="10">
        <f t="shared" si="60"/>
        <v>17576</v>
      </c>
      <c r="P284" s="442">
        <v>17576</v>
      </c>
      <c r="Q284" s="10">
        <f t="shared" si="55"/>
        <v>11719.310285714289</v>
      </c>
      <c r="R284" s="14">
        <f t="shared" si="56"/>
        <v>5856.6897142857106</v>
      </c>
      <c r="S284" s="2">
        <f t="shared" si="57"/>
        <v>-4392.5172857142825</v>
      </c>
      <c r="T284" s="130">
        <f t="shared" si="58"/>
        <v>-4392.5172857142825</v>
      </c>
      <c r="U284" s="437">
        <f t="shared" si="59"/>
        <v>-0.37481022164493016</v>
      </c>
      <c r="V284" s="126"/>
      <c r="W284" s="526"/>
      <c r="X284" s="526"/>
      <c r="Y284" s="526"/>
      <c r="Z284" s="526"/>
      <c r="AA284" s="526"/>
      <c r="AB284" s="526"/>
      <c r="AC284" s="423"/>
      <c r="AD284" s="423"/>
      <c r="AE284" s="423"/>
      <c r="AF284" s="423"/>
      <c r="AG284" s="423"/>
    </row>
    <row r="285" spans="1:33" x14ac:dyDescent="0.25">
      <c r="A285" s="49">
        <f>+'A) Base RI'!A287</f>
        <v>5903</v>
      </c>
      <c r="B285" s="484" t="str">
        <f>+'A) Base RI'!B287</f>
        <v>Bioley-Magnoux</v>
      </c>
      <c r="C285" s="304">
        <f>+'D) Ecrêtage'!C285</f>
        <v>5017.2132738095233</v>
      </c>
      <c r="D285" s="440">
        <v>152667</v>
      </c>
      <c r="E285" s="440">
        <f t="shared" si="49"/>
        <v>23737</v>
      </c>
      <c r="F285" s="518">
        <f t="shared" si="50"/>
        <v>4.7311124133211733</v>
      </c>
      <c r="G285" s="440">
        <v>176404</v>
      </c>
      <c r="H285" s="440">
        <v>10135</v>
      </c>
      <c r="I285" s="438">
        <v>18662</v>
      </c>
      <c r="J285" s="304">
        <f t="shared" si="51"/>
        <v>205201</v>
      </c>
      <c r="K285" s="284">
        <f t="shared" si="52"/>
        <v>40137.706190476187</v>
      </c>
      <c r="L285" s="10">
        <f t="shared" si="53"/>
        <v>165063.29380952381</v>
      </c>
      <c r="M285" s="301">
        <f t="shared" si="54"/>
        <v>-123797.47035714285</v>
      </c>
      <c r="N285" s="10">
        <v>0</v>
      </c>
      <c r="O285" s="10">
        <f t="shared" si="60"/>
        <v>25330</v>
      </c>
      <c r="P285" s="442">
        <v>25330</v>
      </c>
      <c r="Q285" s="10">
        <f t="shared" si="55"/>
        <v>5017.2132738095233</v>
      </c>
      <c r="R285" s="14">
        <f t="shared" si="56"/>
        <v>20312.786726190476</v>
      </c>
      <c r="S285" s="2">
        <f t="shared" si="57"/>
        <v>-15234.590044642857</v>
      </c>
      <c r="T285" s="130">
        <f t="shared" si="58"/>
        <v>-139032.06040178571</v>
      </c>
      <c r="U285" s="437">
        <f t="shared" si="59"/>
        <v>-27.711012630766632</v>
      </c>
      <c r="V285" s="126"/>
      <c r="W285" s="526"/>
      <c r="X285" s="526"/>
      <c r="Y285" s="526"/>
      <c r="Z285" s="526"/>
      <c r="AA285" s="526"/>
      <c r="AB285" s="526"/>
      <c r="AC285" s="423"/>
      <c r="AD285" s="423"/>
      <c r="AE285" s="423"/>
      <c r="AF285" s="423"/>
      <c r="AG285" s="423"/>
    </row>
    <row r="286" spans="1:33" x14ac:dyDescent="0.25">
      <c r="A286" s="49">
        <f>+'A) Base RI'!A288</f>
        <v>5904</v>
      </c>
      <c r="B286" s="484" t="str">
        <f>+'A) Base RI'!B288</f>
        <v>Chamblon</v>
      </c>
      <c r="C286" s="304">
        <f>+'D) Ecrêtage'!C286</f>
        <v>21694.056363636359</v>
      </c>
      <c r="D286" s="440">
        <v>0</v>
      </c>
      <c r="E286" s="440">
        <f t="shared" si="49"/>
        <v>59114</v>
      </c>
      <c r="F286" s="518">
        <f t="shared" si="50"/>
        <v>2.7248938146527113</v>
      </c>
      <c r="G286" s="440">
        <v>59114</v>
      </c>
      <c r="H286" s="440">
        <v>24004</v>
      </c>
      <c r="I286" s="438">
        <v>15744</v>
      </c>
      <c r="J286" s="304">
        <f t="shared" si="51"/>
        <v>98862</v>
      </c>
      <c r="K286" s="284">
        <f t="shared" si="52"/>
        <v>173552.45090909087</v>
      </c>
      <c r="L286" s="10">
        <f t="shared" si="53"/>
        <v>0</v>
      </c>
      <c r="M286" s="301">
        <f t="shared" si="54"/>
        <v>0</v>
      </c>
      <c r="N286" s="10">
        <v>0</v>
      </c>
      <c r="O286" s="10">
        <f t="shared" si="60"/>
        <v>415</v>
      </c>
      <c r="P286" s="442">
        <v>415</v>
      </c>
      <c r="Q286" s="10">
        <f t="shared" si="55"/>
        <v>21694.056363636359</v>
      </c>
      <c r="R286" s="14">
        <f t="shared" si="56"/>
        <v>0</v>
      </c>
      <c r="S286" s="2">
        <f t="shared" si="57"/>
        <v>0</v>
      </c>
      <c r="T286" s="130">
        <f t="shared" si="58"/>
        <v>0</v>
      </c>
      <c r="U286" s="437">
        <f t="shared" si="59"/>
        <v>0</v>
      </c>
      <c r="V286" s="126"/>
      <c r="W286" s="526"/>
      <c r="X286" s="526"/>
      <c r="Y286" s="526"/>
      <c r="Z286" s="526"/>
      <c r="AA286" s="526"/>
      <c r="AB286" s="526"/>
      <c r="AC286" s="423"/>
      <c r="AD286" s="423"/>
      <c r="AE286" s="423"/>
      <c r="AF286" s="423"/>
      <c r="AG286" s="423"/>
    </row>
    <row r="287" spans="1:33" x14ac:dyDescent="0.25">
      <c r="A287" s="49">
        <f>+'A) Base RI'!A289</f>
        <v>5905</v>
      </c>
      <c r="B287" s="484" t="str">
        <f>+'A) Base RI'!B289</f>
        <v>Champvent</v>
      </c>
      <c r="C287" s="304">
        <f>+'D) Ecrêtage'!C287</f>
        <v>21673.362816901412</v>
      </c>
      <c r="D287" s="440">
        <v>12352</v>
      </c>
      <c r="E287" s="440">
        <f t="shared" si="49"/>
        <v>174119</v>
      </c>
      <c r="F287" s="518">
        <f t="shared" si="50"/>
        <v>8.0337786743558688</v>
      </c>
      <c r="G287" s="440">
        <v>186471</v>
      </c>
      <c r="H287" s="440">
        <v>76567</v>
      </c>
      <c r="I287" s="438">
        <v>28725</v>
      </c>
      <c r="J287" s="304">
        <f t="shared" si="51"/>
        <v>291763</v>
      </c>
      <c r="K287" s="284">
        <f t="shared" si="52"/>
        <v>173386.90253521129</v>
      </c>
      <c r="L287" s="10">
        <f t="shared" si="53"/>
        <v>118376.09746478871</v>
      </c>
      <c r="M287" s="301">
        <f t="shared" si="54"/>
        <v>-88782.073098591529</v>
      </c>
      <c r="N287" s="10">
        <v>0</v>
      </c>
      <c r="O287" s="10">
        <f t="shared" si="60"/>
        <v>-36255</v>
      </c>
      <c r="P287" s="442">
        <v>-36255</v>
      </c>
      <c r="Q287" s="10">
        <f t="shared" si="55"/>
        <v>21673.362816901412</v>
      </c>
      <c r="R287" s="14">
        <f t="shared" si="56"/>
        <v>0</v>
      </c>
      <c r="S287" s="2">
        <f t="shared" si="57"/>
        <v>0</v>
      </c>
      <c r="T287" s="130">
        <f t="shared" si="58"/>
        <v>-88782.073098591529</v>
      </c>
      <c r="U287" s="437">
        <f t="shared" si="59"/>
        <v>-4.0963681477872518</v>
      </c>
      <c r="V287" s="126"/>
      <c r="W287" s="526"/>
      <c r="X287" s="526"/>
      <c r="Y287" s="526"/>
      <c r="Z287" s="526"/>
      <c r="AA287" s="526"/>
      <c r="AB287" s="526"/>
      <c r="AC287" s="423"/>
      <c r="AD287" s="423"/>
      <c r="AE287" s="423"/>
      <c r="AF287" s="423"/>
      <c r="AG287" s="423"/>
    </row>
    <row r="288" spans="1:33" x14ac:dyDescent="0.25">
      <c r="A288" s="49">
        <f>+'A) Base RI'!A290</f>
        <v>5907</v>
      </c>
      <c r="B288" s="484" t="str">
        <f>+'A) Base RI'!B290</f>
        <v>Chavannes-le-Chêne</v>
      </c>
      <c r="C288" s="304">
        <f>+'D) Ecrêtage'!C288</f>
        <v>9891.0456000000013</v>
      </c>
      <c r="D288" s="440">
        <v>54400</v>
      </c>
      <c r="E288" s="440">
        <f t="shared" si="49"/>
        <v>47939</v>
      </c>
      <c r="F288" s="518">
        <f t="shared" si="50"/>
        <v>4.8467070053746388</v>
      </c>
      <c r="G288" s="440">
        <v>102339</v>
      </c>
      <c r="H288" s="440">
        <v>13824</v>
      </c>
      <c r="I288" s="438">
        <v>27596</v>
      </c>
      <c r="J288" s="304">
        <f t="shared" si="51"/>
        <v>143759</v>
      </c>
      <c r="K288" s="284">
        <f t="shared" si="52"/>
        <v>79128.36480000001</v>
      </c>
      <c r="L288" s="10">
        <f t="shared" si="53"/>
        <v>64630.63519999999</v>
      </c>
      <c r="M288" s="301">
        <f t="shared" si="54"/>
        <v>-48472.976399999992</v>
      </c>
      <c r="N288" s="10">
        <v>0</v>
      </c>
      <c r="O288" s="10">
        <f t="shared" si="60"/>
        <v>8149</v>
      </c>
      <c r="P288" s="442">
        <v>8149</v>
      </c>
      <c r="Q288" s="10">
        <f t="shared" si="55"/>
        <v>9891.0456000000013</v>
      </c>
      <c r="R288" s="14">
        <f t="shared" si="56"/>
        <v>0</v>
      </c>
      <c r="S288" s="2">
        <f t="shared" si="57"/>
        <v>0</v>
      </c>
      <c r="T288" s="130">
        <f t="shared" si="58"/>
        <v>-48472.976399999992</v>
      </c>
      <c r="U288" s="437">
        <f t="shared" si="59"/>
        <v>-4.9006928448494858</v>
      </c>
      <c r="V288" s="126"/>
      <c r="W288" s="526"/>
      <c r="X288" s="526"/>
      <c r="Y288" s="526"/>
      <c r="Z288" s="526"/>
      <c r="AA288" s="526"/>
      <c r="AB288" s="526"/>
      <c r="AC288" s="423"/>
      <c r="AD288" s="423"/>
      <c r="AE288" s="423"/>
      <c r="AF288" s="423"/>
      <c r="AG288" s="423"/>
    </row>
    <row r="289" spans="1:33" x14ac:dyDescent="0.25">
      <c r="A289" s="49">
        <f>+'A) Base RI'!A291</f>
        <v>5908</v>
      </c>
      <c r="B289" s="484" t="str">
        <f>+'A) Base RI'!B291</f>
        <v>Chêne-Pâquier</v>
      </c>
      <c r="C289" s="304">
        <f>+'D) Ecrêtage'!C289</f>
        <v>6502.4863291139245</v>
      </c>
      <c r="D289" s="440">
        <v>4020</v>
      </c>
      <c r="E289" s="440">
        <f t="shared" si="49"/>
        <v>8162</v>
      </c>
      <c r="F289" s="518">
        <f t="shared" si="50"/>
        <v>1.2552121737581896</v>
      </c>
      <c r="G289" s="440">
        <v>12182</v>
      </c>
      <c r="H289" s="440">
        <v>6801</v>
      </c>
      <c r="I289" s="438">
        <v>12705</v>
      </c>
      <c r="J289" s="304">
        <f t="shared" si="51"/>
        <v>31688</v>
      </c>
      <c r="K289" s="284">
        <f t="shared" si="52"/>
        <v>52019.890632911396</v>
      </c>
      <c r="L289" s="10">
        <f t="shared" si="53"/>
        <v>0</v>
      </c>
      <c r="M289" s="301">
        <f t="shared" si="54"/>
        <v>0</v>
      </c>
      <c r="N289" s="10">
        <v>0</v>
      </c>
      <c r="O289" s="10">
        <f t="shared" si="60"/>
        <v>15472</v>
      </c>
      <c r="P289" s="442">
        <v>15472</v>
      </c>
      <c r="Q289" s="10">
        <f t="shared" si="55"/>
        <v>6502.4863291139245</v>
      </c>
      <c r="R289" s="14">
        <f t="shared" si="56"/>
        <v>8969.5136708860755</v>
      </c>
      <c r="S289" s="2">
        <f t="shared" si="57"/>
        <v>-6727.1352531645571</v>
      </c>
      <c r="T289" s="130">
        <f t="shared" si="58"/>
        <v>-6727.1352531645571</v>
      </c>
      <c r="U289" s="437">
        <f t="shared" si="59"/>
        <v>-1.0345481578399942</v>
      </c>
      <c r="V289" s="126"/>
      <c r="W289" s="526"/>
      <c r="X289" s="526"/>
      <c r="Y289" s="526"/>
      <c r="Z289" s="526"/>
      <c r="AA289" s="526"/>
      <c r="AB289" s="526"/>
      <c r="AC289" s="423"/>
      <c r="AD289" s="423"/>
      <c r="AE289" s="423"/>
      <c r="AF289" s="423"/>
      <c r="AG289" s="423"/>
    </row>
    <row r="290" spans="1:33" x14ac:dyDescent="0.25">
      <c r="A290" s="49">
        <f>+'A) Base RI'!A292</f>
        <v>5909</v>
      </c>
      <c r="B290" s="484" t="str">
        <f>+'A) Base RI'!B292</f>
        <v>Cheseaux-Noréaz</v>
      </c>
      <c r="C290" s="304">
        <f>+'D) Ecrêtage'!C290</f>
        <v>39259.116417910453</v>
      </c>
      <c r="D290" s="440">
        <v>121827</v>
      </c>
      <c r="E290" s="440">
        <f t="shared" si="49"/>
        <v>65326</v>
      </c>
      <c r="F290" s="518">
        <f t="shared" si="50"/>
        <v>1.6639702051520839</v>
      </c>
      <c r="G290" s="440">
        <v>187153</v>
      </c>
      <c r="H290" s="440">
        <v>136483</v>
      </c>
      <c r="I290" s="438">
        <v>28233</v>
      </c>
      <c r="J290" s="304">
        <f t="shared" si="51"/>
        <v>351869</v>
      </c>
      <c r="K290" s="284">
        <f t="shared" si="52"/>
        <v>314072.93134328362</v>
      </c>
      <c r="L290" s="10">
        <f t="shared" si="53"/>
        <v>37796.068656716379</v>
      </c>
      <c r="M290" s="301">
        <f t="shared" si="54"/>
        <v>-28347.051492537285</v>
      </c>
      <c r="N290" s="10">
        <v>0</v>
      </c>
      <c r="O290" s="10">
        <f t="shared" si="60"/>
        <v>14877</v>
      </c>
      <c r="P290" s="442">
        <v>14877</v>
      </c>
      <c r="Q290" s="10">
        <f t="shared" si="55"/>
        <v>39259.116417910453</v>
      </c>
      <c r="R290" s="14">
        <f t="shared" si="56"/>
        <v>0</v>
      </c>
      <c r="S290" s="2">
        <f t="shared" si="57"/>
        <v>0</v>
      </c>
      <c r="T290" s="130">
        <f t="shared" si="58"/>
        <v>-28347.051492537285</v>
      </c>
      <c r="U290" s="437">
        <f t="shared" si="59"/>
        <v>-0.72205016513323872</v>
      </c>
      <c r="V290" s="126"/>
      <c r="W290" s="526"/>
      <c r="X290" s="526"/>
      <c r="Y290" s="526"/>
      <c r="Z290" s="526"/>
      <c r="AA290" s="526"/>
      <c r="AB290" s="526"/>
      <c r="AC290" s="423"/>
      <c r="AD290" s="423"/>
      <c r="AE290" s="423"/>
      <c r="AF290" s="423"/>
      <c r="AG290" s="423"/>
    </row>
    <row r="291" spans="1:33" x14ac:dyDescent="0.25">
      <c r="A291" s="49">
        <f>+'A) Base RI'!A293</f>
        <v>5910</v>
      </c>
      <c r="B291" s="484" t="str">
        <f>+'A) Base RI'!B293</f>
        <v>Cronay</v>
      </c>
      <c r="C291" s="304">
        <f>+'D) Ecrêtage'!C291</f>
        <v>9976.0020779220758</v>
      </c>
      <c r="D291" s="440">
        <v>6000</v>
      </c>
      <c r="E291" s="440">
        <f t="shared" si="49"/>
        <v>61135</v>
      </c>
      <c r="F291" s="518">
        <f t="shared" si="50"/>
        <v>6.1282064220193053</v>
      </c>
      <c r="G291" s="440">
        <v>67135</v>
      </c>
      <c r="H291" s="440">
        <v>26271</v>
      </c>
      <c r="I291" s="438">
        <v>34228</v>
      </c>
      <c r="J291" s="304">
        <f t="shared" si="51"/>
        <v>127634</v>
      </c>
      <c r="K291" s="284">
        <f t="shared" si="52"/>
        <v>79808.016623376607</v>
      </c>
      <c r="L291" s="10">
        <f t="shared" si="53"/>
        <v>47825.983376623393</v>
      </c>
      <c r="M291" s="301">
        <f t="shared" si="54"/>
        <v>-35869.487532467545</v>
      </c>
      <c r="N291" s="10">
        <v>0</v>
      </c>
      <c r="O291" s="10">
        <f t="shared" si="60"/>
        <v>95922</v>
      </c>
      <c r="P291" s="442">
        <v>95922</v>
      </c>
      <c r="Q291" s="10">
        <f t="shared" si="55"/>
        <v>9976.0020779220758</v>
      </c>
      <c r="R291" s="14">
        <f t="shared" si="56"/>
        <v>85945.997922077921</v>
      </c>
      <c r="S291" s="2">
        <f t="shared" si="57"/>
        <v>-64459.49844155844</v>
      </c>
      <c r="T291" s="130">
        <f t="shared" si="58"/>
        <v>-100328.98597402599</v>
      </c>
      <c r="U291" s="437">
        <f t="shared" si="59"/>
        <v>-10.057033387760054</v>
      </c>
      <c r="V291" s="126"/>
      <c r="W291" s="526"/>
      <c r="X291" s="526"/>
      <c r="Y291" s="526"/>
      <c r="Z291" s="526"/>
      <c r="AA291" s="526"/>
      <c r="AB291" s="526"/>
      <c r="AC291" s="423"/>
      <c r="AD291" s="423"/>
      <c r="AE291" s="423"/>
      <c r="AF291" s="423"/>
      <c r="AG291" s="423"/>
    </row>
    <row r="292" spans="1:33" x14ac:dyDescent="0.25">
      <c r="A292" s="49">
        <f>+'A) Base RI'!A294</f>
        <v>5911</v>
      </c>
      <c r="B292" s="484" t="str">
        <f>+'A) Base RI'!B294</f>
        <v>Cuarny</v>
      </c>
      <c r="C292" s="304">
        <f>+'D) Ecrêtage'!C292</f>
        <v>6939.4670129870128</v>
      </c>
      <c r="D292" s="440">
        <v>0</v>
      </c>
      <c r="E292" s="440">
        <f t="shared" si="49"/>
        <v>29830</v>
      </c>
      <c r="F292" s="518">
        <f t="shared" si="50"/>
        <v>4.2986010228413818</v>
      </c>
      <c r="G292" s="440">
        <v>29830</v>
      </c>
      <c r="H292" s="440">
        <v>10624</v>
      </c>
      <c r="I292" s="438">
        <v>16690</v>
      </c>
      <c r="J292" s="304">
        <f t="shared" si="51"/>
        <v>57144</v>
      </c>
      <c r="K292" s="284">
        <f t="shared" si="52"/>
        <v>55515.736103896103</v>
      </c>
      <c r="L292" s="10">
        <f t="shared" si="53"/>
        <v>1628.2638961038974</v>
      </c>
      <c r="M292" s="301">
        <f t="shared" si="54"/>
        <v>-1221.1979220779231</v>
      </c>
      <c r="N292" s="10">
        <v>0</v>
      </c>
      <c r="O292" s="10">
        <f t="shared" si="60"/>
        <v>16671</v>
      </c>
      <c r="P292" s="442">
        <v>16671</v>
      </c>
      <c r="Q292" s="10">
        <f t="shared" si="55"/>
        <v>6939.4670129870128</v>
      </c>
      <c r="R292" s="14">
        <f t="shared" si="56"/>
        <v>9731.5329870129863</v>
      </c>
      <c r="S292" s="2">
        <f t="shared" si="57"/>
        <v>-7298.6497402597397</v>
      </c>
      <c r="T292" s="130">
        <f t="shared" si="58"/>
        <v>-8519.8476623376628</v>
      </c>
      <c r="U292" s="437">
        <f t="shared" si="59"/>
        <v>-1.2277380447796657</v>
      </c>
      <c r="V292" s="126"/>
      <c r="W292" s="526"/>
      <c r="X292" s="526"/>
      <c r="Y292" s="526"/>
      <c r="Z292" s="526"/>
      <c r="AA292" s="526"/>
      <c r="AB292" s="526"/>
      <c r="AC292" s="423"/>
      <c r="AD292" s="423"/>
      <c r="AE292" s="423"/>
      <c r="AF292" s="423"/>
      <c r="AG292" s="423"/>
    </row>
    <row r="293" spans="1:33" x14ac:dyDescent="0.25">
      <c r="A293" s="49">
        <f>+'A) Base RI'!A295</f>
        <v>5912</v>
      </c>
      <c r="B293" s="484" t="str">
        <f>+'A) Base RI'!B295</f>
        <v>Démoret</v>
      </c>
      <c r="C293" s="304">
        <f>+'D) Ecrêtage'!C293</f>
        <v>4070.6311111111104</v>
      </c>
      <c r="D293" s="440">
        <v>0</v>
      </c>
      <c r="E293" s="440">
        <f t="shared" si="49"/>
        <v>7689</v>
      </c>
      <c r="F293" s="518">
        <f t="shared" si="50"/>
        <v>1.8888962890821193</v>
      </c>
      <c r="G293" s="440">
        <v>7689</v>
      </c>
      <c r="H293" s="440">
        <v>6934</v>
      </c>
      <c r="I293" s="438">
        <v>11824</v>
      </c>
      <c r="J293" s="304">
        <f t="shared" si="51"/>
        <v>26447</v>
      </c>
      <c r="K293" s="284">
        <f t="shared" si="52"/>
        <v>32565.048888888883</v>
      </c>
      <c r="L293" s="10">
        <f t="shared" si="53"/>
        <v>0</v>
      </c>
      <c r="M293" s="301">
        <f t="shared" si="54"/>
        <v>0</v>
      </c>
      <c r="N293" s="10">
        <v>0</v>
      </c>
      <c r="O293" s="10">
        <f t="shared" si="60"/>
        <v>18618</v>
      </c>
      <c r="P293" s="442">
        <v>18618</v>
      </c>
      <c r="Q293" s="10">
        <f t="shared" si="55"/>
        <v>4070.6311111111104</v>
      </c>
      <c r="R293" s="14">
        <f t="shared" si="56"/>
        <v>14547.36888888889</v>
      </c>
      <c r="S293" s="2">
        <f t="shared" si="57"/>
        <v>-10910.526666666668</v>
      </c>
      <c r="T293" s="130">
        <f t="shared" si="58"/>
        <v>-10910.526666666668</v>
      </c>
      <c r="U293" s="437">
        <f t="shared" si="59"/>
        <v>-2.6803034637271654</v>
      </c>
      <c r="V293" s="126"/>
      <c r="W293" s="526"/>
      <c r="X293" s="526"/>
      <c r="Y293" s="526"/>
      <c r="Z293" s="526"/>
      <c r="AA293" s="526"/>
      <c r="AB293" s="526"/>
      <c r="AC293" s="423"/>
      <c r="AD293" s="423"/>
      <c r="AE293" s="423"/>
      <c r="AF293" s="423"/>
      <c r="AG293" s="423"/>
    </row>
    <row r="294" spans="1:33" x14ac:dyDescent="0.25">
      <c r="A294" s="49">
        <f>+'A) Base RI'!A296</f>
        <v>5913</v>
      </c>
      <c r="B294" s="484" t="str">
        <f>+'A) Base RI'!B296</f>
        <v>Donneloye</v>
      </c>
      <c r="C294" s="304">
        <f>+'D) Ecrêtage'!C294</f>
        <v>19880.828493150682</v>
      </c>
      <c r="D294" s="440">
        <v>25327</v>
      </c>
      <c r="E294" s="440">
        <f t="shared" si="49"/>
        <v>22884</v>
      </c>
      <c r="F294" s="518">
        <f t="shared" si="50"/>
        <v>1.1510586698076475</v>
      </c>
      <c r="G294" s="440">
        <v>48211</v>
      </c>
      <c r="H294" s="440">
        <v>54875</v>
      </c>
      <c r="I294" s="438">
        <v>66202</v>
      </c>
      <c r="J294" s="304">
        <f t="shared" si="51"/>
        <v>169288</v>
      </c>
      <c r="K294" s="284">
        <f t="shared" si="52"/>
        <v>159046.62794520546</v>
      </c>
      <c r="L294" s="10">
        <f t="shared" si="53"/>
        <v>10241.372054794541</v>
      </c>
      <c r="M294" s="301">
        <f t="shared" si="54"/>
        <v>-7681.029041095906</v>
      </c>
      <c r="N294" s="10">
        <v>0</v>
      </c>
      <c r="O294" s="10">
        <f t="shared" si="60"/>
        <v>66885</v>
      </c>
      <c r="P294" s="442">
        <v>66885</v>
      </c>
      <c r="Q294" s="10">
        <f t="shared" si="55"/>
        <v>19880.828493150682</v>
      </c>
      <c r="R294" s="14">
        <f t="shared" si="56"/>
        <v>47004.171506849321</v>
      </c>
      <c r="S294" s="2">
        <f t="shared" si="57"/>
        <v>-35253.128630136991</v>
      </c>
      <c r="T294" s="130">
        <f t="shared" si="58"/>
        <v>-42934.157671232897</v>
      </c>
      <c r="U294" s="437">
        <f t="shared" si="59"/>
        <v>-2.1595758791453044</v>
      </c>
      <c r="V294" s="126"/>
      <c r="W294" s="526"/>
      <c r="X294" s="526"/>
      <c r="Y294" s="526"/>
      <c r="Z294" s="526"/>
      <c r="AA294" s="526"/>
      <c r="AB294" s="526"/>
      <c r="AC294" s="423"/>
      <c r="AD294" s="423"/>
      <c r="AE294" s="423"/>
      <c r="AF294" s="423"/>
      <c r="AG294" s="423"/>
    </row>
    <row r="295" spans="1:33" x14ac:dyDescent="0.25">
      <c r="A295" s="49">
        <f>+'A) Base RI'!A297</f>
        <v>5914</v>
      </c>
      <c r="B295" s="484" t="str">
        <f>+'A) Base RI'!B297</f>
        <v>Ependes</v>
      </c>
      <c r="C295" s="304">
        <f>+'D) Ecrêtage'!C295</f>
        <v>10662.074965986394</v>
      </c>
      <c r="D295" s="440">
        <v>23259</v>
      </c>
      <c r="E295" s="440">
        <f t="shared" si="49"/>
        <v>53060</v>
      </c>
      <c r="F295" s="518">
        <f t="shared" si="50"/>
        <v>4.9765172510294002</v>
      </c>
      <c r="G295" s="440">
        <v>76319</v>
      </c>
      <c r="H295" s="440">
        <v>39673</v>
      </c>
      <c r="I295" s="438">
        <v>48088</v>
      </c>
      <c r="J295" s="304">
        <f t="shared" si="51"/>
        <v>164080</v>
      </c>
      <c r="K295" s="284">
        <f t="shared" si="52"/>
        <v>85296.599727891153</v>
      </c>
      <c r="L295" s="10">
        <f t="shared" si="53"/>
        <v>78783.400272108847</v>
      </c>
      <c r="M295" s="301">
        <f t="shared" si="54"/>
        <v>-59087.550204081635</v>
      </c>
      <c r="N295" s="10">
        <v>0</v>
      </c>
      <c r="O295" s="10">
        <f t="shared" si="60"/>
        <v>18017</v>
      </c>
      <c r="P295" s="442">
        <v>18017</v>
      </c>
      <c r="Q295" s="10">
        <f t="shared" si="55"/>
        <v>10662.074965986394</v>
      </c>
      <c r="R295" s="14">
        <f t="shared" si="56"/>
        <v>7354.9250340136059</v>
      </c>
      <c r="S295" s="2">
        <f t="shared" si="57"/>
        <v>-5516.1937755102044</v>
      </c>
      <c r="T295" s="130">
        <f t="shared" si="58"/>
        <v>-64603.74397959184</v>
      </c>
      <c r="U295" s="437">
        <f t="shared" si="59"/>
        <v>-6.0592093176691586</v>
      </c>
      <c r="V295" s="126"/>
      <c r="W295" s="526"/>
      <c r="X295" s="526"/>
      <c r="Y295" s="526"/>
      <c r="Z295" s="526"/>
      <c r="AA295" s="526"/>
      <c r="AB295" s="526"/>
      <c r="AC295" s="423"/>
      <c r="AD295" s="423"/>
      <c r="AE295" s="423"/>
      <c r="AF295" s="423"/>
      <c r="AG295" s="423"/>
    </row>
    <row r="296" spans="1:33" x14ac:dyDescent="0.25">
      <c r="A296" s="49">
        <f>+'A) Base RI'!A298</f>
        <v>5919</v>
      </c>
      <c r="B296" s="484" t="str">
        <f>+'A) Base RI'!B298</f>
        <v>Mathod</v>
      </c>
      <c r="C296" s="304">
        <f>+'D) Ecrêtage'!C296</f>
        <v>21565.598078703704</v>
      </c>
      <c r="D296" s="440">
        <v>109587</v>
      </c>
      <c r="E296" s="440">
        <f t="shared" si="49"/>
        <v>279157</v>
      </c>
      <c r="F296" s="518">
        <f t="shared" si="50"/>
        <v>12.94455173379453</v>
      </c>
      <c r="G296" s="440">
        <v>388744</v>
      </c>
      <c r="H296" s="440">
        <v>40073</v>
      </c>
      <c r="I296" s="438">
        <v>21898</v>
      </c>
      <c r="J296" s="304">
        <f t="shared" si="51"/>
        <v>450715</v>
      </c>
      <c r="K296" s="284">
        <f t="shared" si="52"/>
        <v>172524.78462962963</v>
      </c>
      <c r="L296" s="10">
        <f t="shared" si="53"/>
        <v>278190.21537037037</v>
      </c>
      <c r="M296" s="301">
        <f t="shared" si="54"/>
        <v>-208642.66152777779</v>
      </c>
      <c r="N296" s="10">
        <v>0</v>
      </c>
      <c r="O296" s="10">
        <f t="shared" si="60"/>
        <v>4177</v>
      </c>
      <c r="P296" s="442">
        <v>4177</v>
      </c>
      <c r="Q296" s="10">
        <f t="shared" si="55"/>
        <v>21565.598078703704</v>
      </c>
      <c r="R296" s="14">
        <f t="shared" si="56"/>
        <v>0</v>
      </c>
      <c r="S296" s="2">
        <f t="shared" si="57"/>
        <v>0</v>
      </c>
      <c r="T296" s="130">
        <f t="shared" si="58"/>
        <v>-208642.66152777779</v>
      </c>
      <c r="U296" s="437">
        <f t="shared" si="59"/>
        <v>-9.6747913397224536</v>
      </c>
      <c r="V296" s="126"/>
      <c r="W296" s="526"/>
      <c r="X296" s="526"/>
      <c r="Y296" s="526"/>
      <c r="Z296" s="526"/>
      <c r="AA296" s="526"/>
      <c r="AB296" s="526"/>
      <c r="AC296" s="423"/>
      <c r="AD296" s="423"/>
      <c r="AE296" s="423"/>
      <c r="AF296" s="423"/>
      <c r="AG296" s="423"/>
    </row>
    <row r="297" spans="1:33" x14ac:dyDescent="0.25">
      <c r="A297" s="49">
        <f>+'A) Base RI'!A299</f>
        <v>5921</v>
      </c>
      <c r="B297" s="484" t="str">
        <f>+'A) Base RI'!B299</f>
        <v>Molondin</v>
      </c>
      <c r="C297" s="304">
        <f>+'D) Ecrêtage'!C297</f>
        <v>5675.8933333333334</v>
      </c>
      <c r="D297" s="440">
        <v>0</v>
      </c>
      <c r="E297" s="440">
        <f t="shared" si="49"/>
        <v>8642</v>
      </c>
      <c r="F297" s="518">
        <f t="shared" si="50"/>
        <v>1.5225797055147854</v>
      </c>
      <c r="G297" s="440">
        <v>8642</v>
      </c>
      <c r="H297" s="440">
        <v>10668</v>
      </c>
      <c r="I297" s="438">
        <v>19401</v>
      </c>
      <c r="J297" s="304">
        <f t="shared" si="51"/>
        <v>38711</v>
      </c>
      <c r="K297" s="284">
        <f t="shared" si="52"/>
        <v>45407.146666666667</v>
      </c>
      <c r="L297" s="10">
        <f t="shared" si="53"/>
        <v>0</v>
      </c>
      <c r="M297" s="301">
        <f t="shared" si="54"/>
        <v>0</v>
      </c>
      <c r="N297" s="10">
        <v>0</v>
      </c>
      <c r="O297" s="10">
        <f t="shared" si="60"/>
        <v>91431</v>
      </c>
      <c r="P297" s="442">
        <v>91431</v>
      </c>
      <c r="Q297" s="10">
        <f t="shared" si="55"/>
        <v>5675.8933333333334</v>
      </c>
      <c r="R297" s="14">
        <f t="shared" si="56"/>
        <v>85755.106666666659</v>
      </c>
      <c r="S297" s="2">
        <f t="shared" si="57"/>
        <v>-64316.329999999994</v>
      </c>
      <c r="T297" s="130">
        <f t="shared" si="58"/>
        <v>-64316.329999999994</v>
      </c>
      <c r="U297" s="437">
        <f t="shared" si="59"/>
        <v>-11.331490255865742</v>
      </c>
      <c r="V297" s="126"/>
      <c r="W297" s="526"/>
      <c r="X297" s="526"/>
      <c r="Y297" s="526"/>
      <c r="Z297" s="526"/>
      <c r="AA297" s="526"/>
      <c r="AB297" s="526"/>
      <c r="AC297" s="423"/>
      <c r="AD297" s="423"/>
      <c r="AE297" s="423"/>
      <c r="AF297" s="423"/>
      <c r="AG297" s="423"/>
    </row>
    <row r="298" spans="1:33" x14ac:dyDescent="0.25">
      <c r="A298" s="49">
        <f>+'A) Base RI'!A300</f>
        <v>5922</v>
      </c>
      <c r="B298" s="484" t="str">
        <f>+'A) Base RI'!B300</f>
        <v>Montagny-près-Yverdon</v>
      </c>
      <c r="C298" s="304">
        <f>+'D) Ecrêtage'!C298</f>
        <v>33326.398149606292</v>
      </c>
      <c r="D298" s="440">
        <v>35800</v>
      </c>
      <c r="E298" s="440">
        <f t="shared" si="49"/>
        <v>60406</v>
      </c>
      <c r="F298" s="518">
        <f t="shared" si="50"/>
        <v>1.8125571124977278</v>
      </c>
      <c r="G298" s="440">
        <v>96206</v>
      </c>
      <c r="H298" s="440">
        <v>291601</v>
      </c>
      <c r="I298" s="438">
        <v>90049</v>
      </c>
      <c r="J298" s="304">
        <f t="shared" si="51"/>
        <v>477856</v>
      </c>
      <c r="K298" s="284">
        <f t="shared" si="52"/>
        <v>266611.18519685033</v>
      </c>
      <c r="L298" s="10">
        <f t="shared" si="53"/>
        <v>211244.81480314967</v>
      </c>
      <c r="M298" s="301">
        <f t="shared" si="54"/>
        <v>-158433.61110236225</v>
      </c>
      <c r="N298" s="10">
        <v>0</v>
      </c>
      <c r="O298" s="10">
        <f t="shared" si="60"/>
        <v>1061</v>
      </c>
      <c r="P298" s="442">
        <v>1061</v>
      </c>
      <c r="Q298" s="10">
        <f t="shared" si="55"/>
        <v>33326.398149606292</v>
      </c>
      <c r="R298" s="14">
        <f t="shared" si="56"/>
        <v>0</v>
      </c>
      <c r="S298" s="2">
        <f t="shared" si="57"/>
        <v>0</v>
      </c>
      <c r="T298" s="130">
        <f t="shared" si="58"/>
        <v>-158433.61110236225</v>
      </c>
      <c r="U298" s="437">
        <f t="shared" si="59"/>
        <v>-4.753997428438991</v>
      </c>
      <c r="V298" s="126"/>
      <c r="W298" s="526"/>
      <c r="X298" s="526"/>
      <c r="Y298" s="526"/>
      <c r="Z298" s="526"/>
      <c r="AA298" s="526"/>
      <c r="AB298" s="526"/>
      <c r="AC298" s="423"/>
      <c r="AD298" s="423"/>
      <c r="AE298" s="423"/>
      <c r="AF298" s="423"/>
      <c r="AG298" s="423"/>
    </row>
    <row r="299" spans="1:33" x14ac:dyDescent="0.25">
      <c r="A299" s="49">
        <f>+'A) Base RI'!A301</f>
        <v>5923</v>
      </c>
      <c r="B299" s="484" t="str">
        <f>+'A) Base RI'!B301</f>
        <v>Oppens</v>
      </c>
      <c r="C299" s="304">
        <f>+'D) Ecrêtage'!C299</f>
        <v>4799.240617283951</v>
      </c>
      <c r="D299" s="440">
        <v>0</v>
      </c>
      <c r="E299" s="440">
        <f t="shared" si="49"/>
        <v>74994</v>
      </c>
      <c r="F299" s="518">
        <f t="shared" si="50"/>
        <v>15.626222142294166</v>
      </c>
      <c r="G299" s="440">
        <v>74994</v>
      </c>
      <c r="H299" s="440">
        <v>8979</v>
      </c>
      <c r="I299" s="438">
        <v>16248</v>
      </c>
      <c r="J299" s="304">
        <f t="shared" si="51"/>
        <v>100221</v>
      </c>
      <c r="K299" s="284">
        <f t="shared" si="52"/>
        <v>38393.924938271608</v>
      </c>
      <c r="L299" s="10">
        <f t="shared" si="53"/>
        <v>61827.075061728392</v>
      </c>
      <c r="M299" s="301">
        <f t="shared" si="54"/>
        <v>-46370.306296296294</v>
      </c>
      <c r="N299" s="10">
        <v>0</v>
      </c>
      <c r="O299" s="10">
        <f t="shared" si="60"/>
        <v>21731</v>
      </c>
      <c r="P299" s="442">
        <v>21731</v>
      </c>
      <c r="Q299" s="10">
        <f t="shared" si="55"/>
        <v>4799.240617283951</v>
      </c>
      <c r="R299" s="14">
        <f t="shared" si="56"/>
        <v>16931.759382716049</v>
      </c>
      <c r="S299" s="2">
        <f t="shared" si="57"/>
        <v>-12698.819537037038</v>
      </c>
      <c r="T299" s="130">
        <f t="shared" si="58"/>
        <v>-59069.125833333332</v>
      </c>
      <c r="U299" s="437">
        <f t="shared" si="59"/>
        <v>-12.308015068176037</v>
      </c>
      <c r="V299" s="126"/>
      <c r="W299" s="526"/>
      <c r="X299" s="526"/>
      <c r="Y299" s="526"/>
      <c r="Z299" s="526"/>
      <c r="AA299" s="526"/>
      <c r="AB299" s="526"/>
      <c r="AC299" s="423"/>
      <c r="AD299" s="423"/>
      <c r="AE299" s="423"/>
      <c r="AF299" s="423"/>
      <c r="AG299" s="423"/>
    </row>
    <row r="300" spans="1:33" x14ac:dyDescent="0.25">
      <c r="A300" s="49">
        <f>+'A) Base RI'!A302</f>
        <v>5924</v>
      </c>
      <c r="B300" s="484" t="str">
        <f>+'A) Base RI'!B302</f>
        <v>Orges</v>
      </c>
      <c r="C300" s="304">
        <f>+'D) Ecrêtage'!C300</f>
        <v>12525.425270270271</v>
      </c>
      <c r="D300" s="440">
        <v>0</v>
      </c>
      <c r="E300" s="440">
        <f t="shared" si="49"/>
        <v>39155</v>
      </c>
      <c r="F300" s="518">
        <f t="shared" si="50"/>
        <v>3.1260415638690024</v>
      </c>
      <c r="G300" s="440">
        <v>39155</v>
      </c>
      <c r="H300" s="440">
        <v>14758</v>
      </c>
      <c r="I300" s="438">
        <v>41958</v>
      </c>
      <c r="J300" s="304">
        <f t="shared" si="51"/>
        <v>95871</v>
      </c>
      <c r="K300" s="284">
        <f t="shared" si="52"/>
        <v>100203.40216216217</v>
      </c>
      <c r="L300" s="10">
        <f t="shared" si="53"/>
        <v>0</v>
      </c>
      <c r="M300" s="301">
        <f t="shared" si="54"/>
        <v>0</v>
      </c>
      <c r="N300" s="10">
        <v>0</v>
      </c>
      <c r="O300" s="10">
        <f t="shared" si="60"/>
        <v>-583</v>
      </c>
      <c r="P300" s="442">
        <v>-583</v>
      </c>
      <c r="Q300" s="10">
        <f t="shared" si="55"/>
        <v>12525.425270270271</v>
      </c>
      <c r="R300" s="14">
        <f t="shared" si="56"/>
        <v>0</v>
      </c>
      <c r="S300" s="2">
        <f t="shared" si="57"/>
        <v>0</v>
      </c>
      <c r="T300" s="130">
        <f t="shared" si="58"/>
        <v>0</v>
      </c>
      <c r="U300" s="437">
        <f t="shared" si="59"/>
        <v>0</v>
      </c>
      <c r="V300" s="126"/>
      <c r="W300" s="526"/>
      <c r="X300" s="526"/>
      <c r="Y300" s="526"/>
      <c r="Z300" s="526"/>
      <c r="AA300" s="526"/>
      <c r="AB300" s="526"/>
      <c r="AC300" s="423"/>
      <c r="AD300" s="423"/>
      <c r="AE300" s="423"/>
      <c r="AF300" s="423"/>
      <c r="AG300" s="423"/>
    </row>
    <row r="301" spans="1:33" x14ac:dyDescent="0.25">
      <c r="A301" s="49">
        <f>+'A) Base RI'!A303</f>
        <v>5925</v>
      </c>
      <c r="B301" s="484" t="str">
        <f>+'A) Base RI'!B303</f>
        <v>Orzens</v>
      </c>
      <c r="C301" s="304">
        <f>+'D) Ecrêtage'!C301</f>
        <v>5879.4616455696196</v>
      </c>
      <c r="D301" s="440">
        <v>0</v>
      </c>
      <c r="E301" s="440">
        <f t="shared" si="49"/>
        <v>28637</v>
      </c>
      <c r="F301" s="518">
        <f t="shared" si="50"/>
        <v>4.8706840398523532</v>
      </c>
      <c r="G301" s="440">
        <v>28637</v>
      </c>
      <c r="H301" s="440">
        <v>9246</v>
      </c>
      <c r="I301" s="438">
        <v>16732</v>
      </c>
      <c r="J301" s="304">
        <f t="shared" si="51"/>
        <v>54615</v>
      </c>
      <c r="K301" s="284">
        <f t="shared" si="52"/>
        <v>47035.693164556957</v>
      </c>
      <c r="L301" s="10">
        <f t="shared" si="53"/>
        <v>7579.3068354430434</v>
      </c>
      <c r="M301" s="301">
        <f t="shared" si="54"/>
        <v>-5684.4801265822825</v>
      </c>
      <c r="N301" s="10">
        <v>0</v>
      </c>
      <c r="O301" s="10">
        <f t="shared" si="60"/>
        <v>13637</v>
      </c>
      <c r="P301" s="442">
        <v>13637</v>
      </c>
      <c r="Q301" s="10">
        <f t="shared" si="55"/>
        <v>5879.4616455696196</v>
      </c>
      <c r="R301" s="14">
        <f t="shared" si="56"/>
        <v>7757.5383544303804</v>
      </c>
      <c r="S301" s="2">
        <f t="shared" si="57"/>
        <v>-5818.1537658227853</v>
      </c>
      <c r="T301" s="130">
        <f t="shared" si="58"/>
        <v>-11502.633892405069</v>
      </c>
      <c r="U301" s="437">
        <f t="shared" si="59"/>
        <v>-1.9564093765409127</v>
      </c>
      <c r="V301" s="126"/>
      <c r="W301" s="526"/>
      <c r="X301" s="526"/>
      <c r="Y301" s="526"/>
      <c r="Z301" s="526"/>
      <c r="AA301" s="526"/>
      <c r="AB301" s="526"/>
      <c r="AC301" s="423"/>
      <c r="AD301" s="423"/>
      <c r="AE301" s="423"/>
      <c r="AF301" s="423"/>
      <c r="AG301" s="423"/>
    </row>
    <row r="302" spans="1:33" x14ac:dyDescent="0.25">
      <c r="A302" s="49">
        <f>+'A) Base RI'!A304</f>
        <v>5926</v>
      </c>
      <c r="B302" s="484" t="str">
        <f>+'A) Base RI'!B304</f>
        <v>Pomy</v>
      </c>
      <c r="C302" s="304">
        <f>+'D) Ecrêtage'!C302</f>
        <v>27363.186197183099</v>
      </c>
      <c r="D302" s="440">
        <v>53200</v>
      </c>
      <c r="E302" s="440">
        <f t="shared" si="49"/>
        <v>45130</v>
      </c>
      <c r="F302" s="518">
        <f t="shared" si="50"/>
        <v>1.6492962360006858</v>
      </c>
      <c r="G302" s="440">
        <v>98330</v>
      </c>
      <c r="H302" s="440">
        <v>52874</v>
      </c>
      <c r="I302" s="438">
        <v>72356</v>
      </c>
      <c r="J302" s="304">
        <f t="shared" si="51"/>
        <v>223560</v>
      </c>
      <c r="K302" s="284">
        <f t="shared" si="52"/>
        <v>218905.48957746479</v>
      </c>
      <c r="L302" s="10">
        <f t="shared" si="53"/>
        <v>4654.5104225352115</v>
      </c>
      <c r="M302" s="301">
        <f t="shared" si="54"/>
        <v>-3490.8828169014087</v>
      </c>
      <c r="N302" s="10">
        <v>0</v>
      </c>
      <c r="O302" s="10">
        <f t="shared" si="60"/>
        <v>42626</v>
      </c>
      <c r="P302" s="442">
        <v>42626</v>
      </c>
      <c r="Q302" s="10">
        <f t="shared" si="55"/>
        <v>27363.186197183099</v>
      </c>
      <c r="R302" s="14">
        <f t="shared" si="56"/>
        <v>15262.813802816901</v>
      </c>
      <c r="S302" s="2">
        <f t="shared" si="57"/>
        <v>-11447.110352112675</v>
      </c>
      <c r="T302" s="130">
        <f t="shared" si="58"/>
        <v>-14937.993169014084</v>
      </c>
      <c r="U302" s="437">
        <f t="shared" si="59"/>
        <v>-0.54591570811120949</v>
      </c>
      <c r="V302" s="126"/>
      <c r="W302" s="526"/>
      <c r="X302" s="526"/>
      <c r="Y302" s="526"/>
      <c r="Z302" s="526"/>
      <c r="AA302" s="526"/>
      <c r="AB302" s="526"/>
      <c r="AC302" s="423"/>
      <c r="AD302" s="423"/>
      <c r="AE302" s="423"/>
      <c r="AF302" s="423"/>
      <c r="AG302" s="423"/>
    </row>
    <row r="303" spans="1:33" x14ac:dyDescent="0.25">
      <c r="A303" s="49">
        <f>+'A) Base RI'!A305</f>
        <v>5928</v>
      </c>
      <c r="B303" s="484" t="str">
        <f>+'A) Base RI'!B305</f>
        <v>Rovray</v>
      </c>
      <c r="C303" s="304">
        <f>+'D) Ecrêtage'!C303</f>
        <v>5563.4060139860139</v>
      </c>
      <c r="D303" s="440">
        <v>3146</v>
      </c>
      <c r="E303" s="440">
        <f t="shared" si="49"/>
        <v>11194</v>
      </c>
      <c r="F303" s="518">
        <f t="shared" si="50"/>
        <v>2.0120767694931967</v>
      </c>
      <c r="G303" s="440">
        <v>14340</v>
      </c>
      <c r="H303" s="440">
        <v>8223</v>
      </c>
      <c r="I303" s="438">
        <v>20709</v>
      </c>
      <c r="J303" s="304">
        <f t="shared" si="51"/>
        <v>43272</v>
      </c>
      <c r="K303" s="284">
        <f t="shared" si="52"/>
        <v>44507.248111888111</v>
      </c>
      <c r="L303" s="10">
        <f t="shared" si="53"/>
        <v>0</v>
      </c>
      <c r="M303" s="301">
        <f t="shared" si="54"/>
        <v>0</v>
      </c>
      <c r="N303" s="10">
        <v>0</v>
      </c>
      <c r="O303" s="10">
        <f t="shared" si="60"/>
        <v>4615</v>
      </c>
      <c r="P303" s="442">
        <v>4615</v>
      </c>
      <c r="Q303" s="10">
        <f t="shared" si="55"/>
        <v>5563.4060139860139</v>
      </c>
      <c r="R303" s="14">
        <f t="shared" si="56"/>
        <v>0</v>
      </c>
      <c r="S303" s="2">
        <f t="shared" si="57"/>
        <v>0</v>
      </c>
      <c r="T303" s="130">
        <f t="shared" si="58"/>
        <v>0</v>
      </c>
      <c r="U303" s="437">
        <f t="shared" si="59"/>
        <v>0</v>
      </c>
      <c r="V303" s="126"/>
      <c r="W303" s="526"/>
      <c r="X303" s="526"/>
      <c r="Y303" s="526"/>
      <c r="Z303" s="526"/>
      <c r="AA303" s="526"/>
      <c r="AB303" s="526"/>
      <c r="AC303" s="423"/>
      <c r="AD303" s="423"/>
      <c r="AE303" s="423"/>
      <c r="AF303" s="423"/>
      <c r="AG303" s="423"/>
    </row>
    <row r="304" spans="1:33" x14ac:dyDescent="0.25">
      <c r="A304" s="49">
        <f>+'A) Base RI'!A306</f>
        <v>5929</v>
      </c>
      <c r="B304" s="484" t="str">
        <f>+'A) Base RI'!B306</f>
        <v>Suchy</v>
      </c>
      <c r="C304" s="304">
        <f>+'D) Ecrêtage'!C304</f>
        <v>19827.403178571429</v>
      </c>
      <c r="D304" s="440">
        <v>6670</v>
      </c>
      <c r="E304" s="440">
        <f t="shared" si="49"/>
        <v>21437</v>
      </c>
      <c r="F304" s="518">
        <f t="shared" si="50"/>
        <v>1.0811804151523055</v>
      </c>
      <c r="G304" s="440">
        <v>28107</v>
      </c>
      <c r="H304" s="440">
        <v>28671</v>
      </c>
      <c r="I304" s="438">
        <v>99616</v>
      </c>
      <c r="J304" s="304">
        <f t="shared" si="51"/>
        <v>156394</v>
      </c>
      <c r="K304" s="284">
        <f t="shared" si="52"/>
        <v>158619.22542857143</v>
      </c>
      <c r="L304" s="10">
        <f t="shared" si="53"/>
        <v>0</v>
      </c>
      <c r="M304" s="301">
        <f t="shared" si="54"/>
        <v>0</v>
      </c>
      <c r="N304" s="10">
        <v>0</v>
      </c>
      <c r="O304" s="10">
        <f t="shared" si="60"/>
        <v>38295</v>
      </c>
      <c r="P304" s="442">
        <v>38295</v>
      </c>
      <c r="Q304" s="10">
        <f t="shared" si="55"/>
        <v>19827.403178571429</v>
      </c>
      <c r="R304" s="14">
        <f t="shared" si="56"/>
        <v>18467.596821428571</v>
      </c>
      <c r="S304" s="2">
        <f t="shared" si="57"/>
        <v>-13850.697616071429</v>
      </c>
      <c r="T304" s="130">
        <f t="shared" si="58"/>
        <v>-13850.697616071429</v>
      </c>
      <c r="U304" s="437">
        <f t="shared" si="59"/>
        <v>-0.69856337167948668</v>
      </c>
      <c r="V304" s="126"/>
      <c r="W304" s="526"/>
      <c r="X304" s="526"/>
      <c r="Y304" s="526"/>
      <c r="Z304" s="526"/>
      <c r="AA304" s="526"/>
      <c r="AB304" s="526"/>
      <c r="AC304" s="423"/>
      <c r="AD304" s="423"/>
      <c r="AE304" s="423"/>
      <c r="AF304" s="423"/>
      <c r="AG304" s="423"/>
    </row>
    <row r="305" spans="1:33" x14ac:dyDescent="0.25">
      <c r="A305" s="49">
        <f>+'A) Base RI'!A307</f>
        <v>5930</v>
      </c>
      <c r="B305" s="484" t="str">
        <f>+'A) Base RI'!B307</f>
        <v>Suscévaz</v>
      </c>
      <c r="C305" s="304">
        <f>+'D) Ecrêtage'!C305</f>
        <v>5769.1548611111102</v>
      </c>
      <c r="D305" s="440">
        <v>60155</v>
      </c>
      <c r="E305" s="440">
        <f t="shared" si="49"/>
        <v>7785</v>
      </c>
      <c r="F305" s="518">
        <f t="shared" si="50"/>
        <v>1.3494177548391635</v>
      </c>
      <c r="G305" s="440">
        <v>67940</v>
      </c>
      <c r="H305" s="440">
        <v>14335</v>
      </c>
      <c r="I305" s="438">
        <v>8959</v>
      </c>
      <c r="J305" s="304">
        <f t="shared" si="51"/>
        <v>91234</v>
      </c>
      <c r="K305" s="284">
        <f t="shared" si="52"/>
        <v>46153.238888888882</v>
      </c>
      <c r="L305" s="10">
        <f t="shared" si="53"/>
        <v>45080.761111111118</v>
      </c>
      <c r="M305" s="301">
        <f t="shared" si="54"/>
        <v>-33810.570833333339</v>
      </c>
      <c r="N305" s="10">
        <v>0</v>
      </c>
      <c r="O305" s="10">
        <f t="shared" si="60"/>
        <v>6685</v>
      </c>
      <c r="P305" s="442">
        <v>6685</v>
      </c>
      <c r="Q305" s="10">
        <f t="shared" si="55"/>
        <v>5769.1548611111102</v>
      </c>
      <c r="R305" s="14">
        <f t="shared" si="56"/>
        <v>915.84513888888978</v>
      </c>
      <c r="S305" s="2">
        <f t="shared" si="57"/>
        <v>-686.88385416666733</v>
      </c>
      <c r="T305" s="130">
        <f t="shared" si="58"/>
        <v>-34497.454687500009</v>
      </c>
      <c r="U305" s="437">
        <f t="shared" si="59"/>
        <v>-5.9796374890265938</v>
      </c>
      <c r="V305" s="126"/>
      <c r="W305" s="526"/>
      <c r="X305" s="526"/>
      <c r="Y305" s="526"/>
      <c r="Z305" s="526"/>
      <c r="AA305" s="526"/>
      <c r="AB305" s="526"/>
      <c r="AC305" s="423"/>
      <c r="AD305" s="423"/>
      <c r="AE305" s="423"/>
      <c r="AF305" s="423"/>
      <c r="AG305" s="423"/>
    </row>
    <row r="306" spans="1:33" x14ac:dyDescent="0.25">
      <c r="A306" s="49">
        <f>+'A) Base RI'!A308</f>
        <v>5931</v>
      </c>
      <c r="B306" s="484" t="str">
        <f>+'A) Base RI'!B308</f>
        <v>Treycovagnes</v>
      </c>
      <c r="C306" s="304">
        <f>+'D) Ecrêtage'!C306</f>
        <v>15383.603066666663</v>
      </c>
      <c r="D306" s="440">
        <v>64520</v>
      </c>
      <c r="E306" s="440">
        <f t="shared" si="49"/>
        <v>50322</v>
      </c>
      <c r="F306" s="518">
        <f t="shared" si="50"/>
        <v>3.2711452435377892</v>
      </c>
      <c r="G306" s="440">
        <v>114842</v>
      </c>
      <c r="H306" s="440">
        <v>32805</v>
      </c>
      <c r="I306" s="438">
        <v>18005</v>
      </c>
      <c r="J306" s="304">
        <f t="shared" si="51"/>
        <v>165652</v>
      </c>
      <c r="K306" s="284">
        <f t="shared" si="52"/>
        <v>123068.8245333333</v>
      </c>
      <c r="L306" s="10">
        <f t="shared" si="53"/>
        <v>42583.175466666697</v>
      </c>
      <c r="M306" s="301">
        <f t="shared" si="54"/>
        <v>-31937.381600000022</v>
      </c>
      <c r="N306" s="10">
        <v>0</v>
      </c>
      <c r="O306" s="10">
        <f t="shared" si="60"/>
        <v>853</v>
      </c>
      <c r="P306" s="442">
        <v>853</v>
      </c>
      <c r="Q306" s="10">
        <f t="shared" si="55"/>
        <v>15383.603066666663</v>
      </c>
      <c r="R306" s="14">
        <f t="shared" si="56"/>
        <v>0</v>
      </c>
      <c r="S306" s="2">
        <f t="shared" si="57"/>
        <v>0</v>
      </c>
      <c r="T306" s="130">
        <f t="shared" si="58"/>
        <v>-31937.381600000022</v>
      </c>
      <c r="U306" s="437">
        <f t="shared" si="59"/>
        <v>-2.0760664105538607</v>
      </c>
      <c r="V306" s="126"/>
      <c r="W306" s="526"/>
      <c r="X306" s="526"/>
      <c r="Y306" s="526"/>
      <c r="Z306" s="526"/>
      <c r="AA306" s="526"/>
      <c r="AB306" s="526"/>
      <c r="AC306" s="423"/>
      <c r="AD306" s="423"/>
      <c r="AE306" s="423"/>
      <c r="AF306" s="423"/>
      <c r="AG306" s="423"/>
    </row>
    <row r="307" spans="1:33" x14ac:dyDescent="0.25">
      <c r="A307" s="49">
        <f>+'A) Base RI'!A309</f>
        <v>5932</v>
      </c>
      <c r="B307" s="484" t="str">
        <f>+'A) Base RI'!B309</f>
        <v>Ursins</v>
      </c>
      <c r="C307" s="304">
        <f>+'D) Ecrêtage'!C307</f>
        <v>6819.4023999999999</v>
      </c>
      <c r="D307" s="440">
        <v>8053</v>
      </c>
      <c r="E307" s="440">
        <f t="shared" si="49"/>
        <v>27334</v>
      </c>
      <c r="F307" s="518">
        <f t="shared" si="50"/>
        <v>4.0082691116746538</v>
      </c>
      <c r="G307" s="440">
        <v>35387</v>
      </c>
      <c r="H307" s="440">
        <v>10001</v>
      </c>
      <c r="I307" s="438">
        <v>7835</v>
      </c>
      <c r="J307" s="304">
        <f t="shared" si="51"/>
        <v>53223</v>
      </c>
      <c r="K307" s="284">
        <f t="shared" si="52"/>
        <v>54555.2192</v>
      </c>
      <c r="L307" s="10">
        <f t="shared" si="53"/>
        <v>0</v>
      </c>
      <c r="M307" s="301">
        <f t="shared" si="54"/>
        <v>0</v>
      </c>
      <c r="N307" s="10">
        <v>0</v>
      </c>
      <c r="O307" s="10">
        <f t="shared" si="60"/>
        <v>35614</v>
      </c>
      <c r="P307" s="442">
        <v>35614</v>
      </c>
      <c r="Q307" s="10">
        <f t="shared" si="55"/>
        <v>6819.4023999999999</v>
      </c>
      <c r="R307" s="14">
        <f t="shared" si="56"/>
        <v>28794.597600000001</v>
      </c>
      <c r="S307" s="2">
        <f t="shared" si="57"/>
        <v>-21595.948199999999</v>
      </c>
      <c r="T307" s="130">
        <f t="shared" si="58"/>
        <v>-21595.948199999999</v>
      </c>
      <c r="U307" s="437">
        <f t="shared" si="59"/>
        <v>-3.1668388127381952</v>
      </c>
      <c r="V307" s="126"/>
      <c r="W307" s="526"/>
      <c r="X307" s="526"/>
      <c r="Y307" s="526"/>
      <c r="Z307" s="526"/>
      <c r="AA307" s="526"/>
      <c r="AB307" s="526"/>
      <c r="AC307" s="423"/>
      <c r="AD307" s="423"/>
      <c r="AE307" s="423"/>
      <c r="AF307" s="423"/>
      <c r="AG307" s="423"/>
    </row>
    <row r="308" spans="1:33" x14ac:dyDescent="0.25">
      <c r="A308" s="49">
        <f>+'A) Base RI'!A310</f>
        <v>5933</v>
      </c>
      <c r="B308" s="484" t="str">
        <f>+'A) Base RI'!B310</f>
        <v>Valeyres-sous-Montagny</v>
      </c>
      <c r="C308" s="304">
        <f>+'D) Ecrêtage'!C308</f>
        <v>22572.377872340428</v>
      </c>
      <c r="D308" s="440">
        <v>41327</v>
      </c>
      <c r="E308" s="440">
        <f t="shared" si="49"/>
        <v>235376</v>
      </c>
      <c r="F308" s="518">
        <f t="shared" si="50"/>
        <v>10.42761207220544</v>
      </c>
      <c r="G308" s="440">
        <v>276703</v>
      </c>
      <c r="H308" s="440">
        <v>78789</v>
      </c>
      <c r="I308" s="438">
        <v>73921</v>
      </c>
      <c r="J308" s="304">
        <f t="shared" si="51"/>
        <v>429413</v>
      </c>
      <c r="K308" s="284">
        <f t="shared" si="52"/>
        <v>180579.02297872343</v>
      </c>
      <c r="L308" s="10">
        <f t="shared" si="53"/>
        <v>248833.97702127657</v>
      </c>
      <c r="M308" s="301">
        <f t="shared" si="54"/>
        <v>-186625.48276595742</v>
      </c>
      <c r="N308" s="10">
        <v>0</v>
      </c>
      <c r="O308" s="10">
        <f t="shared" si="60"/>
        <v>8373</v>
      </c>
      <c r="P308" s="442">
        <v>8373</v>
      </c>
      <c r="Q308" s="10">
        <f t="shared" si="55"/>
        <v>22572.377872340428</v>
      </c>
      <c r="R308" s="14">
        <f t="shared" si="56"/>
        <v>0</v>
      </c>
      <c r="S308" s="2">
        <f t="shared" si="57"/>
        <v>0</v>
      </c>
      <c r="T308" s="130">
        <f t="shared" si="58"/>
        <v>-186625.48276595742</v>
      </c>
      <c r="U308" s="437">
        <f t="shared" si="59"/>
        <v>-8.2678698638411134</v>
      </c>
      <c r="V308" s="126"/>
      <c r="W308" s="526"/>
      <c r="X308" s="526"/>
      <c r="Y308" s="526"/>
      <c r="Z308" s="526"/>
      <c r="AA308" s="526"/>
      <c r="AB308" s="526"/>
      <c r="AC308" s="423"/>
      <c r="AD308" s="423"/>
      <c r="AE308" s="423"/>
      <c r="AF308" s="423"/>
      <c r="AG308" s="423"/>
    </row>
    <row r="309" spans="1:33" x14ac:dyDescent="0.25">
      <c r="A309" s="49">
        <f>+'A) Base RI'!A311</f>
        <v>5934</v>
      </c>
      <c r="B309" s="484" t="str">
        <f>+'A) Base RI'!B311</f>
        <v>Valeyres-sous-Ursins</v>
      </c>
      <c r="C309" s="304">
        <f>+'D) Ecrêtage'!C309</f>
        <v>7577.3788607594925</v>
      </c>
      <c r="D309" s="440">
        <v>3873</v>
      </c>
      <c r="E309" s="440">
        <f t="shared" si="49"/>
        <v>10330</v>
      </c>
      <c r="F309" s="518">
        <f t="shared" si="50"/>
        <v>1.3632682474800537</v>
      </c>
      <c r="G309" s="440">
        <v>14203</v>
      </c>
      <c r="H309" s="440">
        <v>10090</v>
      </c>
      <c r="I309" s="438">
        <v>8370</v>
      </c>
      <c r="J309" s="304">
        <f t="shared" si="51"/>
        <v>32663</v>
      </c>
      <c r="K309" s="284">
        <f t="shared" si="52"/>
        <v>60619.03088607594</v>
      </c>
      <c r="L309" s="10">
        <f t="shared" si="53"/>
        <v>0</v>
      </c>
      <c r="M309" s="301">
        <f t="shared" si="54"/>
        <v>0</v>
      </c>
      <c r="N309" s="10">
        <v>0</v>
      </c>
      <c r="O309" s="10">
        <f t="shared" si="60"/>
        <v>15045</v>
      </c>
      <c r="P309" s="442">
        <v>15045</v>
      </c>
      <c r="Q309" s="10">
        <f t="shared" si="55"/>
        <v>7577.3788607594925</v>
      </c>
      <c r="R309" s="14">
        <f t="shared" si="56"/>
        <v>7467.6211392405075</v>
      </c>
      <c r="S309" s="2">
        <f t="shared" si="57"/>
        <v>-5600.7158544303802</v>
      </c>
      <c r="T309" s="130">
        <f t="shared" si="58"/>
        <v>-5600.7158544303802</v>
      </c>
      <c r="U309" s="437">
        <f t="shared" si="59"/>
        <v>-0.73913631050368411</v>
      </c>
      <c r="V309" s="126"/>
      <c r="W309" s="526"/>
      <c r="X309" s="526"/>
      <c r="Y309" s="526"/>
      <c r="Z309" s="526"/>
      <c r="AA309" s="526"/>
      <c r="AB309" s="526"/>
      <c r="AC309" s="423"/>
      <c r="AD309" s="423"/>
      <c r="AE309" s="423"/>
      <c r="AF309" s="423"/>
      <c r="AG309" s="423"/>
    </row>
    <row r="310" spans="1:33" x14ac:dyDescent="0.25">
      <c r="A310" s="49">
        <f>+'A) Base RI'!A312</f>
        <v>5935</v>
      </c>
      <c r="B310" s="484" t="str">
        <f>+'A) Base RI'!B312</f>
        <v>Villars-Epeney</v>
      </c>
      <c r="C310" s="304">
        <f>+'D) Ecrêtage'!C310</f>
        <v>3928.2205000000004</v>
      </c>
      <c r="D310" s="440">
        <v>5000</v>
      </c>
      <c r="E310" s="440">
        <f t="shared" si="49"/>
        <v>10544</v>
      </c>
      <c r="F310" s="518">
        <f t="shared" si="50"/>
        <v>2.6841670420486832</v>
      </c>
      <c r="G310" s="440">
        <v>15544</v>
      </c>
      <c r="H310" s="440">
        <v>4534</v>
      </c>
      <c r="I310" s="438">
        <v>8662</v>
      </c>
      <c r="J310" s="304">
        <f t="shared" si="51"/>
        <v>28740</v>
      </c>
      <c r="K310" s="284">
        <f t="shared" si="52"/>
        <v>31425.764000000003</v>
      </c>
      <c r="L310" s="10">
        <f t="shared" si="53"/>
        <v>0</v>
      </c>
      <c r="M310" s="301">
        <f t="shared" si="54"/>
        <v>0</v>
      </c>
      <c r="N310" s="10">
        <v>0</v>
      </c>
      <c r="O310" s="10">
        <f t="shared" si="60"/>
        <v>10773</v>
      </c>
      <c r="P310" s="442">
        <v>10773</v>
      </c>
      <c r="Q310" s="10">
        <f t="shared" si="55"/>
        <v>3928.2205000000004</v>
      </c>
      <c r="R310" s="14">
        <f t="shared" si="56"/>
        <v>6844.7794999999996</v>
      </c>
      <c r="S310" s="2">
        <f t="shared" si="57"/>
        <v>-5133.5846249999995</v>
      </c>
      <c r="T310" s="130">
        <f t="shared" si="58"/>
        <v>-5133.5846249999995</v>
      </c>
      <c r="U310" s="437">
        <f t="shared" si="59"/>
        <v>-1.3068473689295188</v>
      </c>
      <c r="V310" s="126"/>
      <c r="W310" s="526"/>
      <c r="X310" s="526"/>
      <c r="Y310" s="526"/>
      <c r="Z310" s="526"/>
      <c r="AA310" s="526"/>
      <c r="AB310" s="526"/>
      <c r="AC310" s="423"/>
      <c r="AD310" s="423"/>
      <c r="AE310" s="423"/>
      <c r="AF310" s="423"/>
      <c r="AG310" s="423"/>
    </row>
    <row r="311" spans="1:33" x14ac:dyDescent="0.25">
      <c r="A311" s="49">
        <f>+'A) Base RI'!A313</f>
        <v>5937</v>
      </c>
      <c r="B311" s="484" t="str">
        <f>+'A) Base RI'!B313</f>
        <v>Vugelles-La Mothe</v>
      </c>
      <c r="C311" s="304">
        <f>+'D) Ecrêtage'!C311</f>
        <v>3187.6957755102044</v>
      </c>
      <c r="D311" s="440">
        <v>17213</v>
      </c>
      <c r="E311" s="440">
        <f t="shared" si="49"/>
        <v>15134</v>
      </c>
      <c r="F311" s="518">
        <f t="shared" si="50"/>
        <v>4.7476299702965656</v>
      </c>
      <c r="G311" s="440">
        <v>32347</v>
      </c>
      <c r="H311" s="440">
        <v>6001</v>
      </c>
      <c r="I311" s="438">
        <v>15221</v>
      </c>
      <c r="J311" s="304">
        <f t="shared" si="51"/>
        <v>53569</v>
      </c>
      <c r="K311" s="284">
        <f t="shared" si="52"/>
        <v>25501.566204081635</v>
      </c>
      <c r="L311" s="10">
        <f t="shared" si="53"/>
        <v>28067.433795918365</v>
      </c>
      <c r="M311" s="301">
        <f t="shared" si="54"/>
        <v>-21050.575346938775</v>
      </c>
      <c r="N311" s="10">
        <v>0</v>
      </c>
      <c r="O311" s="10">
        <f t="shared" si="60"/>
        <v>6412</v>
      </c>
      <c r="P311" s="442">
        <v>6412</v>
      </c>
      <c r="Q311" s="10">
        <f t="shared" si="55"/>
        <v>3187.6957755102044</v>
      </c>
      <c r="R311" s="14">
        <f t="shared" si="56"/>
        <v>3224.3042244897956</v>
      </c>
      <c r="S311" s="2">
        <f t="shared" si="57"/>
        <v>-2418.2281683673468</v>
      </c>
      <c r="T311" s="130">
        <f t="shared" si="58"/>
        <v>-23468.803515306121</v>
      </c>
      <c r="U311" s="437">
        <f t="shared" si="59"/>
        <v>-7.3623096958020842</v>
      </c>
      <c r="V311" s="126"/>
      <c r="W311" s="526"/>
      <c r="X311" s="526"/>
      <c r="Y311" s="526"/>
      <c r="Z311" s="526"/>
      <c r="AA311" s="526"/>
      <c r="AB311" s="526"/>
      <c r="AC311" s="423"/>
      <c r="AD311" s="423"/>
      <c r="AE311" s="423"/>
      <c r="AF311" s="423"/>
      <c r="AG311" s="423"/>
    </row>
    <row r="312" spans="1:33" x14ac:dyDescent="0.25">
      <c r="A312" s="49">
        <f>+'A) Base RI'!A314</f>
        <v>5938</v>
      </c>
      <c r="B312" s="484" t="str">
        <f>+'A) Base RI'!B314</f>
        <v>Yverdon-les-Bains</v>
      </c>
      <c r="C312" s="304">
        <f>+'D) Ecrêtage'!C312</f>
        <v>796551.402</v>
      </c>
      <c r="D312" s="440">
        <v>4061547</v>
      </c>
      <c r="E312" s="440">
        <f t="shared" si="49"/>
        <v>8806657</v>
      </c>
      <c r="F312" s="518">
        <f t="shared" si="50"/>
        <v>11.055980791557253</v>
      </c>
      <c r="G312" s="440">
        <v>12868204</v>
      </c>
      <c r="H312" s="440">
        <v>7608839</v>
      </c>
      <c r="I312" s="438">
        <v>535985</v>
      </c>
      <c r="J312" s="304">
        <f t="shared" si="51"/>
        <v>21013028</v>
      </c>
      <c r="K312" s="284">
        <f t="shared" si="52"/>
        <v>6372411.216</v>
      </c>
      <c r="L312" s="10">
        <f t="shared" si="53"/>
        <v>14640616.784</v>
      </c>
      <c r="M312" s="301">
        <f t="shared" si="54"/>
        <v>-10980462.588</v>
      </c>
      <c r="N312" s="10">
        <v>0</v>
      </c>
      <c r="O312" s="10">
        <f t="shared" si="60"/>
        <v>215334</v>
      </c>
      <c r="P312" s="442">
        <v>215334</v>
      </c>
      <c r="Q312" s="10">
        <f t="shared" si="55"/>
        <v>796551.402</v>
      </c>
      <c r="R312" s="14">
        <f t="shared" si="56"/>
        <v>0</v>
      </c>
      <c r="S312" s="2">
        <f t="shared" si="57"/>
        <v>0</v>
      </c>
      <c r="T312" s="130">
        <f t="shared" si="58"/>
        <v>-10980462.588</v>
      </c>
      <c r="U312" s="437">
        <f t="shared" si="59"/>
        <v>-13.785001897467</v>
      </c>
      <c r="V312" s="126"/>
      <c r="W312" s="526"/>
      <c r="X312" s="526"/>
      <c r="Y312" s="526"/>
      <c r="Z312" s="526"/>
      <c r="AA312" s="526"/>
      <c r="AB312" s="526"/>
      <c r="AC312" s="423"/>
      <c r="AD312" s="423"/>
      <c r="AE312" s="423"/>
      <c r="AF312" s="423"/>
      <c r="AG312" s="423"/>
    </row>
    <row r="313" spans="1:33" x14ac:dyDescent="0.25">
      <c r="A313" s="49">
        <f>+'A) Base RI'!A315</f>
        <v>5939</v>
      </c>
      <c r="B313" s="484" t="str">
        <f>+'A) Base RI'!B315</f>
        <v>Yvonand</v>
      </c>
      <c r="C313" s="304">
        <f>+'D) Ecrêtage'!C313</f>
        <v>92890.042937062928</v>
      </c>
      <c r="D313" s="440">
        <v>190707</v>
      </c>
      <c r="E313" s="440">
        <f t="shared" si="49"/>
        <v>589566</v>
      </c>
      <c r="F313" s="518">
        <f t="shared" si="50"/>
        <v>6.3469235383975091</v>
      </c>
      <c r="G313" s="244">
        <v>780273</v>
      </c>
      <c r="H313" s="440">
        <v>381612</v>
      </c>
      <c r="I313" s="438">
        <v>306036</v>
      </c>
      <c r="J313" s="304">
        <f t="shared" si="51"/>
        <v>1467921</v>
      </c>
      <c r="K313" s="284">
        <f t="shared" si="52"/>
        <v>743120.34349650342</v>
      </c>
      <c r="L313" s="10">
        <f t="shared" si="53"/>
        <v>724800.65650349658</v>
      </c>
      <c r="M313" s="301">
        <f t="shared" si="54"/>
        <v>-543600.4923776224</v>
      </c>
      <c r="N313" s="10">
        <v>0</v>
      </c>
      <c r="O313" s="10">
        <f t="shared" si="60"/>
        <v>155147</v>
      </c>
      <c r="P313" s="444">
        <v>155147</v>
      </c>
      <c r="Q313" s="18">
        <f t="shared" si="55"/>
        <v>92890.042937062928</v>
      </c>
      <c r="R313" s="70">
        <f t="shared" si="56"/>
        <v>62256.957062937072</v>
      </c>
      <c r="S313" s="131">
        <f t="shared" si="57"/>
        <v>-46692.7177972028</v>
      </c>
      <c r="T313" s="132">
        <f t="shared" si="58"/>
        <v>-590293.21017482516</v>
      </c>
      <c r="U313" s="437">
        <f t="shared" si="59"/>
        <v>-6.3547522588053349</v>
      </c>
      <c r="V313" s="126"/>
      <c r="W313" s="526"/>
      <c r="X313" s="526"/>
      <c r="Y313" s="526"/>
      <c r="Z313" s="526"/>
      <c r="AA313" s="526"/>
      <c r="AB313" s="526"/>
      <c r="AC313" s="423"/>
      <c r="AD313" s="423"/>
      <c r="AE313" s="423"/>
      <c r="AF313" s="423"/>
      <c r="AG313" s="423"/>
    </row>
    <row r="314" spans="1:33" x14ac:dyDescent="0.25">
      <c r="A314" s="78"/>
      <c r="B314" s="298">
        <f>COUNTA(B5:B313)</f>
        <v>309</v>
      </c>
      <c r="C314" s="11">
        <f t="shared" ref="C314:S314" si="61">SUM(C5:C313)</f>
        <v>39272473.833379671</v>
      </c>
      <c r="D314" s="11"/>
      <c r="E314" s="11"/>
      <c r="F314" s="299"/>
      <c r="G314" s="299">
        <f t="shared" si="61"/>
        <v>248848490.34999999</v>
      </c>
      <c r="H314" s="11">
        <f t="shared" si="61"/>
        <v>179734816.40000001</v>
      </c>
      <c r="I314" s="299">
        <f t="shared" si="61"/>
        <v>39035963.700000003</v>
      </c>
      <c r="J314" s="11">
        <f t="shared" si="61"/>
        <v>467619270.44999999</v>
      </c>
      <c r="K314" s="299">
        <f t="shared" si="61"/>
        <v>314179790.66703737</v>
      </c>
      <c r="L314" s="11">
        <f t="shared" si="61"/>
        <v>204443254.61157709</v>
      </c>
      <c r="M314" s="302">
        <f t="shared" si="61"/>
        <v>-153332440.95868263</v>
      </c>
      <c r="N314" s="11"/>
      <c r="O314" s="119"/>
      <c r="P314" s="119">
        <f t="shared" si="61"/>
        <v>22299775.82</v>
      </c>
      <c r="Q314" s="18">
        <f t="shared" si="61"/>
        <v>39272473.833379671</v>
      </c>
      <c r="R314" s="11">
        <f t="shared" si="61"/>
        <v>9152083.7170864604</v>
      </c>
      <c r="S314" s="131">
        <f t="shared" si="61"/>
        <v>-6864062.7878148453</v>
      </c>
      <c r="T314" s="37">
        <f>SUM(T5:T313)</f>
        <v>-160196503.74649748</v>
      </c>
      <c r="U314" s="98">
        <f>T314/'D) Ecrêtage'!C314</f>
        <v>-4.0791039654430508</v>
      </c>
      <c r="W314" s="526"/>
      <c r="X314" s="526"/>
      <c r="Y314" s="526"/>
      <c r="Z314" s="526"/>
      <c r="AA314" s="526"/>
      <c r="AB314" s="526"/>
    </row>
    <row r="320" spans="1:33" x14ac:dyDescent="0.25">
      <c r="J320" s="401"/>
    </row>
  </sheetData>
  <mergeCells count="11">
    <mergeCell ref="C3:C4"/>
    <mergeCell ref="B3:B4"/>
    <mergeCell ref="A3:A4"/>
    <mergeCell ref="Q3:Q4"/>
    <mergeCell ref="P3:P4"/>
    <mergeCell ref="K3:K4"/>
    <mergeCell ref="J3:J4"/>
    <mergeCell ref="I3:I4"/>
    <mergeCell ref="H3:H4"/>
    <mergeCell ref="G3:G4"/>
    <mergeCell ref="E3:F3"/>
  </mergeCells>
  <phoneticPr fontId="0" type="noConversion"/>
  <printOptions horizontalCentered="1"/>
  <pageMargins left="0" right="0" top="0" bottom="0" header="0.51181102362204722" footer="0.51181102362204722"/>
  <pageSetup paperSize="9" scale="64" orientation="landscape" horizontalDpi="1200" verticalDpi="12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3">
    <tabColor rgb="FF00B050"/>
  </sheetPr>
  <dimension ref="A1:Z320"/>
  <sheetViews>
    <sheetView workbookViewId="0">
      <pane ySplit="4" topLeftCell="A5" activePane="bottomLeft" state="frozen"/>
      <selection pane="bottomLeft" activeCell="A3" sqref="A3:A4"/>
    </sheetView>
  </sheetViews>
  <sheetFormatPr baseColWidth="10" defaultColWidth="10.75" defaultRowHeight="15" x14ac:dyDescent="0.25"/>
  <cols>
    <col min="1" max="1" width="7.25" style="13" customWidth="1"/>
    <col min="2" max="2" width="19.875" style="13" customWidth="1"/>
    <col min="3" max="3" width="10" style="13" customWidth="1"/>
    <col min="4" max="4" width="13.75" style="13" customWidth="1"/>
    <col min="5" max="5" width="11.125" style="13" customWidth="1"/>
    <col min="6" max="6" width="10" style="13" customWidth="1"/>
    <col min="7" max="7" width="10.75" style="13" customWidth="1"/>
    <col min="8" max="8" width="15.125" style="410" customWidth="1"/>
    <col min="9" max="9" width="10" style="139" customWidth="1"/>
    <col min="10" max="10" width="11.75" style="13" customWidth="1"/>
    <col min="11" max="11" width="10" style="15" customWidth="1"/>
    <col min="12" max="12" width="12.125" style="15" customWidth="1"/>
    <col min="13" max="15" width="12.125" style="13" customWidth="1"/>
    <col min="16" max="18" width="8.125" style="13" customWidth="1"/>
    <col min="19" max="16384" width="10.75" style="13"/>
  </cols>
  <sheetData>
    <row r="1" spans="1:26" s="43" customFormat="1" ht="21" x14ac:dyDescent="0.25">
      <c r="A1" s="51" t="s">
        <v>211</v>
      </c>
      <c r="B1" s="42"/>
      <c r="C1" s="68"/>
      <c r="D1" s="68"/>
      <c r="E1" s="68"/>
      <c r="F1" s="68"/>
      <c r="G1" s="68"/>
      <c r="H1" s="414"/>
      <c r="I1" s="138"/>
      <c r="J1" s="68"/>
      <c r="K1" s="133"/>
      <c r="L1" s="134"/>
      <c r="M1" s="56"/>
      <c r="O1" s="13"/>
      <c r="P1" s="13"/>
      <c r="Q1" s="13"/>
      <c r="R1" s="13"/>
      <c r="S1" s="13"/>
      <c r="Z1" s="13"/>
    </row>
    <row r="3" spans="1:26" ht="30" customHeight="1" x14ac:dyDescent="0.25">
      <c r="A3" s="572" t="s">
        <v>46</v>
      </c>
      <c r="B3" s="572" t="s">
        <v>96</v>
      </c>
      <c r="C3" s="572" t="s">
        <v>369</v>
      </c>
      <c r="D3" s="572" t="s">
        <v>93</v>
      </c>
      <c r="E3" s="572" t="s">
        <v>327</v>
      </c>
      <c r="F3" s="572" t="s">
        <v>367</v>
      </c>
      <c r="G3" s="588" t="s">
        <v>356</v>
      </c>
      <c r="H3" s="572" t="s">
        <v>541</v>
      </c>
      <c r="I3" s="140" t="s">
        <v>146</v>
      </c>
      <c r="J3" s="586" t="s">
        <v>370</v>
      </c>
      <c r="K3" s="593" t="s">
        <v>338</v>
      </c>
    </row>
    <row r="4" spans="1:26" x14ac:dyDescent="0.25">
      <c r="A4" s="573"/>
      <c r="B4" s="574"/>
      <c r="C4" s="573"/>
      <c r="D4" s="574"/>
      <c r="E4" s="573"/>
      <c r="F4" s="574"/>
      <c r="G4" s="600"/>
      <c r="H4" s="573"/>
      <c r="I4" s="434">
        <f>Paramètres!B46</f>
        <v>48</v>
      </c>
      <c r="J4" s="599"/>
      <c r="K4" s="598"/>
    </row>
    <row r="5" spans="1:26" x14ac:dyDescent="0.25">
      <c r="A5" s="46">
        <f>'A) Base RI'!A7</f>
        <v>5401</v>
      </c>
      <c r="B5" s="292" t="str">
        <f>'A) Base RI'!B7</f>
        <v>Aigle</v>
      </c>
      <c r="C5" s="94">
        <f>'B) D RI'!U7</f>
        <v>284723.80196969694</v>
      </c>
      <c r="D5" s="415">
        <f>'E) Fact soc'!G11/C5</f>
        <v>17.361857185172592</v>
      </c>
      <c r="E5" s="135">
        <f>'H) Péréquation directe'!I16/C5</f>
        <v>-13.67239276751719</v>
      </c>
      <c r="F5" s="110">
        <f>+'I) Dépenses thématiques'!U5</f>
        <v>-11.085737528330974</v>
      </c>
      <c r="G5" s="135">
        <f>SUM(D5:F5)</f>
        <v>-7.3962731106755708</v>
      </c>
      <c r="H5" s="416">
        <f>G5-'C) Prél. conj.'!I5</f>
        <v>-11.247788271732293</v>
      </c>
      <c r="I5" s="420">
        <f t="shared" ref="I5" si="0">IF(H5&gt;I$4,I$4-H5,0)</f>
        <v>0</v>
      </c>
      <c r="J5" s="100">
        <f>I5*C5</f>
        <v>0</v>
      </c>
      <c r="K5" s="416">
        <f>H5+I5</f>
        <v>-11.247788271732293</v>
      </c>
    </row>
    <row r="6" spans="1:26" x14ac:dyDescent="0.25">
      <c r="A6" s="49">
        <f>'A) Base RI'!A8</f>
        <v>5402</v>
      </c>
      <c r="B6" s="292" t="str">
        <f>'A) Base RI'!B8</f>
        <v>Bex</v>
      </c>
      <c r="C6" s="95">
        <f>'B) D RI'!U8</f>
        <v>179259.20338028169</v>
      </c>
      <c r="D6" s="415">
        <f>'E) Fact soc'!G12/C6</f>
        <v>16.960250080931583</v>
      </c>
      <c r="E6" s="136">
        <f>'H) Péréquation directe'!I17/C6</f>
        <v>-22.641997792447128</v>
      </c>
      <c r="F6" s="415">
        <f>+'I) Dépenses thématiques'!U6</f>
        <v>-11.457341316116871</v>
      </c>
      <c r="G6" s="136">
        <f t="shared" ref="G6:G69" si="1">SUM(D6:F6)</f>
        <v>-17.139089027632416</v>
      </c>
      <c r="H6" s="416">
        <f>G6-'C) Prél. conj.'!I6</f>
        <v>-20.588997084448128</v>
      </c>
      <c r="I6" s="420">
        <f t="shared" ref="I6:I69" si="2">IF(H6&gt;I$4,I$4-H6,0)</f>
        <v>0</v>
      </c>
      <c r="J6" s="55">
        <f t="shared" ref="J6:J69" si="3">I6*C6</f>
        <v>0</v>
      </c>
      <c r="K6" s="416">
        <f t="shared" ref="K6:K69" si="4">H6+I6</f>
        <v>-20.588997084448128</v>
      </c>
      <c r="L6" s="455"/>
    </row>
    <row r="7" spans="1:26" x14ac:dyDescent="0.25">
      <c r="A7" s="49">
        <f>'A) Base RI'!A9</f>
        <v>5403</v>
      </c>
      <c r="B7" s="292" t="str">
        <f>'A) Base RI'!B9</f>
        <v>Chessel</v>
      </c>
      <c r="C7" s="95">
        <f>'B) D RI'!U9</f>
        <v>10797.740270270273</v>
      </c>
      <c r="D7" s="415">
        <f>'E) Fact soc'!G13/C7</f>
        <v>18.950051493857522</v>
      </c>
      <c r="E7" s="136">
        <f>'H) Péréquation directe'!I18/C7</f>
        <v>-7.4807150076409759</v>
      </c>
      <c r="F7" s="415">
        <f>+'I) Dépenses thématiques'!U7</f>
        <v>-1.4922801227253759</v>
      </c>
      <c r="G7" s="136">
        <f t="shared" si="1"/>
        <v>9.9770563634911706</v>
      </c>
      <c r="H7" s="416">
        <f>G7-'C) Prél. conj.'!I7</f>
        <v>4.5373468937495174</v>
      </c>
      <c r="I7" s="420">
        <f t="shared" si="2"/>
        <v>0</v>
      </c>
      <c r="J7" s="55">
        <f t="shared" si="3"/>
        <v>0</v>
      </c>
      <c r="K7" s="416">
        <f t="shared" si="4"/>
        <v>4.5373468937495174</v>
      </c>
      <c r="L7" s="455"/>
    </row>
    <row r="8" spans="1:26" x14ac:dyDescent="0.25">
      <c r="A8" s="49">
        <f>'A) Base RI'!A10</f>
        <v>5404</v>
      </c>
      <c r="B8" s="292" t="str">
        <f>'A) Base RI'!B10</f>
        <v>Corbeyrier</v>
      </c>
      <c r="C8" s="95">
        <f>'B) D RI'!U10</f>
        <v>11267.87027027027</v>
      </c>
      <c r="D8" s="415">
        <f>'E) Fact soc'!G14/C8</f>
        <v>18.871403924108002</v>
      </c>
      <c r="E8" s="136">
        <f>'H) Péréquation directe'!I19/C8</f>
        <v>-5.5572845083180704</v>
      </c>
      <c r="F8" s="415">
        <f>+'I) Dépenses thématiques'!U8</f>
        <v>-11.761195549555875</v>
      </c>
      <c r="G8" s="136">
        <f t="shared" si="1"/>
        <v>1.5529238662340568</v>
      </c>
      <c r="H8" s="416">
        <f>G8-'C) Prél. conj.'!I8</f>
        <v>-3.8081380337580759</v>
      </c>
      <c r="I8" s="420">
        <f t="shared" si="2"/>
        <v>0</v>
      </c>
      <c r="J8" s="55">
        <f t="shared" si="3"/>
        <v>0</v>
      </c>
      <c r="K8" s="416">
        <f t="shared" si="4"/>
        <v>-3.8081380337580759</v>
      </c>
      <c r="L8" s="455"/>
    </row>
    <row r="9" spans="1:26" x14ac:dyDescent="0.25">
      <c r="A9" s="49">
        <f>'A) Base RI'!A11</f>
        <v>5405</v>
      </c>
      <c r="B9" s="292" t="str">
        <f>'A) Base RI'!B11</f>
        <v>Gryon</v>
      </c>
      <c r="C9" s="95">
        <f>'B) D RI'!U11</f>
        <v>68185.794013605453</v>
      </c>
      <c r="D9" s="415">
        <f>'E) Fact soc'!G15/C9</f>
        <v>20.100503864423668</v>
      </c>
      <c r="E9" s="136">
        <f>'H) Péréquation directe'!I20/C9</f>
        <v>15.420900559347908</v>
      </c>
      <c r="F9" s="415">
        <f>+'I) Dépenses thématiques'!U9</f>
        <v>-12.587992093295885</v>
      </c>
      <c r="G9" s="136">
        <f t="shared" si="1"/>
        <v>22.933412330475694</v>
      </c>
      <c r="H9" s="416">
        <f>G9-'C) Prél. conj.'!I9</f>
        <v>16.73312418958168</v>
      </c>
      <c r="I9" s="420">
        <f t="shared" si="2"/>
        <v>0</v>
      </c>
      <c r="J9" s="55">
        <f t="shared" si="3"/>
        <v>0</v>
      </c>
      <c r="K9" s="416">
        <f t="shared" si="4"/>
        <v>16.73312418958168</v>
      </c>
      <c r="L9" s="455"/>
    </row>
    <row r="10" spans="1:26" x14ac:dyDescent="0.25">
      <c r="A10" s="49">
        <f>'A) Base RI'!A12</f>
        <v>5406</v>
      </c>
      <c r="B10" s="292" t="str">
        <f>'A) Base RI'!B12</f>
        <v>Lavey-Morcles</v>
      </c>
      <c r="C10" s="95">
        <f>'B) D RI'!U12</f>
        <v>21842.545067240455</v>
      </c>
      <c r="D10" s="415">
        <f>'E) Fact soc'!G16/C10</f>
        <v>18.328299806784432</v>
      </c>
      <c r="E10" s="136">
        <f>'H) Péréquation directe'!I21/C10</f>
        <v>-8.3831786594515663</v>
      </c>
      <c r="F10" s="415">
        <f>+'I) Dépenses thématiques'!U10</f>
        <v>-8.072757558851821</v>
      </c>
      <c r="G10" s="136">
        <f t="shared" si="1"/>
        <v>1.8723635884810452</v>
      </c>
      <c r="H10" s="416">
        <f>G10-'C) Prél. conj.'!I10</f>
        <v>-2.9455941941875192</v>
      </c>
      <c r="I10" s="420">
        <f t="shared" si="2"/>
        <v>0</v>
      </c>
      <c r="J10" s="55">
        <f t="shared" si="3"/>
        <v>0</v>
      </c>
      <c r="K10" s="416">
        <f t="shared" si="4"/>
        <v>-2.9455941941875192</v>
      </c>
      <c r="L10" s="455"/>
    </row>
    <row r="11" spans="1:26" x14ac:dyDescent="0.25">
      <c r="A11" s="49">
        <f>'A) Base RI'!A13</f>
        <v>5407</v>
      </c>
      <c r="B11" s="292" t="str">
        <f>'A) Base RI'!B13</f>
        <v>Leysin</v>
      </c>
      <c r="C11" s="95">
        <f>'B) D RI'!U13</f>
        <v>90822.200982905983</v>
      </c>
      <c r="D11" s="415">
        <f>'E) Fact soc'!G17/C11</f>
        <v>17.850439222092714</v>
      </c>
      <c r="E11" s="136">
        <f>'H) Péréquation directe'!I22/C11</f>
        <v>-16.14754031191654</v>
      </c>
      <c r="F11" s="415">
        <f>+'I) Dépenses thématiques'!U11</f>
        <v>-18.905959939118446</v>
      </c>
      <c r="G11" s="136">
        <f t="shared" si="1"/>
        <v>-17.203061028942273</v>
      </c>
      <c r="H11" s="416">
        <f>G11-'C) Prél. conj.'!I11</f>
        <v>-21.543158226919118</v>
      </c>
      <c r="I11" s="420">
        <f t="shared" si="2"/>
        <v>0</v>
      </c>
      <c r="J11" s="55">
        <f t="shared" si="3"/>
        <v>0</v>
      </c>
      <c r="K11" s="416">
        <f t="shared" si="4"/>
        <v>-21.543158226919118</v>
      </c>
      <c r="L11" s="455"/>
    </row>
    <row r="12" spans="1:26" x14ac:dyDescent="0.25">
      <c r="A12" s="49">
        <f>'A) Base RI'!A14</f>
        <v>5408</v>
      </c>
      <c r="B12" s="292" t="str">
        <f>'A) Base RI'!B14</f>
        <v>Noville</v>
      </c>
      <c r="C12" s="95">
        <f>'B) D RI'!U14</f>
        <v>43840.045520169842</v>
      </c>
      <c r="D12" s="415">
        <f>'E) Fact soc'!G18/C12</f>
        <v>17.022596246779905</v>
      </c>
      <c r="E12" s="136">
        <f>'H) Péréquation directe'!I23/C12</f>
        <v>7.9299568373890965</v>
      </c>
      <c r="F12" s="415">
        <f>+'I) Dépenses thématiques'!U12</f>
        <v>-2.4266784278293656</v>
      </c>
      <c r="G12" s="136">
        <f t="shared" si="1"/>
        <v>22.525874656339635</v>
      </c>
      <c r="H12" s="416">
        <f>G12-'C) Prél. conj.'!I12</f>
        <v>19.013620433675602</v>
      </c>
      <c r="I12" s="420">
        <f t="shared" si="2"/>
        <v>0</v>
      </c>
      <c r="J12" s="55">
        <f t="shared" si="3"/>
        <v>0</v>
      </c>
      <c r="K12" s="416">
        <f t="shared" si="4"/>
        <v>19.013620433675602</v>
      </c>
      <c r="L12" s="455"/>
    </row>
    <row r="13" spans="1:26" x14ac:dyDescent="0.25">
      <c r="A13" s="49">
        <f>'A) Base RI'!A15</f>
        <v>5409</v>
      </c>
      <c r="B13" s="292" t="str">
        <f>'A) Base RI'!B15</f>
        <v>Ollon</v>
      </c>
      <c r="C13" s="95">
        <f>'B) D RI'!U15</f>
        <v>389186.78990950214</v>
      </c>
      <c r="D13" s="415">
        <f>'E) Fact soc'!G19/C13</f>
        <v>18.752876312079884</v>
      </c>
      <c r="E13" s="136">
        <f>'H) Péréquation directe'!I24/C13</f>
        <v>10.484426326596184</v>
      </c>
      <c r="F13" s="415">
        <f>+'I) Dépenses thématiques'!U13</f>
        <v>-7.1324162075396469</v>
      </c>
      <c r="G13" s="136">
        <f t="shared" si="1"/>
        <v>22.104886431136421</v>
      </c>
      <c r="H13" s="416">
        <f>G13-'C) Prél. conj.'!I13</f>
        <v>17.612332546132855</v>
      </c>
      <c r="I13" s="420">
        <f t="shared" si="2"/>
        <v>0</v>
      </c>
      <c r="J13" s="55">
        <f t="shared" si="3"/>
        <v>0</v>
      </c>
      <c r="K13" s="416">
        <f t="shared" si="4"/>
        <v>17.612332546132855</v>
      </c>
      <c r="L13" s="455"/>
    </row>
    <row r="14" spans="1:26" x14ac:dyDescent="0.25">
      <c r="A14" s="49">
        <f>'A) Base RI'!A16</f>
        <v>5410</v>
      </c>
      <c r="B14" s="292" t="str">
        <f>'A) Base RI'!B16</f>
        <v>Ormont-Dessous</v>
      </c>
      <c r="C14" s="95">
        <f>'B) D RI'!U16</f>
        <v>39522.545108225109</v>
      </c>
      <c r="D14" s="415">
        <f>'E) Fact soc'!G20/C14</f>
        <v>19.066590853706025</v>
      </c>
      <c r="E14" s="136">
        <f>'H) Péréquation directe'!I25/C14</f>
        <v>4.022797545015603</v>
      </c>
      <c r="F14" s="415">
        <f>+'I) Dépenses thématiques'!U14</f>
        <v>-20.278282138077422</v>
      </c>
      <c r="G14" s="136">
        <f t="shared" si="1"/>
        <v>2.8111062606442054</v>
      </c>
      <c r="H14" s="416">
        <f>G14-'C) Prél. conj.'!I14</f>
        <v>-2.745142568945953</v>
      </c>
      <c r="I14" s="420">
        <f t="shared" si="2"/>
        <v>0</v>
      </c>
      <c r="J14" s="55">
        <f t="shared" si="3"/>
        <v>0</v>
      </c>
      <c r="K14" s="416">
        <f t="shared" si="4"/>
        <v>-2.745142568945953</v>
      </c>
      <c r="L14" s="455"/>
    </row>
    <row r="15" spans="1:26" x14ac:dyDescent="0.25">
      <c r="A15" s="49">
        <f>'A) Base RI'!A17</f>
        <v>5411</v>
      </c>
      <c r="B15" s="292" t="str">
        <f>'A) Base RI'!B17</f>
        <v>Ormont-Dessus</v>
      </c>
      <c r="C15" s="95">
        <f>'B) D RI'!U17</f>
        <v>68049.385526315804</v>
      </c>
      <c r="D15" s="415">
        <f>'E) Fact soc'!G21/C15</f>
        <v>20.31849482985778</v>
      </c>
      <c r="E15" s="136">
        <f>'H) Péréquation directe'!I26/C15</f>
        <v>14.090298583540635</v>
      </c>
      <c r="F15" s="415">
        <f>+'I) Dépenses thématiques'!U15</f>
        <v>-13.643846899077722</v>
      </c>
      <c r="G15" s="136">
        <f t="shared" si="1"/>
        <v>20.764946514320691</v>
      </c>
      <c r="H15" s="416">
        <f>G15-'C) Prél. conj.'!I15</f>
        <v>13.956793708578779</v>
      </c>
      <c r="I15" s="420">
        <f t="shared" si="2"/>
        <v>0</v>
      </c>
      <c r="J15" s="55">
        <f t="shared" si="3"/>
        <v>0</v>
      </c>
      <c r="K15" s="416">
        <f t="shared" si="4"/>
        <v>13.956793708578779</v>
      </c>
      <c r="L15" s="455"/>
    </row>
    <row r="16" spans="1:26" x14ac:dyDescent="0.25">
      <c r="A16" s="49">
        <f>'A) Base RI'!A18</f>
        <v>5412</v>
      </c>
      <c r="B16" s="292" t="str">
        <f>'A) Base RI'!B18</f>
        <v>Rennaz</v>
      </c>
      <c r="C16" s="95">
        <f>'B) D RI'!U18</f>
        <v>24274.281449275361</v>
      </c>
      <c r="D16" s="415">
        <f>'E) Fact soc'!G22/C16</f>
        <v>25.99170426888973</v>
      </c>
      <c r="E16" s="136">
        <f>'H) Péréquation directe'!I27/C16</f>
        <v>2.742453820307739E-2</v>
      </c>
      <c r="F16" s="415">
        <f>+'I) Dépenses thématiques'!U16</f>
        <v>-3.6676616114644682</v>
      </c>
      <c r="G16" s="136">
        <f t="shared" si="1"/>
        <v>22.351467195628341</v>
      </c>
      <c r="H16" s="416">
        <f>G16-'C) Prél. conj.'!I16</f>
        <v>9.8701049508544809</v>
      </c>
      <c r="I16" s="420">
        <f t="shared" si="2"/>
        <v>0</v>
      </c>
      <c r="J16" s="55">
        <f t="shared" si="3"/>
        <v>0</v>
      </c>
      <c r="K16" s="416">
        <f t="shared" si="4"/>
        <v>9.8701049508544809</v>
      </c>
      <c r="L16" s="455"/>
    </row>
    <row r="17" spans="1:12" x14ac:dyDescent="0.25">
      <c r="A17" s="49">
        <f>'A) Base RI'!A19</f>
        <v>5413</v>
      </c>
      <c r="B17" s="292" t="str">
        <f>'A) Base RI'!B19</f>
        <v>Roche</v>
      </c>
      <c r="C17" s="95">
        <f>'B) D RI'!U19</f>
        <v>48007.468357843129</v>
      </c>
      <c r="D17" s="415">
        <f>'E) Fact soc'!G23/C17</f>
        <v>18.151252337054725</v>
      </c>
      <c r="E17" s="136">
        <f>'H) Péréquation directe'!I28/C17</f>
        <v>-5.9157453575717636</v>
      </c>
      <c r="F17" s="415">
        <f>+'I) Dépenses thématiques'!U17</f>
        <v>0</v>
      </c>
      <c r="G17" s="136">
        <f t="shared" si="1"/>
        <v>12.235506979482961</v>
      </c>
      <c r="H17" s="416">
        <f>G17-'C) Prél. conj.'!I17</f>
        <v>7.5945966665441054</v>
      </c>
      <c r="I17" s="420">
        <f t="shared" si="2"/>
        <v>0</v>
      </c>
      <c r="J17" s="55">
        <f t="shared" si="3"/>
        <v>0</v>
      </c>
      <c r="K17" s="416">
        <f t="shared" si="4"/>
        <v>7.5945966665441054</v>
      </c>
      <c r="L17" s="455"/>
    </row>
    <row r="18" spans="1:12" x14ac:dyDescent="0.25">
      <c r="A18" s="49">
        <f>'A) Base RI'!A20</f>
        <v>5414</v>
      </c>
      <c r="B18" s="292" t="str">
        <f>'A) Base RI'!B20</f>
        <v>Villeneuve</v>
      </c>
      <c r="C18" s="95">
        <f>'B) D RI'!U20</f>
        <v>159468.65911111108</v>
      </c>
      <c r="D18" s="415">
        <f>'E) Fact soc'!G24/C18</f>
        <v>19.029008794787181</v>
      </c>
      <c r="E18" s="136">
        <f>'H) Péréquation directe'!I29/C18</f>
        <v>-9.2619555073601987</v>
      </c>
      <c r="F18" s="415">
        <f>+'I) Dépenses thématiques'!U18</f>
        <v>-15.30774802150396</v>
      </c>
      <c r="G18" s="136">
        <f t="shared" si="1"/>
        <v>-5.5406947340769772</v>
      </c>
      <c r="H18" s="416">
        <f>G18-'C) Prél. conj.'!I18</f>
        <v>-11.059361504748292</v>
      </c>
      <c r="I18" s="420">
        <f t="shared" si="2"/>
        <v>0</v>
      </c>
      <c r="J18" s="55">
        <f t="shared" si="3"/>
        <v>0</v>
      </c>
      <c r="K18" s="416">
        <f t="shared" si="4"/>
        <v>-11.059361504748292</v>
      </c>
      <c r="L18" s="455"/>
    </row>
    <row r="19" spans="1:12" x14ac:dyDescent="0.25">
      <c r="A19" s="49">
        <f>'A) Base RI'!A21</f>
        <v>5415</v>
      </c>
      <c r="B19" s="292" t="str">
        <f>'A) Base RI'!B21</f>
        <v>Yvorne</v>
      </c>
      <c r="C19" s="95">
        <f>'B) D RI'!U21</f>
        <v>38155.020093240091</v>
      </c>
      <c r="D19" s="415">
        <f>'E) Fact soc'!G25/C19</f>
        <v>18.314440267336956</v>
      </c>
      <c r="E19" s="136">
        <f>'H) Péréquation directe'!I30/C19</f>
        <v>8.0814846827935281</v>
      </c>
      <c r="F19" s="415">
        <f>+'I) Dépenses thématiques'!U19</f>
        <v>-4.6630263576286524</v>
      </c>
      <c r="G19" s="136">
        <f t="shared" si="1"/>
        <v>21.732898592501833</v>
      </c>
      <c r="H19" s="416">
        <f>G19-'C) Prél. conj.'!I19</f>
        <v>16.928800349280746</v>
      </c>
      <c r="I19" s="420">
        <f t="shared" si="2"/>
        <v>0</v>
      </c>
      <c r="J19" s="55">
        <f t="shared" si="3"/>
        <v>0</v>
      </c>
      <c r="K19" s="416">
        <f t="shared" si="4"/>
        <v>16.928800349280746</v>
      </c>
      <c r="L19" s="455"/>
    </row>
    <row r="20" spans="1:12" x14ac:dyDescent="0.25">
      <c r="A20" s="49">
        <f>'A) Base RI'!A22</f>
        <v>5421</v>
      </c>
      <c r="B20" s="292" t="str">
        <f>'A) Base RI'!B22</f>
        <v>Apples</v>
      </c>
      <c r="C20" s="95">
        <f>'B) D RI'!U22</f>
        <v>66313.601621621623</v>
      </c>
      <c r="D20" s="415">
        <f>'E) Fact soc'!G26/C20</f>
        <v>15.052420157399732</v>
      </c>
      <c r="E20" s="136">
        <f>'H) Péréquation directe'!I31/C20</f>
        <v>13.619756615021025</v>
      </c>
      <c r="F20" s="415">
        <f>+'I) Dépenses thématiques'!U20</f>
        <v>-7.6566440044589772</v>
      </c>
      <c r="G20" s="136">
        <f t="shared" si="1"/>
        <v>21.01553276796178</v>
      </c>
      <c r="H20" s="416">
        <f>G20-'C) Prél. conj.'!I20</f>
        <v>19.473454634677918</v>
      </c>
      <c r="I20" s="420">
        <f t="shared" si="2"/>
        <v>0</v>
      </c>
      <c r="J20" s="55">
        <f t="shared" si="3"/>
        <v>0</v>
      </c>
      <c r="K20" s="416">
        <f t="shared" si="4"/>
        <v>19.473454634677918</v>
      </c>
      <c r="L20" s="455"/>
    </row>
    <row r="21" spans="1:12" x14ac:dyDescent="0.25">
      <c r="A21" s="49">
        <f>'A) Base RI'!A23</f>
        <v>5422</v>
      </c>
      <c r="B21" s="292" t="str">
        <f>'A) Base RI'!B23</f>
        <v>Aubonne</v>
      </c>
      <c r="C21" s="95">
        <f>'B) D RI'!U23</f>
        <v>242388.1994160584</v>
      </c>
      <c r="D21" s="415">
        <f>'E) Fact soc'!G27/C21</f>
        <v>23.57347840509285</v>
      </c>
      <c r="E21" s="136">
        <f>'H) Péréquation directe'!I32/C21</f>
        <v>15.29467057321018</v>
      </c>
      <c r="F21" s="415">
        <f>+'I) Dépenses thématiques'!U21</f>
        <v>0</v>
      </c>
      <c r="G21" s="136">
        <f t="shared" si="1"/>
        <v>38.868148978303026</v>
      </c>
      <c r="H21" s="416">
        <f>G21-'C) Prél. conj.'!I21</f>
        <v>35.468925678716047</v>
      </c>
      <c r="I21" s="420">
        <f t="shared" si="2"/>
        <v>0</v>
      </c>
      <c r="J21" s="55">
        <f t="shared" si="3"/>
        <v>0</v>
      </c>
      <c r="K21" s="416">
        <f t="shared" si="4"/>
        <v>35.468925678716047</v>
      </c>
      <c r="L21" s="455"/>
    </row>
    <row r="22" spans="1:12" x14ac:dyDescent="0.25">
      <c r="A22" s="49">
        <f>'A) Base RI'!A24</f>
        <v>5423</v>
      </c>
      <c r="B22" s="292" t="str">
        <f>'A) Base RI'!B24</f>
        <v>Ballens</v>
      </c>
      <c r="C22" s="95">
        <f>'B) D RI'!U24</f>
        <v>17114.745479452053</v>
      </c>
      <c r="D22" s="415">
        <f>'E) Fact soc'!G28/C22</f>
        <v>15.777688041419445</v>
      </c>
      <c r="E22" s="136">
        <f>'H) Péréquation directe'!I33/C22</f>
        <v>2.6545955056294273</v>
      </c>
      <c r="F22" s="415">
        <f>+'I) Dépenses thématiques'!U22</f>
        <v>-8.1591174219535869</v>
      </c>
      <c r="G22" s="136">
        <f t="shared" si="1"/>
        <v>10.273166125095285</v>
      </c>
      <c r="H22" s="416">
        <f>G22-'C) Prél. conj.'!I22</f>
        <v>8.0058201077917079</v>
      </c>
      <c r="I22" s="420">
        <f t="shared" si="2"/>
        <v>0</v>
      </c>
      <c r="J22" s="55">
        <f t="shared" si="3"/>
        <v>0</v>
      </c>
      <c r="K22" s="416">
        <f t="shared" si="4"/>
        <v>8.0058201077917079</v>
      </c>
      <c r="L22" s="455"/>
    </row>
    <row r="23" spans="1:12" x14ac:dyDescent="0.25">
      <c r="A23" s="49">
        <f>'A) Base RI'!A25</f>
        <v>5424</v>
      </c>
      <c r="B23" s="292" t="str">
        <f>'A) Base RI'!B25</f>
        <v>Berolle</v>
      </c>
      <c r="C23" s="95">
        <f>'B) D RI'!U25</f>
        <v>9114.9769536423846</v>
      </c>
      <c r="D23" s="415">
        <f>'E) Fact soc'!G29/C23</f>
        <v>15.919492383100039</v>
      </c>
      <c r="E23" s="136">
        <f>'H) Péréquation directe'!I34/C23</f>
        <v>-5.2652166735943147E-2</v>
      </c>
      <c r="F23" s="415">
        <f>+'I) Dépenses thématiques'!U23</f>
        <v>-5.1095727959613395</v>
      </c>
      <c r="G23" s="136">
        <f t="shared" si="1"/>
        <v>10.757267420402757</v>
      </c>
      <c r="H23" s="416">
        <f>G23-'C) Prél. conj.'!I23</f>
        <v>8.348117061418586</v>
      </c>
      <c r="I23" s="420">
        <f t="shared" si="2"/>
        <v>0</v>
      </c>
      <c r="J23" s="55">
        <f t="shared" si="3"/>
        <v>0</v>
      </c>
      <c r="K23" s="416">
        <f t="shared" si="4"/>
        <v>8.348117061418586</v>
      </c>
      <c r="L23" s="455"/>
    </row>
    <row r="24" spans="1:12" x14ac:dyDescent="0.25">
      <c r="A24" s="49">
        <f>'A) Base RI'!A26</f>
        <v>5425</v>
      </c>
      <c r="B24" s="292" t="str">
        <f>'A) Base RI'!B26</f>
        <v>Bière</v>
      </c>
      <c r="C24" s="95">
        <f>'B) D RI'!U26</f>
        <v>40211.969135432286</v>
      </c>
      <c r="D24" s="415">
        <f>'E) Fact soc'!G30/C24</f>
        <v>17.081165788463124</v>
      </c>
      <c r="E24" s="136">
        <f>'H) Péréquation directe'!I35/C24</f>
        <v>-7.4592981013929478</v>
      </c>
      <c r="F24" s="415">
        <f>+'I) Dépenses thématiques'!U24</f>
        <v>-14.816190829383197</v>
      </c>
      <c r="G24" s="136">
        <f t="shared" si="1"/>
        <v>-5.1943231423130207</v>
      </c>
      <c r="H24" s="416">
        <f>G24-'C) Prél. conj.'!I24</f>
        <v>-8.7651469066602772</v>
      </c>
      <c r="I24" s="420">
        <f t="shared" si="2"/>
        <v>0</v>
      </c>
      <c r="J24" s="55">
        <f t="shared" si="3"/>
        <v>0</v>
      </c>
      <c r="K24" s="416">
        <f t="shared" si="4"/>
        <v>-8.7651469066602772</v>
      </c>
      <c r="L24" s="455"/>
    </row>
    <row r="25" spans="1:12" x14ac:dyDescent="0.25">
      <c r="A25" s="49">
        <f>'A) Base RI'!A27</f>
        <v>5426</v>
      </c>
      <c r="B25" s="292" t="str">
        <f>'A) Base RI'!B27</f>
        <v>Bougy-Villars</v>
      </c>
      <c r="C25" s="95">
        <f>'B) D RI'!U27</f>
        <v>55602.775012919898</v>
      </c>
      <c r="D25" s="415">
        <f>'E) Fact soc'!G31/C25</f>
        <v>30.497940631578494</v>
      </c>
      <c r="E25" s="136">
        <f>'H) Péréquation directe'!I36/C25</f>
        <v>18.100335448406334</v>
      </c>
      <c r="F25" s="415">
        <f>+'I) Dépenses thématiques'!U25</f>
        <v>0</v>
      </c>
      <c r="G25" s="136">
        <f t="shared" si="1"/>
        <v>48.598276079984828</v>
      </c>
      <c r="H25" s="416">
        <f>G25-'C) Prél. conj.'!I25</f>
        <v>46.002906604873772</v>
      </c>
      <c r="I25" s="420">
        <f t="shared" si="2"/>
        <v>0</v>
      </c>
      <c r="J25" s="55">
        <f t="shared" si="3"/>
        <v>0</v>
      </c>
      <c r="K25" s="416">
        <f t="shared" si="4"/>
        <v>46.002906604873772</v>
      </c>
      <c r="L25" s="455"/>
    </row>
    <row r="26" spans="1:12" x14ac:dyDescent="0.25">
      <c r="A26" s="49">
        <f>'A) Base RI'!A28</f>
        <v>5427</v>
      </c>
      <c r="B26" s="292" t="str">
        <f>'A) Base RI'!B28</f>
        <v>Féchy</v>
      </c>
      <c r="C26" s="95">
        <f>'B) D RI'!U28</f>
        <v>77020.028293269235</v>
      </c>
      <c r="D26" s="415">
        <f>'E) Fact soc'!G32/C26</f>
        <v>24.091731249451254</v>
      </c>
      <c r="E26" s="136">
        <f>'H) Péréquation directe'!I37/C26</f>
        <v>17.765046963898762</v>
      </c>
      <c r="F26" s="415">
        <f>+'I) Dépenses thématiques'!U26</f>
        <v>0</v>
      </c>
      <c r="G26" s="136">
        <f t="shared" si="1"/>
        <v>41.856778213350012</v>
      </c>
      <c r="H26" s="416">
        <f>G26-'C) Prél. conj.'!I26</f>
        <v>40.527384388536944</v>
      </c>
      <c r="I26" s="420">
        <f t="shared" si="2"/>
        <v>0</v>
      </c>
      <c r="J26" s="55">
        <f t="shared" si="3"/>
        <v>0</v>
      </c>
      <c r="K26" s="416">
        <f t="shared" si="4"/>
        <v>40.527384388536944</v>
      </c>
      <c r="L26" s="455"/>
    </row>
    <row r="27" spans="1:12" x14ac:dyDescent="0.25">
      <c r="A27" s="49">
        <f>'A) Base RI'!A29</f>
        <v>5428</v>
      </c>
      <c r="B27" s="292" t="str">
        <f>'A) Base RI'!B29</f>
        <v>Gimel</v>
      </c>
      <c r="C27" s="95">
        <f>'B) D RI'!U29</f>
        <v>70193.222975391502</v>
      </c>
      <c r="D27" s="415">
        <f>'E) Fact soc'!G33/C27</f>
        <v>20.530103535462139</v>
      </c>
      <c r="E27" s="136">
        <f>'H) Péréquation directe'!I38/C27</f>
        <v>-2.0525771427638144</v>
      </c>
      <c r="F27" s="415">
        <f>+'I) Dépenses thématiques'!U27</f>
        <v>-3.5768623276370795</v>
      </c>
      <c r="G27" s="136">
        <f t="shared" si="1"/>
        <v>14.900664065061243</v>
      </c>
      <c r="H27" s="416">
        <f>G27-'C) Prél. conj.'!I27</f>
        <v>7.8809025537149724</v>
      </c>
      <c r="I27" s="420">
        <f t="shared" si="2"/>
        <v>0</v>
      </c>
      <c r="J27" s="55">
        <f t="shared" si="3"/>
        <v>0</v>
      </c>
      <c r="K27" s="416">
        <f t="shared" si="4"/>
        <v>7.8809025537149724</v>
      </c>
      <c r="L27" s="455"/>
    </row>
    <row r="28" spans="1:12" x14ac:dyDescent="0.25">
      <c r="A28" s="49">
        <f>'A) Base RI'!A30</f>
        <v>5429</v>
      </c>
      <c r="B28" s="292" t="str">
        <f>'A) Base RI'!B30</f>
        <v>Longirod</v>
      </c>
      <c r="C28" s="95">
        <f>'B) D RI'!U30</f>
        <v>16140.77393548387</v>
      </c>
      <c r="D28" s="415">
        <f>'E) Fact soc'!G34/C28</f>
        <v>16.402505075688936</v>
      </c>
      <c r="E28" s="136">
        <f>'H) Péréquation directe'!I39/C28</f>
        <v>3.9407656340692823</v>
      </c>
      <c r="F28" s="415">
        <f>+'I) Dépenses thématiques'!U28</f>
        <v>-7.6038191493204019</v>
      </c>
      <c r="G28" s="136">
        <f t="shared" si="1"/>
        <v>12.739451560437818</v>
      </c>
      <c r="H28" s="416">
        <f>G28-'C) Prél. conj.'!I28</f>
        <v>9.8472885088647537</v>
      </c>
      <c r="I28" s="420">
        <f t="shared" si="2"/>
        <v>0</v>
      </c>
      <c r="J28" s="55">
        <f t="shared" si="3"/>
        <v>0</v>
      </c>
      <c r="K28" s="416">
        <f t="shared" si="4"/>
        <v>9.8472885088647537</v>
      </c>
      <c r="L28" s="455"/>
    </row>
    <row r="29" spans="1:12" x14ac:dyDescent="0.25">
      <c r="A29" s="49">
        <f>'A) Base RI'!A31</f>
        <v>5430</v>
      </c>
      <c r="B29" s="292" t="str">
        <f>'A) Base RI'!B31</f>
        <v>Marchissy</v>
      </c>
      <c r="C29" s="95">
        <f>'B) D RI'!U31</f>
        <v>14848.450709677421</v>
      </c>
      <c r="D29" s="415">
        <f>'E) Fact soc'!G35/C29</f>
        <v>16.47073943253714</v>
      </c>
      <c r="E29" s="136">
        <f>'H) Péréquation directe'!I40/C29</f>
        <v>1.6433381373181433</v>
      </c>
      <c r="F29" s="415">
        <f>+'I) Dépenses thématiques'!U29</f>
        <v>-24.783794949720523</v>
      </c>
      <c r="G29" s="136">
        <f t="shared" si="1"/>
        <v>-6.66971737986524</v>
      </c>
      <c r="H29" s="416">
        <f>G29-'C) Prél. conj.'!I29</f>
        <v>-9.6301147882865088</v>
      </c>
      <c r="I29" s="420">
        <f t="shared" si="2"/>
        <v>0</v>
      </c>
      <c r="J29" s="55">
        <f t="shared" si="3"/>
        <v>0</v>
      </c>
      <c r="K29" s="416">
        <f t="shared" si="4"/>
        <v>-9.6301147882865088</v>
      </c>
      <c r="L29" s="455"/>
    </row>
    <row r="30" spans="1:12" x14ac:dyDescent="0.25">
      <c r="A30" s="49">
        <f>'A) Base RI'!A32</f>
        <v>5431</v>
      </c>
      <c r="B30" s="292" t="str">
        <f>'A) Base RI'!B32</f>
        <v>Mollens</v>
      </c>
      <c r="C30" s="95">
        <f>'B) D RI'!U32</f>
        <v>9333.4747297297308</v>
      </c>
      <c r="D30" s="415">
        <f>'E) Fact soc'!G36/C30</f>
        <v>22.794856367308324</v>
      </c>
      <c r="E30" s="136">
        <f>'H) Péréquation directe'!I41/C30</f>
        <v>-0.66714981382791094</v>
      </c>
      <c r="F30" s="415">
        <f>+'I) Dépenses thématiques'!U30</f>
        <v>-7.9457327224661389</v>
      </c>
      <c r="G30" s="136">
        <f t="shared" si="1"/>
        <v>14.181973831014272</v>
      </c>
      <c r="H30" s="416">
        <f>G30-'C) Prél. conj.'!I30</f>
        <v>4.8974594878218181</v>
      </c>
      <c r="I30" s="420">
        <f t="shared" si="2"/>
        <v>0</v>
      </c>
      <c r="J30" s="55">
        <f t="shared" si="3"/>
        <v>0</v>
      </c>
      <c r="K30" s="416">
        <f t="shared" si="4"/>
        <v>4.8974594878218181</v>
      </c>
      <c r="L30" s="455"/>
    </row>
    <row r="31" spans="1:12" x14ac:dyDescent="0.25">
      <c r="A31" s="49">
        <f>'A) Base RI'!A33</f>
        <v>5432</v>
      </c>
      <c r="B31" s="292" t="str">
        <f>'A) Base RI'!B33</f>
        <v>Montherod</v>
      </c>
      <c r="C31" s="95">
        <f>'B) D RI'!U33</f>
        <v>16429.509999999998</v>
      </c>
      <c r="D31" s="415">
        <f>'E) Fact soc'!G37/C31</f>
        <v>17.179066471771339</v>
      </c>
      <c r="E31" s="136">
        <f>'H) Péréquation directe'!I42/C31</f>
        <v>3.1799099171955603</v>
      </c>
      <c r="F31" s="415">
        <f>+'I) Dépenses thématiques'!U31</f>
        <v>-2.2509307946493848</v>
      </c>
      <c r="G31" s="136">
        <f t="shared" si="1"/>
        <v>18.108045594317513</v>
      </c>
      <c r="H31" s="416">
        <f>G31-'C) Prél. conj.'!I31</f>
        <v>14.439321146662044</v>
      </c>
      <c r="I31" s="420">
        <f t="shared" si="2"/>
        <v>0</v>
      </c>
      <c r="J31" s="55">
        <f t="shared" si="3"/>
        <v>0</v>
      </c>
      <c r="K31" s="416">
        <f t="shared" si="4"/>
        <v>14.439321146662044</v>
      </c>
      <c r="L31" s="455"/>
    </row>
    <row r="32" spans="1:12" x14ac:dyDescent="0.25">
      <c r="A32" s="49">
        <f>'A) Base RI'!A34</f>
        <v>5434</v>
      </c>
      <c r="B32" s="292" t="str">
        <f>'A) Base RI'!B34</f>
        <v>Saint-George</v>
      </c>
      <c r="C32" s="95">
        <f>'B) D RI'!U34</f>
        <v>40796.774220623498</v>
      </c>
      <c r="D32" s="415">
        <f>'E) Fact soc'!G38/C32</f>
        <v>16.330150261352568</v>
      </c>
      <c r="E32" s="136">
        <f>'H) Péréquation directe'!I43/C32</f>
        <v>10.29967130748493</v>
      </c>
      <c r="F32" s="415">
        <f>+'I) Dépenses thématiques'!U32</f>
        <v>-1.3470959502173223</v>
      </c>
      <c r="G32" s="136">
        <f t="shared" si="1"/>
        <v>25.282725618620177</v>
      </c>
      <c r="H32" s="416">
        <f>G32-'C) Prél. conj.'!I32</f>
        <v>22.462917381383477</v>
      </c>
      <c r="I32" s="420">
        <f t="shared" si="2"/>
        <v>0</v>
      </c>
      <c r="J32" s="55">
        <f t="shared" si="3"/>
        <v>0</v>
      </c>
      <c r="K32" s="416">
        <f t="shared" si="4"/>
        <v>22.462917381383477</v>
      </c>
      <c r="L32" s="455"/>
    </row>
    <row r="33" spans="1:12" x14ac:dyDescent="0.25">
      <c r="A33" s="49">
        <f>'A) Base RI'!A35</f>
        <v>5435</v>
      </c>
      <c r="B33" s="292" t="str">
        <f>'A) Base RI'!B35</f>
        <v>Saint-Livres</v>
      </c>
      <c r="C33" s="95">
        <f>'B) D RI'!U35</f>
        <v>26346.510144927532</v>
      </c>
      <c r="D33" s="415">
        <f>'E) Fact soc'!G39/C33</f>
        <v>16.156288854133564</v>
      </c>
      <c r="E33" s="136">
        <f>'H) Péréquation directe'!I44/C33</f>
        <v>11.19858488782257</v>
      </c>
      <c r="F33" s="415">
        <f>+'I) Dépenses thématiques'!U33</f>
        <v>-1.5368900437931676</v>
      </c>
      <c r="G33" s="136">
        <f t="shared" si="1"/>
        <v>25.817983698162966</v>
      </c>
      <c r="H33" s="416">
        <f>G33-'C) Prél. conj.'!I33</f>
        <v>23.172036868145273</v>
      </c>
      <c r="I33" s="420">
        <f t="shared" si="2"/>
        <v>0</v>
      </c>
      <c r="J33" s="55">
        <f t="shared" si="3"/>
        <v>0</v>
      </c>
      <c r="K33" s="416">
        <f t="shared" si="4"/>
        <v>23.172036868145273</v>
      </c>
      <c r="L33" s="455"/>
    </row>
    <row r="34" spans="1:12" x14ac:dyDescent="0.25">
      <c r="A34" s="49">
        <f>'A) Base RI'!A36</f>
        <v>5436</v>
      </c>
      <c r="B34" s="292" t="str">
        <f>'A) Base RI'!B36</f>
        <v>Saint-Oyens</v>
      </c>
      <c r="C34" s="95">
        <f>'B) D RI'!U36</f>
        <v>16755.63848765432</v>
      </c>
      <c r="D34" s="415">
        <f>'E) Fact soc'!G40/C34</f>
        <v>15.355167574796951</v>
      </c>
      <c r="E34" s="136">
        <f>'H) Péréquation directe'!I45/C34</f>
        <v>7.1899762566209482</v>
      </c>
      <c r="F34" s="415">
        <f>+'I) Dépenses thématiques'!U34</f>
        <v>0</v>
      </c>
      <c r="G34" s="136">
        <f t="shared" si="1"/>
        <v>22.545143831417899</v>
      </c>
      <c r="H34" s="416">
        <f>G34-'C) Prél. conj.'!I34</f>
        <v>20.700318280736816</v>
      </c>
      <c r="I34" s="420">
        <f t="shared" si="2"/>
        <v>0</v>
      </c>
      <c r="J34" s="55">
        <f t="shared" si="3"/>
        <v>0</v>
      </c>
      <c r="K34" s="416">
        <f t="shared" si="4"/>
        <v>20.700318280736816</v>
      </c>
      <c r="L34" s="455"/>
    </row>
    <row r="35" spans="1:12" x14ac:dyDescent="0.25">
      <c r="A35" s="49">
        <f>'A) Base RI'!A37</f>
        <v>5437</v>
      </c>
      <c r="B35" s="292" t="str">
        <f>'A) Base RI'!B37</f>
        <v>Saubraz</v>
      </c>
      <c r="C35" s="95">
        <f>'B) D RI'!U37</f>
        <v>13391.905875</v>
      </c>
      <c r="D35" s="415">
        <f>'E) Fact soc'!G41/C35</f>
        <v>17.526148325472509</v>
      </c>
      <c r="E35" s="136">
        <f>'H) Péréquation directe'!I46/C35</f>
        <v>1.8572213245578879</v>
      </c>
      <c r="F35" s="415">
        <f>+'I) Dépenses thématiques'!U35</f>
        <v>-1.1130652267969288</v>
      </c>
      <c r="G35" s="136">
        <f t="shared" si="1"/>
        <v>18.270304423233465</v>
      </c>
      <c r="H35" s="416">
        <f>G35-'C) Prél. conj.'!I35</f>
        <v>14.254498121876825</v>
      </c>
      <c r="I35" s="420">
        <f t="shared" si="2"/>
        <v>0</v>
      </c>
      <c r="J35" s="55">
        <f t="shared" si="3"/>
        <v>0</v>
      </c>
      <c r="K35" s="416">
        <f t="shared" si="4"/>
        <v>14.254498121876825</v>
      </c>
      <c r="L35" s="455"/>
    </row>
    <row r="36" spans="1:12" x14ac:dyDescent="0.25">
      <c r="A36" s="49">
        <f>'A) Base RI'!A38</f>
        <v>5451</v>
      </c>
      <c r="B36" s="292" t="str">
        <f>'A) Base RI'!B38</f>
        <v>Avenches</v>
      </c>
      <c r="C36" s="95">
        <f>'B) D RI'!U38</f>
        <v>129500.81187969925</v>
      </c>
      <c r="D36" s="415">
        <f>'E) Fact soc'!G42/C36</f>
        <v>17.159276329168488</v>
      </c>
      <c r="E36" s="136">
        <f>'H) Péréquation directe'!I47/C36</f>
        <v>-4.6676678718604281</v>
      </c>
      <c r="F36" s="415">
        <f>+'I) Dépenses thématiques'!U36</f>
        <v>-10.586699101125269</v>
      </c>
      <c r="G36" s="136">
        <f t="shared" si="1"/>
        <v>1.9049093561827917</v>
      </c>
      <c r="H36" s="416">
        <f>G36-'C) Prél. conj.'!I36</f>
        <v>-1.7440249488698245</v>
      </c>
      <c r="I36" s="420">
        <f t="shared" si="2"/>
        <v>0</v>
      </c>
      <c r="J36" s="55">
        <f t="shared" si="3"/>
        <v>0</v>
      </c>
      <c r="K36" s="416">
        <f t="shared" si="4"/>
        <v>-1.7440249488698245</v>
      </c>
      <c r="L36" s="455"/>
    </row>
    <row r="37" spans="1:12" x14ac:dyDescent="0.25">
      <c r="A37" s="49">
        <f>'A) Base RI'!A39</f>
        <v>5456</v>
      </c>
      <c r="B37" s="292" t="str">
        <f>'A) Base RI'!B39</f>
        <v>Cudrefin</v>
      </c>
      <c r="C37" s="95">
        <f>'B) D RI'!U39</f>
        <v>64226.933276836171</v>
      </c>
      <c r="D37" s="415">
        <f>'E) Fact soc'!G43/C37</f>
        <v>16.35354417753177</v>
      </c>
      <c r="E37" s="136">
        <f>'H) Péréquation directe'!I48/C37</f>
        <v>8.3388807175031054</v>
      </c>
      <c r="F37" s="415">
        <f>+'I) Dépenses thématiques'!U37</f>
        <v>-3.6387834264425503</v>
      </c>
      <c r="G37" s="136">
        <f t="shared" si="1"/>
        <v>21.053641468592325</v>
      </c>
      <c r="H37" s="416">
        <f>G37-'C) Prél. conj.'!I37</f>
        <v>18.210439315176423</v>
      </c>
      <c r="I37" s="420">
        <f t="shared" si="2"/>
        <v>0</v>
      </c>
      <c r="J37" s="55">
        <f t="shared" si="3"/>
        <v>0</v>
      </c>
      <c r="K37" s="416">
        <f t="shared" si="4"/>
        <v>18.210439315176423</v>
      </c>
      <c r="L37" s="455"/>
    </row>
    <row r="38" spans="1:12" x14ac:dyDescent="0.25">
      <c r="A38" s="49">
        <f>'A) Base RI'!A40</f>
        <v>5458</v>
      </c>
      <c r="B38" s="292" t="str">
        <f>'A) Base RI'!B40</f>
        <v>Faoug</v>
      </c>
      <c r="C38" s="95">
        <f>'B) D RI'!U40</f>
        <v>32198.404090909091</v>
      </c>
      <c r="D38" s="415">
        <f>'E) Fact soc'!G44/C38</f>
        <v>16.075400521015681</v>
      </c>
      <c r="E38" s="136">
        <f>'H) Péréquation directe'!I49/C38</f>
        <v>10.214013010449733</v>
      </c>
      <c r="F38" s="415">
        <f>+'I) Dépenses thématiques'!U38</f>
        <v>-3.281011231372577</v>
      </c>
      <c r="G38" s="136">
        <f t="shared" si="1"/>
        <v>23.008402300092836</v>
      </c>
      <c r="H38" s="416">
        <f>G38-'C) Prél. conj.'!I38</f>
        <v>20.443343803193024</v>
      </c>
      <c r="I38" s="420">
        <f t="shared" si="2"/>
        <v>0</v>
      </c>
      <c r="J38" s="55">
        <f t="shared" si="3"/>
        <v>0</v>
      </c>
      <c r="K38" s="416">
        <f t="shared" si="4"/>
        <v>20.443343803193024</v>
      </c>
      <c r="L38" s="455"/>
    </row>
    <row r="39" spans="1:12" x14ac:dyDescent="0.25">
      <c r="A39" s="49">
        <f>'A) Base RI'!A41</f>
        <v>5464</v>
      </c>
      <c r="B39" s="292" t="str">
        <f>'A) Base RI'!B41</f>
        <v>Vully-les-Lacs</v>
      </c>
      <c r="C39" s="95">
        <f>'B) D RI'!U41</f>
        <v>111597.31895522389</v>
      </c>
      <c r="D39" s="415">
        <f>'E) Fact soc'!G45/C39</f>
        <v>15.592970640787673</v>
      </c>
      <c r="E39" s="136">
        <f>'H) Péréquation directe'!I50/C39</f>
        <v>2.1210860087555914</v>
      </c>
      <c r="F39" s="415">
        <f>+'I) Dépenses thématiques'!U39</f>
        <v>-3.1495141600102388</v>
      </c>
      <c r="G39" s="136">
        <f t="shared" si="1"/>
        <v>14.564542489533025</v>
      </c>
      <c r="H39" s="416">
        <f>G39-'C) Prél. conj.'!I39</f>
        <v>12.48191387286122</v>
      </c>
      <c r="I39" s="420">
        <f t="shared" si="2"/>
        <v>0</v>
      </c>
      <c r="J39" s="55">
        <f t="shared" si="3"/>
        <v>0</v>
      </c>
      <c r="K39" s="416">
        <f t="shared" si="4"/>
        <v>12.48191387286122</v>
      </c>
      <c r="L39" s="455"/>
    </row>
    <row r="40" spans="1:12" x14ac:dyDescent="0.25">
      <c r="A40" s="49">
        <f>'A) Base RI'!A42</f>
        <v>5471</v>
      </c>
      <c r="B40" s="292" t="str">
        <f>'A) Base RI'!B42</f>
        <v>Bettens</v>
      </c>
      <c r="C40" s="95">
        <f>'B) D RI'!U42</f>
        <v>20385.282730158731</v>
      </c>
      <c r="D40" s="415">
        <f>'E) Fact soc'!G46/C40</f>
        <v>15.241407051131329</v>
      </c>
      <c r="E40" s="136">
        <f>'H) Péréquation directe'!I51/C40</f>
        <v>5.4103210684683853</v>
      </c>
      <c r="F40" s="415">
        <f>+'I) Dépenses thématiques'!U40</f>
        <v>-1.0827935972843747</v>
      </c>
      <c r="G40" s="136">
        <f t="shared" si="1"/>
        <v>19.568934522315338</v>
      </c>
      <c r="H40" s="416">
        <f>G40-'C) Prél. conj.'!I40</f>
        <v>17.837869495299877</v>
      </c>
      <c r="I40" s="420">
        <f t="shared" si="2"/>
        <v>0</v>
      </c>
      <c r="J40" s="55">
        <f t="shared" si="3"/>
        <v>0</v>
      </c>
      <c r="K40" s="416">
        <f t="shared" si="4"/>
        <v>17.837869495299877</v>
      </c>
      <c r="L40" s="455"/>
    </row>
    <row r="41" spans="1:12" x14ac:dyDescent="0.25">
      <c r="A41" s="49">
        <f>'A) Base RI'!A43</f>
        <v>5472</v>
      </c>
      <c r="B41" s="292" t="str">
        <f>'A) Base RI'!B43</f>
        <v>Bournens</v>
      </c>
      <c r="C41" s="95">
        <f>'B) D RI'!U43</f>
        <v>20143.161388888886</v>
      </c>
      <c r="D41" s="415">
        <f>'E) Fact soc'!G47/C41</f>
        <v>17.838315837009439</v>
      </c>
      <c r="E41" s="136">
        <f>'H) Péréquation directe'!I52/C41</f>
        <v>12.575407880781322</v>
      </c>
      <c r="F41" s="415">
        <f>+'I) Dépenses thématiques'!U41</f>
        <v>-0.77698225497843021</v>
      </c>
      <c r="G41" s="136">
        <f t="shared" si="1"/>
        <v>29.636741462812328</v>
      </c>
      <c r="H41" s="416">
        <f>G41-'C) Prél. conj.'!I41</f>
        <v>25.308767649918757</v>
      </c>
      <c r="I41" s="420">
        <f t="shared" si="2"/>
        <v>0</v>
      </c>
      <c r="J41" s="55">
        <f t="shared" si="3"/>
        <v>0</v>
      </c>
      <c r="K41" s="416">
        <f t="shared" si="4"/>
        <v>25.308767649918757</v>
      </c>
      <c r="L41" s="455"/>
    </row>
    <row r="42" spans="1:12" x14ac:dyDescent="0.25">
      <c r="A42" s="49">
        <f>'A) Base RI'!A44</f>
        <v>5473</v>
      </c>
      <c r="B42" s="292" t="str">
        <f>'A) Base RI'!B44</f>
        <v>Boussens</v>
      </c>
      <c r="C42" s="95">
        <f>'B) D RI'!U44</f>
        <v>37775.140592592586</v>
      </c>
      <c r="D42" s="415">
        <f>'E) Fact soc'!G48/C42</f>
        <v>14.794921889042049</v>
      </c>
      <c r="E42" s="136">
        <f>'H) Péréquation directe'!I53/C42</f>
        <v>10.878318547028526</v>
      </c>
      <c r="F42" s="415">
        <f>+'I) Dépenses thématiques'!U42</f>
        <v>0</v>
      </c>
      <c r="G42" s="136">
        <f t="shared" si="1"/>
        <v>25.673240436070575</v>
      </c>
      <c r="H42" s="416">
        <f>G42-'C) Prél. conj.'!I42</f>
        <v>24.388660571144396</v>
      </c>
      <c r="I42" s="420">
        <f t="shared" si="2"/>
        <v>0</v>
      </c>
      <c r="J42" s="55">
        <f t="shared" si="3"/>
        <v>0</v>
      </c>
      <c r="K42" s="416">
        <f t="shared" si="4"/>
        <v>24.388660571144396</v>
      </c>
      <c r="L42" s="455"/>
    </row>
    <row r="43" spans="1:12" x14ac:dyDescent="0.25">
      <c r="A43" s="49">
        <f>'A) Base RI'!A45</f>
        <v>5474</v>
      </c>
      <c r="B43" s="292" t="str">
        <f>'A) Base RI'!B45</f>
        <v>La Chaux (Cossonay)</v>
      </c>
      <c r="C43" s="95">
        <f>'B) D RI'!U45</f>
        <v>13182.521580086577</v>
      </c>
      <c r="D43" s="415">
        <f>'E) Fact soc'!G49/C43</f>
        <v>17.627552048788822</v>
      </c>
      <c r="E43" s="136">
        <f>'H) Péréquation directe'!I54/C43</f>
        <v>5.2880272722781845</v>
      </c>
      <c r="F43" s="415">
        <f>+'I) Dépenses thématiques'!U43</f>
        <v>-16.880637681309153</v>
      </c>
      <c r="G43" s="136">
        <f t="shared" si="1"/>
        <v>6.0349416397578537</v>
      </c>
      <c r="H43" s="416">
        <f>G43-'C) Prél. conj.'!I43</f>
        <v>1.9177316150849002</v>
      </c>
      <c r="I43" s="420">
        <f t="shared" si="2"/>
        <v>0</v>
      </c>
      <c r="J43" s="55">
        <f t="shared" si="3"/>
        <v>0</v>
      </c>
      <c r="K43" s="416">
        <f t="shared" si="4"/>
        <v>1.9177316150849002</v>
      </c>
      <c r="L43" s="455"/>
    </row>
    <row r="44" spans="1:12" x14ac:dyDescent="0.25">
      <c r="A44" s="49">
        <f>'A) Base RI'!A46</f>
        <v>5475</v>
      </c>
      <c r="B44" s="292" t="str">
        <f>'A) Base RI'!B46</f>
        <v>Chavannes-le-Veyron</v>
      </c>
      <c r="C44" s="95">
        <f>'B) D RI'!U46</f>
        <v>3874.6645454545451</v>
      </c>
      <c r="D44" s="415">
        <f>'E) Fact soc'!G50/C44</f>
        <v>16.546450017980913</v>
      </c>
      <c r="E44" s="136">
        <f>'H) Péréquation directe'!I55/C44</f>
        <v>-6.8625055499278718</v>
      </c>
      <c r="F44" s="415">
        <f>+'I) Dépenses thématiques'!U44</f>
        <v>-8.0676053246603647</v>
      </c>
      <c r="G44" s="136">
        <f t="shared" si="1"/>
        <v>1.6163391433926773</v>
      </c>
      <c r="H44" s="416">
        <f>G44-'C) Prél. conj.'!I44</f>
        <v>-1.4197688504723636</v>
      </c>
      <c r="I44" s="420">
        <f t="shared" si="2"/>
        <v>0</v>
      </c>
      <c r="J44" s="55">
        <f t="shared" si="3"/>
        <v>0</v>
      </c>
      <c r="K44" s="416">
        <f t="shared" si="4"/>
        <v>-1.4197688504723636</v>
      </c>
      <c r="L44" s="455"/>
    </row>
    <row r="45" spans="1:12" x14ac:dyDescent="0.25">
      <c r="A45" s="49">
        <f>'A) Base RI'!A47</f>
        <v>5476</v>
      </c>
      <c r="B45" s="292" t="str">
        <f>'A) Base RI'!B47</f>
        <v>Chevilly</v>
      </c>
      <c r="C45" s="95">
        <f>'B) D RI'!U47</f>
        <v>11839.396756756756</v>
      </c>
      <c r="D45" s="415">
        <f>'E) Fact soc'!G51/C45</f>
        <v>14.069116270466258</v>
      </c>
      <c r="E45" s="136">
        <f>'H) Péréquation directe'!I56/C45</f>
        <v>9.4786356691373186</v>
      </c>
      <c r="F45" s="415">
        <f>+'I) Dépenses thématiques'!U45</f>
        <v>-0.36859584336017126</v>
      </c>
      <c r="G45" s="136">
        <f t="shared" si="1"/>
        <v>23.179156096243407</v>
      </c>
      <c r="H45" s="416">
        <f>G45-'C) Prél. conj.'!I45</f>
        <v>22.620381849893018</v>
      </c>
      <c r="I45" s="420">
        <f t="shared" si="2"/>
        <v>0</v>
      </c>
      <c r="J45" s="55">
        <f t="shared" si="3"/>
        <v>0</v>
      </c>
      <c r="K45" s="416">
        <f t="shared" si="4"/>
        <v>22.620381849893018</v>
      </c>
      <c r="L45" s="455"/>
    </row>
    <row r="46" spans="1:12" x14ac:dyDescent="0.25">
      <c r="A46" s="49">
        <f>'A) Base RI'!A48</f>
        <v>5477</v>
      </c>
      <c r="B46" s="292" t="str">
        <f>'A) Base RI'!B48</f>
        <v>Cossonay</v>
      </c>
      <c r="C46" s="95">
        <f>'B) D RI'!U48</f>
        <v>119154.03251798562</v>
      </c>
      <c r="D46" s="415">
        <f>'E) Fact soc'!G52/C46</f>
        <v>19.65129994670696</v>
      </c>
      <c r="E46" s="136">
        <f>'H) Péréquation directe'!I57/C46</f>
        <v>-6.4876174878062693</v>
      </c>
      <c r="F46" s="415">
        <f>+'I) Dépenses thématiques'!U46</f>
        <v>-7.1695479946357468</v>
      </c>
      <c r="G46" s="136">
        <f t="shared" si="1"/>
        <v>5.9941344642649446</v>
      </c>
      <c r="H46" s="416">
        <f>G46-'C) Prél. conj.'!I46</f>
        <v>-0.14682345832614363</v>
      </c>
      <c r="I46" s="420">
        <f t="shared" si="2"/>
        <v>0</v>
      </c>
      <c r="J46" s="55">
        <f t="shared" si="3"/>
        <v>0</v>
      </c>
      <c r="K46" s="416">
        <f t="shared" si="4"/>
        <v>-0.14682345832614363</v>
      </c>
      <c r="L46" s="455"/>
    </row>
    <row r="47" spans="1:12" x14ac:dyDescent="0.25">
      <c r="A47" s="49">
        <f>'A) Base RI'!A49</f>
        <v>5478</v>
      </c>
      <c r="B47" s="292" t="str">
        <f>'A) Base RI'!B49</f>
        <v>Cottens</v>
      </c>
      <c r="C47" s="95">
        <f>'B) D RI'!U49</f>
        <v>16291.497837837833</v>
      </c>
      <c r="D47" s="415">
        <f>'E) Fact soc'!G53/C47</f>
        <v>13.795074898046366</v>
      </c>
      <c r="E47" s="136">
        <f>'H) Péréquation directe'!I58/C47</f>
        <v>5.5021712185316023</v>
      </c>
      <c r="F47" s="415">
        <f>+'I) Dépenses thématiques'!U47</f>
        <v>-33.338832216612026</v>
      </c>
      <c r="G47" s="136">
        <f t="shared" si="1"/>
        <v>-14.04158610003406</v>
      </c>
      <c r="H47" s="416">
        <f>G47-'C) Prél. conj.'!I47</f>
        <v>-14.326318973964554</v>
      </c>
      <c r="I47" s="420">
        <f t="shared" si="2"/>
        <v>0</v>
      </c>
      <c r="J47" s="55">
        <f t="shared" si="3"/>
        <v>0</v>
      </c>
      <c r="K47" s="416">
        <f t="shared" si="4"/>
        <v>-14.326318973964554</v>
      </c>
      <c r="L47" s="455"/>
    </row>
    <row r="48" spans="1:12" x14ac:dyDescent="0.25">
      <c r="A48" s="49">
        <f>'A) Base RI'!A50</f>
        <v>5479</v>
      </c>
      <c r="B48" s="292" t="str">
        <f>'A) Base RI'!B50</f>
        <v>Cuarnens</v>
      </c>
      <c r="C48" s="95">
        <f>'B) D RI'!U50</f>
        <v>18068.978311688308</v>
      </c>
      <c r="D48" s="415">
        <f>'E) Fact soc'!G54/C48</f>
        <v>18.142780757292865</v>
      </c>
      <c r="E48" s="136">
        <f>'H) Péréquation directe'!I59/C48</f>
        <v>5.9159225016039034</v>
      </c>
      <c r="F48" s="415">
        <f>+'I) Dépenses thématiques'!U48</f>
        <v>-4.9918371055743531</v>
      </c>
      <c r="G48" s="136">
        <f t="shared" si="1"/>
        <v>19.066866153322415</v>
      </c>
      <c r="H48" s="416">
        <f>G48-'C) Prél. conj.'!I48</f>
        <v>14.434427420145418</v>
      </c>
      <c r="I48" s="420">
        <f t="shared" si="2"/>
        <v>0</v>
      </c>
      <c r="J48" s="55">
        <f t="shared" si="3"/>
        <v>0</v>
      </c>
      <c r="K48" s="416">
        <f t="shared" si="4"/>
        <v>14.434427420145418</v>
      </c>
      <c r="L48" s="455"/>
    </row>
    <row r="49" spans="1:12" x14ac:dyDescent="0.25">
      <c r="A49" s="49">
        <f>'A) Base RI'!A51</f>
        <v>5480</v>
      </c>
      <c r="B49" s="292" t="str">
        <f>'A) Base RI'!B51</f>
        <v>Daillens</v>
      </c>
      <c r="C49" s="95">
        <f>'B) D RI'!U51</f>
        <v>40977.441060606063</v>
      </c>
      <c r="D49" s="415">
        <f>'E) Fact soc'!G55/C49</f>
        <v>17.573618077731339</v>
      </c>
      <c r="E49" s="136">
        <f>'H) Péréquation directe'!I60/C49</f>
        <v>11.678074692002133</v>
      </c>
      <c r="F49" s="415">
        <f>+'I) Dépenses thématiques'!U49</f>
        <v>-10.596790389964415</v>
      </c>
      <c r="G49" s="136">
        <f t="shared" si="1"/>
        <v>18.654902379769059</v>
      </c>
      <c r="H49" s="416">
        <f>G49-'C) Prél. conj.'!I49</f>
        <v>14.591626326153587</v>
      </c>
      <c r="I49" s="420">
        <f t="shared" si="2"/>
        <v>0</v>
      </c>
      <c r="J49" s="55">
        <f t="shared" si="3"/>
        <v>0</v>
      </c>
      <c r="K49" s="416">
        <f t="shared" si="4"/>
        <v>14.591626326153587</v>
      </c>
      <c r="L49" s="455"/>
    </row>
    <row r="50" spans="1:12" x14ac:dyDescent="0.25">
      <c r="A50" s="49">
        <f>'A) Base RI'!A52</f>
        <v>5481</v>
      </c>
      <c r="B50" s="292" t="str">
        <f>'A) Base RI'!B52</f>
        <v>Dizy</v>
      </c>
      <c r="C50" s="95">
        <f>'B) D RI'!U52</f>
        <v>8124.1672000000008</v>
      </c>
      <c r="D50" s="415">
        <f>'E) Fact soc'!G56/C50</f>
        <v>13.982608892281753</v>
      </c>
      <c r="E50" s="136">
        <f>'H) Péréquation directe'!I61/C50</f>
        <v>8.3401589016730693</v>
      </c>
      <c r="F50" s="415">
        <f>+'I) Dépenses thématiques'!U50</f>
        <v>-3.5510405054194343</v>
      </c>
      <c r="G50" s="136">
        <f t="shared" si="1"/>
        <v>18.771727288535391</v>
      </c>
      <c r="H50" s="416">
        <f>G50-'C) Prél. conj.'!I50</f>
        <v>18.299460420369506</v>
      </c>
      <c r="I50" s="420">
        <f t="shared" si="2"/>
        <v>0</v>
      </c>
      <c r="J50" s="55">
        <f t="shared" si="3"/>
        <v>0</v>
      </c>
      <c r="K50" s="416">
        <f t="shared" si="4"/>
        <v>18.299460420369506</v>
      </c>
      <c r="L50" s="455"/>
    </row>
    <row r="51" spans="1:12" x14ac:dyDescent="0.25">
      <c r="A51" s="49">
        <f>'A) Base RI'!A53</f>
        <v>5482</v>
      </c>
      <c r="B51" s="292" t="str">
        <f>'A) Base RI'!B53</f>
        <v>Eclépens</v>
      </c>
      <c r="C51" s="95">
        <f>'B) D RI'!U53</f>
        <v>70911.930217391302</v>
      </c>
      <c r="D51" s="415">
        <f>'E) Fact soc'!G57/C51</f>
        <v>17.285603040712768</v>
      </c>
      <c r="E51" s="136">
        <f>'H) Péréquation directe'!I62/C51</f>
        <v>16.33836602567867</v>
      </c>
      <c r="F51" s="415">
        <f>+'I) Dépenses thématiques'!U51</f>
        <v>0</v>
      </c>
      <c r="G51" s="136">
        <f t="shared" si="1"/>
        <v>33.623969066391439</v>
      </c>
      <c r="H51" s="416">
        <f>G51-'C) Prél. conj.'!I51</f>
        <v>31.449850768844531</v>
      </c>
      <c r="I51" s="420">
        <f t="shared" si="2"/>
        <v>0</v>
      </c>
      <c r="J51" s="55">
        <f t="shared" si="3"/>
        <v>0</v>
      </c>
      <c r="K51" s="416">
        <f t="shared" si="4"/>
        <v>31.449850768844531</v>
      </c>
      <c r="L51" s="455"/>
    </row>
    <row r="52" spans="1:12" x14ac:dyDescent="0.25">
      <c r="A52" s="49">
        <f>'A) Base RI'!A54</f>
        <v>5483</v>
      </c>
      <c r="B52" s="292" t="str">
        <f>'A) Base RI'!B54</f>
        <v>Ferreyres</v>
      </c>
      <c r="C52" s="95">
        <f>'B) D RI'!U54</f>
        <v>10820.315000000001</v>
      </c>
      <c r="D52" s="415">
        <f>'E) Fact soc'!G58/C52</f>
        <v>14.397409544793412</v>
      </c>
      <c r="E52" s="136">
        <f>'H) Péréquation directe'!I63/C52</f>
        <v>5.7730844357305138</v>
      </c>
      <c r="F52" s="415">
        <f>+'I) Dépenses thématiques'!U52</f>
        <v>0</v>
      </c>
      <c r="G52" s="136">
        <f t="shared" si="1"/>
        <v>20.170493980523926</v>
      </c>
      <c r="H52" s="416">
        <f>G52-'C) Prél. conj.'!I52</f>
        <v>19.283426459846385</v>
      </c>
      <c r="I52" s="420">
        <f t="shared" si="2"/>
        <v>0</v>
      </c>
      <c r="J52" s="55">
        <f t="shared" si="3"/>
        <v>0</v>
      </c>
      <c r="K52" s="416">
        <f t="shared" si="4"/>
        <v>19.283426459846385</v>
      </c>
      <c r="L52" s="455"/>
    </row>
    <row r="53" spans="1:12" x14ac:dyDescent="0.25">
      <c r="A53" s="49">
        <f>'A) Base RI'!A55</f>
        <v>5484</v>
      </c>
      <c r="B53" s="292" t="str">
        <f>'A) Base RI'!B55</f>
        <v>Gollion</v>
      </c>
      <c r="C53" s="95">
        <f>'B) D RI'!U55</f>
        <v>34996.98554054054</v>
      </c>
      <c r="D53" s="415">
        <f>'E) Fact soc'!G59/C53</f>
        <v>16.721566455711994</v>
      </c>
      <c r="E53" s="136">
        <f>'H) Péréquation directe'!I64/C53</f>
        <v>7.4870011856702261</v>
      </c>
      <c r="F53" s="415">
        <f>+'I) Dépenses thématiques'!U53</f>
        <v>-6.2188955488533137</v>
      </c>
      <c r="G53" s="136">
        <f t="shared" si="1"/>
        <v>17.989672092528906</v>
      </c>
      <c r="H53" s="416">
        <f>G53-'C) Prél. conj.'!I53</f>
        <v>14.778447660932784</v>
      </c>
      <c r="I53" s="420">
        <f t="shared" si="2"/>
        <v>0</v>
      </c>
      <c r="J53" s="55">
        <f t="shared" si="3"/>
        <v>0</v>
      </c>
      <c r="K53" s="416">
        <f t="shared" si="4"/>
        <v>14.778447660932784</v>
      </c>
      <c r="L53" s="455"/>
    </row>
    <row r="54" spans="1:12" x14ac:dyDescent="0.25">
      <c r="A54" s="49">
        <f>'A) Base RI'!A56</f>
        <v>5485</v>
      </c>
      <c r="B54" s="292" t="str">
        <f>'A) Base RI'!B56</f>
        <v>Grancy</v>
      </c>
      <c r="C54" s="95">
        <f>'B) D RI'!U56</f>
        <v>14542.352714285715</v>
      </c>
      <c r="D54" s="415">
        <f>'E) Fact soc'!G60/C54</f>
        <v>19.102065495388729</v>
      </c>
      <c r="E54" s="136">
        <f>'H) Péréquation directe'!I65/C54</f>
        <v>8.9236202402235403</v>
      </c>
      <c r="F54" s="415">
        <f>+'I) Dépenses thématiques'!U54</f>
        <v>-2.869953026072054</v>
      </c>
      <c r="G54" s="136">
        <f t="shared" si="1"/>
        <v>25.155732709540217</v>
      </c>
      <c r="H54" s="416">
        <f>G54-'C) Prél. conj.'!I54</f>
        <v>19.56400923826736</v>
      </c>
      <c r="I54" s="420">
        <f t="shared" si="2"/>
        <v>0</v>
      </c>
      <c r="J54" s="55">
        <f t="shared" si="3"/>
        <v>0</v>
      </c>
      <c r="K54" s="416">
        <f t="shared" si="4"/>
        <v>19.56400923826736</v>
      </c>
      <c r="L54" s="455"/>
    </row>
    <row r="55" spans="1:12" x14ac:dyDescent="0.25">
      <c r="A55" s="49">
        <f>'A) Base RI'!A57</f>
        <v>5486</v>
      </c>
      <c r="B55" s="292" t="str">
        <f>'A) Base RI'!B57</f>
        <v>L'Isle</v>
      </c>
      <c r="C55" s="95">
        <f>'B) D RI'!U57</f>
        <v>37459.560399999995</v>
      </c>
      <c r="D55" s="415">
        <f>'E) Fact soc'!G61/C55</f>
        <v>15.438663772387107</v>
      </c>
      <c r="E55" s="136">
        <f>'H) Péréquation directe'!I66/C55</f>
        <v>6.9130539904079997</v>
      </c>
      <c r="F55" s="415">
        <f>+'I) Dépenses thématiques'!U55</f>
        <v>-7.231497497765619</v>
      </c>
      <c r="G55" s="136">
        <f t="shared" si="1"/>
        <v>15.120220265029488</v>
      </c>
      <c r="H55" s="416">
        <f>G55-'C) Prél. conj.'!I55</f>
        <v>13.191898516758251</v>
      </c>
      <c r="I55" s="420">
        <f t="shared" si="2"/>
        <v>0</v>
      </c>
      <c r="J55" s="55">
        <f t="shared" si="3"/>
        <v>0</v>
      </c>
      <c r="K55" s="416">
        <f t="shared" si="4"/>
        <v>13.191898516758251</v>
      </c>
      <c r="L55" s="455"/>
    </row>
    <row r="56" spans="1:12" x14ac:dyDescent="0.25">
      <c r="A56" s="49">
        <f>'A) Base RI'!A58</f>
        <v>5487</v>
      </c>
      <c r="B56" s="292" t="str">
        <f>'A) Base RI'!B58</f>
        <v>Lussery-Villars</v>
      </c>
      <c r="C56" s="95">
        <f>'B) D RI'!U58</f>
        <v>12889.865466666668</v>
      </c>
      <c r="D56" s="415">
        <f>'E) Fact soc'!G62/C56</f>
        <v>14.71404349331455</v>
      </c>
      <c r="E56" s="136">
        <f>'H) Péréquation directe'!I67/C56</f>
        <v>-1.3935762815783002</v>
      </c>
      <c r="F56" s="415">
        <f>+'I) Dépenses thématiques'!U56</f>
        <v>-2.6108346349329876</v>
      </c>
      <c r="G56" s="136">
        <f t="shared" si="1"/>
        <v>10.709632576803262</v>
      </c>
      <c r="H56" s="416">
        <f>G56-'C) Prél. conj.'!I56</f>
        <v>9.5059311076045816</v>
      </c>
      <c r="I56" s="420">
        <f t="shared" si="2"/>
        <v>0</v>
      </c>
      <c r="J56" s="55">
        <f t="shared" si="3"/>
        <v>0</v>
      </c>
      <c r="K56" s="416">
        <f t="shared" si="4"/>
        <v>9.5059311076045816</v>
      </c>
      <c r="L56" s="455"/>
    </row>
    <row r="57" spans="1:12" x14ac:dyDescent="0.25">
      <c r="A57" s="49">
        <f>'A) Base RI'!A59</f>
        <v>5488</v>
      </c>
      <c r="B57" s="292" t="str">
        <f>'A) Base RI'!B59</f>
        <v>Mauraz</v>
      </c>
      <c r="C57" s="95">
        <f>'B) D RI'!U59</f>
        <v>1632.1631168831173</v>
      </c>
      <c r="D57" s="415">
        <f>'E) Fact soc'!G63/C57</f>
        <v>13.510342024115872</v>
      </c>
      <c r="E57" s="136">
        <f>'H) Péréquation directe'!I68/C57</f>
        <v>-2.1723819961042388</v>
      </c>
      <c r="F57" s="415">
        <f>+'I) Dépenses thématiques'!U57</f>
        <v>0</v>
      </c>
      <c r="G57" s="136">
        <f t="shared" si="1"/>
        <v>11.337960028011633</v>
      </c>
      <c r="H57" s="416">
        <f>G57-'C) Prél. conj.'!I57</f>
        <v>11.337960028011633</v>
      </c>
      <c r="I57" s="420">
        <f t="shared" si="2"/>
        <v>0</v>
      </c>
      <c r="J57" s="55">
        <f t="shared" si="3"/>
        <v>0</v>
      </c>
      <c r="K57" s="416">
        <f t="shared" si="4"/>
        <v>11.337960028011633</v>
      </c>
      <c r="L57" s="455"/>
    </row>
    <row r="58" spans="1:12" x14ac:dyDescent="0.25">
      <c r="A58" s="49">
        <f>'A) Base RI'!A60</f>
        <v>5489</v>
      </c>
      <c r="B58" s="292" t="str">
        <f>'A) Base RI'!B60</f>
        <v>Mex</v>
      </c>
      <c r="C58" s="95">
        <f>'B) D RI'!U60</f>
        <v>58521.207563025193</v>
      </c>
      <c r="D58" s="415">
        <f>'E) Fact soc'!G64/C58</f>
        <v>24.339005352545183</v>
      </c>
      <c r="E58" s="136">
        <f>'H) Péréquation directe'!I69/C58</f>
        <v>17.488083141037642</v>
      </c>
      <c r="F58" s="415">
        <f>+'I) Dépenses thématiques'!U58</f>
        <v>-3.9124181182783969E-2</v>
      </c>
      <c r="G58" s="136">
        <f t="shared" si="1"/>
        <v>41.787964312400035</v>
      </c>
      <c r="H58" s="416">
        <f>G58-'C) Prél. conj.'!I58</f>
        <v>36.55186277314192</v>
      </c>
      <c r="I58" s="420">
        <f t="shared" si="2"/>
        <v>0</v>
      </c>
      <c r="J58" s="55">
        <f t="shared" si="3"/>
        <v>0</v>
      </c>
      <c r="K58" s="416">
        <f t="shared" si="4"/>
        <v>36.55186277314192</v>
      </c>
      <c r="L58" s="455"/>
    </row>
    <row r="59" spans="1:12" x14ac:dyDescent="0.25">
      <c r="A59" s="49">
        <f>'A) Base RI'!A61</f>
        <v>5490</v>
      </c>
      <c r="B59" s="292" t="str">
        <f>'A) Base RI'!B61</f>
        <v>Moiry</v>
      </c>
      <c r="C59" s="95">
        <f>'B) D RI'!U61</f>
        <v>8655.909290322581</v>
      </c>
      <c r="D59" s="415">
        <f>'E) Fact soc'!G65/C59</f>
        <v>15.800820624921668</v>
      </c>
      <c r="E59" s="136">
        <f>'H) Péréquation directe'!I70/C59</f>
        <v>-2.8985787909162957</v>
      </c>
      <c r="F59" s="415">
        <f>+'I) Dépenses thématiques'!U59</f>
        <v>-2.6704062488163034</v>
      </c>
      <c r="G59" s="136">
        <f t="shared" si="1"/>
        <v>10.231835585189071</v>
      </c>
      <c r="H59" s="416">
        <f>G59-'C) Prél. conj.'!I59</f>
        <v>7.9413569843832699</v>
      </c>
      <c r="I59" s="420">
        <f t="shared" si="2"/>
        <v>0</v>
      </c>
      <c r="J59" s="55">
        <f t="shared" si="3"/>
        <v>0</v>
      </c>
      <c r="K59" s="416">
        <f t="shared" si="4"/>
        <v>7.9413569843832699</v>
      </c>
      <c r="L59" s="455"/>
    </row>
    <row r="60" spans="1:12" x14ac:dyDescent="0.25">
      <c r="A60" s="49">
        <f>'A) Base RI'!A62</f>
        <v>5491</v>
      </c>
      <c r="B60" s="292" t="str">
        <f>'A) Base RI'!B62</f>
        <v>Mont-la-Ville</v>
      </c>
      <c r="C60" s="95">
        <f>'B) D RI'!U62</f>
        <v>14323.284736842104</v>
      </c>
      <c r="D60" s="415">
        <f>'E) Fact soc'!G66/C60</f>
        <v>16.796839909542843</v>
      </c>
      <c r="E60" s="136">
        <f>'H) Péréquation directe'!I71/C60</f>
        <v>-9.1373948740609154E-2</v>
      </c>
      <c r="F60" s="415">
        <f>+'I) Dépenses thématiques'!U60</f>
        <v>-5.4788090176757098</v>
      </c>
      <c r="G60" s="136">
        <f t="shared" si="1"/>
        <v>11.226656943126523</v>
      </c>
      <c r="H60" s="416">
        <f>G60-'C) Prél. conj.'!I60</f>
        <v>7.9401590576995513</v>
      </c>
      <c r="I60" s="420">
        <f t="shared" si="2"/>
        <v>0</v>
      </c>
      <c r="J60" s="55">
        <f t="shared" si="3"/>
        <v>0</v>
      </c>
      <c r="K60" s="416">
        <f t="shared" si="4"/>
        <v>7.9401590576995513</v>
      </c>
      <c r="L60" s="455"/>
    </row>
    <row r="61" spans="1:12" x14ac:dyDescent="0.25">
      <c r="A61" s="49">
        <f>'A) Base RI'!A63</f>
        <v>5492</v>
      </c>
      <c r="B61" s="292" t="str">
        <f>'A) Base RI'!B63</f>
        <v>Montricher</v>
      </c>
      <c r="C61" s="95">
        <f>'B) D RI'!U63</f>
        <v>157154.96692708335</v>
      </c>
      <c r="D61" s="415">
        <f>'E) Fact soc'!G67/C61</f>
        <v>34.598125088111722</v>
      </c>
      <c r="E61" s="136">
        <f>'H) Péréquation directe'!I72/C61</f>
        <v>18.403455528237629</v>
      </c>
      <c r="F61" s="415">
        <f>+'I) Dépenses thématiques'!U61</f>
        <v>-1.3204022682971694</v>
      </c>
      <c r="G61" s="136">
        <f t="shared" si="1"/>
        <v>51.681178348052178</v>
      </c>
      <c r="H61" s="416">
        <f>G61-'C) Prél. conj.'!I61</f>
        <v>50.650349617865338</v>
      </c>
      <c r="I61" s="420">
        <f t="shared" si="2"/>
        <v>-2.6503496178653378</v>
      </c>
      <c r="J61" s="55">
        <f t="shared" si="3"/>
        <v>-416515.60654083517</v>
      </c>
      <c r="K61" s="416">
        <f t="shared" si="4"/>
        <v>48</v>
      </c>
      <c r="L61" s="455"/>
    </row>
    <row r="62" spans="1:12" x14ac:dyDescent="0.25">
      <c r="A62" s="49">
        <f>'A) Base RI'!A64</f>
        <v>5493</v>
      </c>
      <c r="B62" s="292" t="str">
        <f>'A) Base RI'!B64</f>
        <v>Orny</v>
      </c>
      <c r="C62" s="95">
        <f>'B) D RI'!U64</f>
        <v>12885.017723919913</v>
      </c>
      <c r="D62" s="415">
        <f>'E) Fact soc'!G68/C62</f>
        <v>19.971933446333264</v>
      </c>
      <c r="E62" s="136">
        <f>'H) Péréquation directe'!I73/C62</f>
        <v>-0.8282451954624821</v>
      </c>
      <c r="F62" s="415">
        <f>+'I) Dépenses thématiques'!U62</f>
        <v>0</v>
      </c>
      <c r="G62" s="136">
        <f t="shared" si="1"/>
        <v>19.143688250870781</v>
      </c>
      <c r="H62" s="416">
        <f>G62-'C) Prél. conj.'!I62</f>
        <v>12.682096828653387</v>
      </c>
      <c r="I62" s="420">
        <f t="shared" si="2"/>
        <v>0</v>
      </c>
      <c r="J62" s="55">
        <f t="shared" si="3"/>
        <v>0</v>
      </c>
      <c r="K62" s="416">
        <f t="shared" si="4"/>
        <v>12.682096828653387</v>
      </c>
      <c r="L62" s="455"/>
    </row>
    <row r="63" spans="1:12" x14ac:dyDescent="0.25">
      <c r="A63" s="49">
        <f>'A) Base RI'!A65</f>
        <v>5494</v>
      </c>
      <c r="B63" s="292" t="str">
        <f>'A) Base RI'!B65</f>
        <v>Pampigny</v>
      </c>
      <c r="C63" s="95">
        <f>'B) D RI'!U65</f>
        <v>36607.87342465754</v>
      </c>
      <c r="D63" s="415">
        <f>'E) Fact soc'!G69/C63</f>
        <v>16.371780294098631</v>
      </c>
      <c r="E63" s="136">
        <f>'H) Péréquation directe'!I74/C63</f>
        <v>4.2097906418377073</v>
      </c>
      <c r="F63" s="415">
        <f>+'I) Dépenses thématiques'!U63</f>
        <v>-8.98954442302845</v>
      </c>
      <c r="G63" s="136">
        <f t="shared" si="1"/>
        <v>11.592026512907887</v>
      </c>
      <c r="H63" s="416">
        <f>G63-'C) Prél. conj.'!I63</f>
        <v>8.7305882429251263</v>
      </c>
      <c r="I63" s="420">
        <f t="shared" si="2"/>
        <v>0</v>
      </c>
      <c r="J63" s="55">
        <f t="shared" si="3"/>
        <v>0</v>
      </c>
      <c r="K63" s="416">
        <f t="shared" si="4"/>
        <v>8.7305882429251263</v>
      </c>
      <c r="L63" s="455"/>
    </row>
    <row r="64" spans="1:12" x14ac:dyDescent="0.25">
      <c r="A64" s="49">
        <f>'A) Base RI'!A66</f>
        <v>5495</v>
      </c>
      <c r="B64" s="292" t="str">
        <f>'A) Base RI'!B66</f>
        <v>Penthalaz</v>
      </c>
      <c r="C64" s="95">
        <f>'B) D RI'!U66</f>
        <v>93361.472702702697</v>
      </c>
      <c r="D64" s="415">
        <f>'E) Fact soc'!G70/C64</f>
        <v>16.600856844065223</v>
      </c>
      <c r="E64" s="136">
        <f>'H) Péréquation directe'!I75/C64</f>
        <v>-5.0834254745225227</v>
      </c>
      <c r="F64" s="415">
        <f>+'I) Dépenses thématiques'!U64</f>
        <v>-6.5467975824474092</v>
      </c>
      <c r="G64" s="136">
        <f t="shared" si="1"/>
        <v>4.9706337870952915</v>
      </c>
      <c r="H64" s="416">
        <f>G64-'C) Prél. conj.'!I64</f>
        <v>1.8801189671459348</v>
      </c>
      <c r="I64" s="420">
        <f t="shared" si="2"/>
        <v>0</v>
      </c>
      <c r="J64" s="55">
        <f t="shared" si="3"/>
        <v>0</v>
      </c>
      <c r="K64" s="416">
        <f t="shared" si="4"/>
        <v>1.8801189671459348</v>
      </c>
      <c r="L64" s="455"/>
    </row>
    <row r="65" spans="1:12" x14ac:dyDescent="0.25">
      <c r="A65" s="49">
        <f>'A) Base RI'!A67</f>
        <v>5496</v>
      </c>
      <c r="B65" s="292" t="str">
        <f>'A) Base RI'!B67</f>
        <v>Penthaz</v>
      </c>
      <c r="C65" s="95">
        <f>'B) D RI'!U67</f>
        <v>60131.11913669065</v>
      </c>
      <c r="D65" s="415">
        <f>'E) Fact soc'!G71/C65</f>
        <v>16.50490827508936</v>
      </c>
      <c r="E65" s="136">
        <f>'H) Péréquation directe'!I76/C65</f>
        <v>2.7473529255824785</v>
      </c>
      <c r="F65" s="415">
        <f>+'I) Dépenses thématiques'!U65</f>
        <v>-3.441816619268169</v>
      </c>
      <c r="G65" s="136">
        <f t="shared" si="1"/>
        <v>15.81044458140367</v>
      </c>
      <c r="H65" s="416">
        <f>G65-'C) Prél. conj.'!I65</f>
        <v>12.815878330430181</v>
      </c>
      <c r="I65" s="420">
        <f t="shared" si="2"/>
        <v>0</v>
      </c>
      <c r="J65" s="55">
        <f t="shared" si="3"/>
        <v>0</v>
      </c>
      <c r="K65" s="416">
        <f t="shared" si="4"/>
        <v>12.815878330430181</v>
      </c>
      <c r="L65" s="455"/>
    </row>
    <row r="66" spans="1:12" x14ac:dyDescent="0.25">
      <c r="A66" s="49">
        <f>'A) Base RI'!A68</f>
        <v>5497</v>
      </c>
      <c r="B66" s="292" t="str">
        <f>'A) Base RI'!B68</f>
        <v>Pompaples</v>
      </c>
      <c r="C66" s="95">
        <f>'B) D RI'!U68</f>
        <v>20396.986060606061</v>
      </c>
      <c r="D66" s="415">
        <f>'E) Fact soc'!G72/C66</f>
        <v>17.447046435317205</v>
      </c>
      <c r="E66" s="136">
        <f>'H) Péréquation directe'!I77/C66</f>
        <v>-3.4660550371363943</v>
      </c>
      <c r="F66" s="415">
        <f>+'I) Dépenses thématiques'!U66</f>
        <v>-4.9444110682187237</v>
      </c>
      <c r="G66" s="136">
        <f t="shared" si="1"/>
        <v>9.0365803299620868</v>
      </c>
      <c r="H66" s="416">
        <f>G66-'C) Prél. conj.'!I66</f>
        <v>5.0998759187607527</v>
      </c>
      <c r="I66" s="420">
        <f t="shared" si="2"/>
        <v>0</v>
      </c>
      <c r="J66" s="55">
        <f t="shared" si="3"/>
        <v>0</v>
      </c>
      <c r="K66" s="416">
        <f t="shared" si="4"/>
        <v>5.0998759187607527</v>
      </c>
      <c r="L66" s="455"/>
    </row>
    <row r="67" spans="1:12" x14ac:dyDescent="0.25">
      <c r="A67" s="49">
        <f>'A) Base RI'!A69</f>
        <v>5498</v>
      </c>
      <c r="B67" s="292" t="str">
        <f>'A) Base RI'!B69</f>
        <v>La Sarraz</v>
      </c>
      <c r="C67" s="95">
        <f>'B) D RI'!U69</f>
        <v>77508.241969696974</v>
      </c>
      <c r="D67" s="415">
        <f>'E) Fact soc'!G73/C67</f>
        <v>15.710945542728574</v>
      </c>
      <c r="E67" s="136">
        <f>'H) Péréquation directe'!I78/C67</f>
        <v>-0.33449072492733062</v>
      </c>
      <c r="F67" s="415">
        <f>+'I) Dépenses thématiques'!U67</f>
        <v>-5.4972643857462531</v>
      </c>
      <c r="G67" s="136">
        <f t="shared" si="1"/>
        <v>9.8791904320549904</v>
      </c>
      <c r="H67" s="416">
        <f>G67-'C) Prél. conj.'!I67</f>
        <v>7.6785869134422864</v>
      </c>
      <c r="I67" s="420">
        <f t="shared" si="2"/>
        <v>0</v>
      </c>
      <c r="J67" s="55">
        <f t="shared" si="3"/>
        <v>0</v>
      </c>
      <c r="K67" s="416">
        <f t="shared" si="4"/>
        <v>7.6785869134422864</v>
      </c>
      <c r="L67" s="455"/>
    </row>
    <row r="68" spans="1:12" x14ac:dyDescent="0.25">
      <c r="A68" s="49">
        <f>'A) Base RI'!A70</f>
        <v>5499</v>
      </c>
      <c r="B68" s="292" t="str">
        <f>'A) Base RI'!B70</f>
        <v>Senarclens</v>
      </c>
      <c r="C68" s="95">
        <f>'B) D RI'!U70</f>
        <v>19654.447445255475</v>
      </c>
      <c r="D68" s="415">
        <f>'E) Fact soc'!G74/C68</f>
        <v>19.895065143375703</v>
      </c>
      <c r="E68" s="136">
        <f>'H) Péréquation directe'!I79/C68</f>
        <v>11.976096610958118</v>
      </c>
      <c r="F68" s="415">
        <f>+'I) Dépenses thématiques'!U68</f>
        <v>-11.072013900904583</v>
      </c>
      <c r="G68" s="136">
        <f t="shared" si="1"/>
        <v>20.799147853429236</v>
      </c>
      <c r="H68" s="416">
        <f>G68-'C) Prél. conj.'!I68</f>
        <v>14.414424734169403</v>
      </c>
      <c r="I68" s="420">
        <f t="shared" si="2"/>
        <v>0</v>
      </c>
      <c r="J68" s="55">
        <f t="shared" si="3"/>
        <v>0</v>
      </c>
      <c r="K68" s="416">
        <f t="shared" si="4"/>
        <v>14.414424734169403</v>
      </c>
      <c r="L68" s="455"/>
    </row>
    <row r="69" spans="1:12" x14ac:dyDescent="0.25">
      <c r="A69" s="49">
        <f>'A) Base RI'!A71</f>
        <v>5500</v>
      </c>
      <c r="B69" s="292" t="str">
        <f>'A) Base RI'!B71</f>
        <v>Sévery</v>
      </c>
      <c r="C69" s="95">
        <f>'B) D RI'!U71</f>
        <v>7516.1401369863015</v>
      </c>
      <c r="D69" s="415">
        <f>'E) Fact soc'!G75/C69</f>
        <v>15.352148423104946</v>
      </c>
      <c r="E69" s="136">
        <f>'H) Péréquation directe'!I80/C69</f>
        <v>7.6913503398249148</v>
      </c>
      <c r="F69" s="415">
        <f>+'I) Dépenses thématiques'!U69</f>
        <v>-8.656359247203957</v>
      </c>
      <c r="G69" s="136">
        <f t="shared" si="1"/>
        <v>14.387139515725904</v>
      </c>
      <c r="H69" s="416">
        <f>G69-'C) Prél. conj.'!I69</f>
        <v>12.545333116736828</v>
      </c>
      <c r="I69" s="420">
        <f t="shared" si="2"/>
        <v>0</v>
      </c>
      <c r="J69" s="55">
        <f t="shared" si="3"/>
        <v>0</v>
      </c>
      <c r="K69" s="416">
        <f t="shared" si="4"/>
        <v>12.545333116736828</v>
      </c>
      <c r="L69" s="455"/>
    </row>
    <row r="70" spans="1:12" x14ac:dyDescent="0.25">
      <c r="A70" s="49">
        <f>'A) Base RI'!A72</f>
        <v>5501</v>
      </c>
      <c r="B70" s="292" t="str">
        <f>'A) Base RI'!B72</f>
        <v>Sullens</v>
      </c>
      <c r="C70" s="95">
        <f>'B) D RI'!U72</f>
        <v>41921.141459854021</v>
      </c>
      <c r="D70" s="415">
        <f>'E) Fact soc'!G76/C70</f>
        <v>89.558043350498139</v>
      </c>
      <c r="E70" s="136">
        <f>'H) Péréquation directe'!I81/C70</f>
        <v>12.173927289891749</v>
      </c>
      <c r="F70" s="415">
        <f>+'I) Dépenses thématiques'!U70</f>
        <v>-0.37961860273355191</v>
      </c>
      <c r="G70" s="136">
        <f t="shared" ref="G70:G133" si="5">SUM(D70:F70)</f>
        <v>101.35235203765633</v>
      </c>
      <c r="H70" s="416">
        <f>G70-'C) Prél. conj.'!I70</f>
        <v>25.30465071127405</v>
      </c>
      <c r="I70" s="420">
        <f t="shared" ref="I70:I133" si="6">IF(H70&gt;I$4,I$4-H70,0)</f>
        <v>0</v>
      </c>
      <c r="J70" s="55">
        <f t="shared" ref="J70:J133" si="7">I70*C70</f>
        <v>0</v>
      </c>
      <c r="K70" s="416">
        <f t="shared" ref="K70:K133" si="8">H70+I70</f>
        <v>25.30465071127405</v>
      </c>
      <c r="L70" s="455"/>
    </row>
    <row r="71" spans="1:12" x14ac:dyDescent="0.25">
      <c r="A71" s="49">
        <f>'A) Base RI'!A73</f>
        <v>5503</v>
      </c>
      <c r="B71" s="292" t="str">
        <f>'A) Base RI'!B73</f>
        <v>Vufflens-la-Ville</v>
      </c>
      <c r="C71" s="95">
        <f>'B) D RI'!U73</f>
        <v>66677.882338308453</v>
      </c>
      <c r="D71" s="415">
        <f>'E) Fact soc'!G77/C71</f>
        <v>16.053070490830844</v>
      </c>
      <c r="E71" s="136">
        <f>'H) Péréquation directe'!I82/C71</f>
        <v>15.4872491104347</v>
      </c>
      <c r="F71" s="415">
        <f>+'I) Dépenses thématiques'!U71</f>
        <v>0</v>
      </c>
      <c r="G71" s="136">
        <f t="shared" si="5"/>
        <v>31.540319601265544</v>
      </c>
      <c r="H71" s="416">
        <f>G71-'C) Prél. conj.'!I71</f>
        <v>29.338716088196865</v>
      </c>
      <c r="I71" s="420">
        <f t="shared" si="6"/>
        <v>0</v>
      </c>
      <c r="J71" s="55">
        <f t="shared" si="7"/>
        <v>0</v>
      </c>
      <c r="K71" s="416">
        <f t="shared" si="8"/>
        <v>29.338716088196865</v>
      </c>
      <c r="L71" s="455"/>
    </row>
    <row r="72" spans="1:12" x14ac:dyDescent="0.25">
      <c r="A72" s="49">
        <f>'A) Base RI'!A74</f>
        <v>5511</v>
      </c>
      <c r="B72" s="292" t="str">
        <f>'A) Base RI'!B74</f>
        <v>Assens</v>
      </c>
      <c r="C72" s="95">
        <f>'B) D RI'!U74</f>
        <v>44474.742571428564</v>
      </c>
      <c r="D72" s="415">
        <f>'E) Fact soc'!G78/C72</f>
        <v>14.957638540708894</v>
      </c>
      <c r="E72" s="136">
        <f>'H) Péréquation directe'!I83/C72</f>
        <v>10.640083654265467</v>
      </c>
      <c r="F72" s="415">
        <f>+'I) Dépenses thématiques'!U72</f>
        <v>-4.1447636099382503</v>
      </c>
      <c r="G72" s="136">
        <f t="shared" si="5"/>
        <v>21.452958585036107</v>
      </c>
      <c r="H72" s="416">
        <f>G72-'C) Prél. conj.'!I72</f>
        <v>20.005662068443083</v>
      </c>
      <c r="I72" s="420">
        <f t="shared" si="6"/>
        <v>0</v>
      </c>
      <c r="J72" s="55">
        <f t="shared" si="7"/>
        <v>0</v>
      </c>
      <c r="K72" s="416">
        <f t="shared" si="8"/>
        <v>20.005662068443083</v>
      </c>
      <c r="L72" s="455"/>
    </row>
    <row r="73" spans="1:12" x14ac:dyDescent="0.25">
      <c r="A73" s="49">
        <f>'A) Base RI'!A75</f>
        <v>5512</v>
      </c>
      <c r="B73" s="292" t="str">
        <f>'A) Base RI'!B75</f>
        <v>Bercher</v>
      </c>
      <c r="C73" s="95">
        <f>'B) D RI'!U75</f>
        <v>40313.482784810127</v>
      </c>
      <c r="D73" s="415">
        <f>'E) Fact soc'!G79/C73</f>
        <v>15.598579734793649</v>
      </c>
      <c r="E73" s="136">
        <f>'H) Péréquation directe'!I84/C73</f>
        <v>-1.2364683685780893</v>
      </c>
      <c r="F73" s="415">
        <f>+'I) Dépenses thématiques'!U73</f>
        <v>-5.8423627762391295</v>
      </c>
      <c r="G73" s="136">
        <f t="shared" si="5"/>
        <v>8.5197485899764303</v>
      </c>
      <c r="H73" s="416">
        <f>G73-'C) Prél. conj.'!I73</f>
        <v>6.4315108792986502</v>
      </c>
      <c r="I73" s="420">
        <f t="shared" si="6"/>
        <v>0</v>
      </c>
      <c r="J73" s="55">
        <f t="shared" si="7"/>
        <v>0</v>
      </c>
      <c r="K73" s="416">
        <f t="shared" si="8"/>
        <v>6.4315108792986502</v>
      </c>
      <c r="L73" s="455"/>
    </row>
    <row r="74" spans="1:12" x14ac:dyDescent="0.25">
      <c r="A74" s="49">
        <f>'A) Base RI'!A76</f>
        <v>5513</v>
      </c>
      <c r="B74" s="292" t="str">
        <f>'A) Base RI'!B76</f>
        <v>Bioley-Orjulaz</v>
      </c>
      <c r="C74" s="95">
        <f>'B) D RI'!U76</f>
        <v>22644.962352941177</v>
      </c>
      <c r="D74" s="415">
        <f>'E) Fact soc'!G80/C74</f>
        <v>19.140836039198202</v>
      </c>
      <c r="E74" s="136">
        <f>'H) Péréquation directe'!I85/C74</f>
        <v>14.123339179054367</v>
      </c>
      <c r="F74" s="415">
        <f>+'I) Dépenses thématiques'!U74</f>
        <v>0</v>
      </c>
      <c r="G74" s="136">
        <f t="shared" si="5"/>
        <v>33.264175218252568</v>
      </c>
      <c r="H74" s="416">
        <f>G74-'C) Prél. conj.'!I74</f>
        <v>27.633681203170237</v>
      </c>
      <c r="I74" s="420">
        <f t="shared" si="6"/>
        <v>0</v>
      </c>
      <c r="J74" s="55">
        <f t="shared" si="7"/>
        <v>0</v>
      </c>
      <c r="K74" s="416">
        <f t="shared" si="8"/>
        <v>27.633681203170237</v>
      </c>
      <c r="L74" s="455"/>
    </row>
    <row r="75" spans="1:12" x14ac:dyDescent="0.25">
      <c r="A75" s="49">
        <f>'A) Base RI'!A77</f>
        <v>5514</v>
      </c>
      <c r="B75" s="292" t="str">
        <f>'A) Base RI'!B77</f>
        <v>Bottens</v>
      </c>
      <c r="C75" s="95">
        <f>'B) D RI'!U77</f>
        <v>44190.368827586208</v>
      </c>
      <c r="D75" s="415">
        <f>'E) Fact soc'!G81/C75</f>
        <v>15.621070390378634</v>
      </c>
      <c r="E75" s="136">
        <f>'H) Péréquation directe'!I86/C75</f>
        <v>4.2808929668413578</v>
      </c>
      <c r="F75" s="415">
        <f>+'I) Dépenses thématiques'!U75</f>
        <v>0</v>
      </c>
      <c r="G75" s="136">
        <f t="shared" si="5"/>
        <v>19.901963357219991</v>
      </c>
      <c r="H75" s="416">
        <f>G75-'C) Prél. conj.'!I75</f>
        <v>17.791234990957228</v>
      </c>
      <c r="I75" s="420">
        <f t="shared" si="6"/>
        <v>0</v>
      </c>
      <c r="J75" s="55">
        <f t="shared" si="7"/>
        <v>0</v>
      </c>
      <c r="K75" s="416">
        <f t="shared" si="8"/>
        <v>17.791234990957228</v>
      </c>
      <c r="L75" s="455"/>
    </row>
    <row r="76" spans="1:12" x14ac:dyDescent="0.25">
      <c r="A76" s="49">
        <f>'A) Base RI'!A78</f>
        <v>5515</v>
      </c>
      <c r="B76" s="292" t="str">
        <f>'A) Base RI'!B78</f>
        <v>Bretigny-sur-Morrens</v>
      </c>
      <c r="C76" s="95">
        <f>'B) D RI'!U78</f>
        <v>29586.483086419765</v>
      </c>
      <c r="D76" s="415">
        <f>'E) Fact soc'!G82/C76</f>
        <v>17.525905639871617</v>
      </c>
      <c r="E76" s="136">
        <f>'H) Péréquation directe'!I87/C76</f>
        <v>5.0736414532129448</v>
      </c>
      <c r="F76" s="415">
        <f>+'I) Dépenses thématiques'!U76</f>
        <v>-1.7923590758180403</v>
      </c>
      <c r="G76" s="136">
        <f t="shared" si="5"/>
        <v>20.807188017266519</v>
      </c>
      <c r="H76" s="416">
        <f>G76-'C) Prél. conj.'!I76</f>
        <v>16.791624401510774</v>
      </c>
      <c r="I76" s="420">
        <f t="shared" si="6"/>
        <v>0</v>
      </c>
      <c r="J76" s="55">
        <f t="shared" si="7"/>
        <v>0</v>
      </c>
      <c r="K76" s="416">
        <f t="shared" si="8"/>
        <v>16.791624401510774</v>
      </c>
      <c r="L76" s="455"/>
    </row>
    <row r="77" spans="1:12" x14ac:dyDescent="0.25">
      <c r="A77" s="49">
        <f>'A) Base RI'!A79</f>
        <v>5516</v>
      </c>
      <c r="B77" s="292" t="str">
        <f>'A) Base RI'!B79</f>
        <v>Cugy</v>
      </c>
      <c r="C77" s="95">
        <f>'B) D RI'!U79</f>
        <v>107062.26318376069</v>
      </c>
      <c r="D77" s="415">
        <f>'E) Fact soc'!G83/C77</f>
        <v>17.124161156034667</v>
      </c>
      <c r="E77" s="136">
        <f>'H) Péréquation directe'!I88/C77</f>
        <v>6.3969468144877286</v>
      </c>
      <c r="F77" s="415">
        <f>+'I) Dépenses thématiques'!U77</f>
        <v>-1.5209203136118139</v>
      </c>
      <c r="G77" s="136">
        <f t="shared" si="5"/>
        <v>22.00018765691058</v>
      </c>
      <c r="H77" s="416">
        <f>G77-'C) Prél. conj.'!I77</f>
        <v>18.386368524991781</v>
      </c>
      <c r="I77" s="420">
        <f t="shared" si="6"/>
        <v>0</v>
      </c>
      <c r="J77" s="55">
        <f t="shared" si="7"/>
        <v>0</v>
      </c>
      <c r="K77" s="416">
        <f t="shared" si="8"/>
        <v>18.386368524991781</v>
      </c>
      <c r="L77" s="455"/>
    </row>
    <row r="78" spans="1:12" x14ac:dyDescent="0.25">
      <c r="A78" s="49">
        <f>'A) Base RI'!A80</f>
        <v>5518</v>
      </c>
      <c r="B78" s="292" t="str">
        <f>'A) Base RI'!B80</f>
        <v>Echallens</v>
      </c>
      <c r="C78" s="95">
        <f>'B) D RI'!U80</f>
        <v>178756.07310344829</v>
      </c>
      <c r="D78" s="415">
        <f>'E) Fact soc'!G84/C78</f>
        <v>16.924111914030892</v>
      </c>
      <c r="E78" s="136">
        <f>'H) Péréquation directe'!I89/C78</f>
        <v>-4.8761320782908175</v>
      </c>
      <c r="F78" s="415">
        <f>+'I) Dépenses thématiques'!U78</f>
        <v>-6.6635012209626154</v>
      </c>
      <c r="G78" s="136">
        <f t="shared" si="5"/>
        <v>5.3844786147774588</v>
      </c>
      <c r="H78" s="416">
        <f>G78-'C) Prél. conj.'!I78</f>
        <v>1.9707087248624386</v>
      </c>
      <c r="I78" s="420">
        <f t="shared" si="6"/>
        <v>0</v>
      </c>
      <c r="J78" s="55">
        <f t="shared" si="7"/>
        <v>0</v>
      </c>
      <c r="K78" s="416">
        <f t="shared" si="8"/>
        <v>1.9707087248624386</v>
      </c>
      <c r="L78" s="455"/>
    </row>
    <row r="79" spans="1:12" x14ac:dyDescent="0.25">
      <c r="A79" s="49">
        <f>'A) Base RI'!A81</f>
        <v>5520</v>
      </c>
      <c r="B79" s="292" t="str">
        <f>'A) Base RI'!B81</f>
        <v>Essertines-sur-Yverdon</v>
      </c>
      <c r="C79" s="95">
        <f>'B) D RI'!U81</f>
        <v>29733.806712328769</v>
      </c>
      <c r="D79" s="415">
        <f>'E) Fact soc'!G85/C79</f>
        <v>17.953406993164133</v>
      </c>
      <c r="E79" s="136">
        <f>'H) Péréquation directe'!I90/C79</f>
        <v>7.0512143733047511E-2</v>
      </c>
      <c r="F79" s="415">
        <f>+'I) Dépenses thématiques'!U79</f>
        <v>-4.8056091866815551</v>
      </c>
      <c r="G79" s="136">
        <f t="shared" si="5"/>
        <v>13.218309950215627</v>
      </c>
      <c r="H79" s="416">
        <f>G79-'C) Prél. conj.'!I79</f>
        <v>8.775244981167365</v>
      </c>
      <c r="I79" s="420">
        <f t="shared" si="6"/>
        <v>0</v>
      </c>
      <c r="J79" s="55">
        <f t="shared" si="7"/>
        <v>0</v>
      </c>
      <c r="K79" s="416">
        <f t="shared" si="8"/>
        <v>8.775244981167365</v>
      </c>
      <c r="L79" s="455"/>
    </row>
    <row r="80" spans="1:12" x14ac:dyDescent="0.25">
      <c r="A80" s="49">
        <f>'A) Base RI'!A82</f>
        <v>5521</v>
      </c>
      <c r="B80" s="292" t="str">
        <f>'A) Base RI'!B82</f>
        <v>Etagnières</v>
      </c>
      <c r="C80" s="95">
        <f>'B) D RI'!U82</f>
        <v>46797.314657534247</v>
      </c>
      <c r="D80" s="415">
        <f>'E) Fact soc'!G86/C80</f>
        <v>15.536601451476702</v>
      </c>
      <c r="E80" s="136">
        <f>'H) Péréquation directe'!I91/C80</f>
        <v>11.532574351258368</v>
      </c>
      <c r="F80" s="415">
        <f>+'I) Dépenses thématiques'!U80</f>
        <v>-1.4554598389510096</v>
      </c>
      <c r="G80" s="136">
        <f t="shared" si="5"/>
        <v>25.61371596378406</v>
      </c>
      <c r="H80" s="416">
        <f>G80-'C) Prél. conj.'!I80</f>
        <v>23.587456536423229</v>
      </c>
      <c r="I80" s="420">
        <f t="shared" si="6"/>
        <v>0</v>
      </c>
      <c r="J80" s="55">
        <f t="shared" si="7"/>
        <v>0</v>
      </c>
      <c r="K80" s="416">
        <f t="shared" si="8"/>
        <v>23.587456536423229</v>
      </c>
      <c r="L80" s="455"/>
    </row>
    <row r="81" spans="1:12" x14ac:dyDescent="0.25">
      <c r="A81" s="49">
        <f>'A) Base RI'!A83</f>
        <v>5522</v>
      </c>
      <c r="B81" s="292" t="str">
        <f>'A) Base RI'!B83</f>
        <v>Fey</v>
      </c>
      <c r="C81" s="95">
        <f>'B) D RI'!U83</f>
        <v>23726.940933333331</v>
      </c>
      <c r="D81" s="415">
        <f>'E) Fact soc'!G87/C81</f>
        <v>14.686486057112353</v>
      </c>
      <c r="E81" s="136">
        <f>'H) Péréquation directe'!I92/C81</f>
        <v>3.5014155031881593</v>
      </c>
      <c r="F81" s="415">
        <f>+'I) Dépenses thématiques'!U81</f>
        <v>-4.6060783396844931</v>
      </c>
      <c r="G81" s="136">
        <f t="shared" si="5"/>
        <v>13.581823220616016</v>
      </c>
      <c r="H81" s="416">
        <f>G81-'C) Prél. conj.'!I81</f>
        <v>12.405679187619533</v>
      </c>
      <c r="I81" s="420">
        <f t="shared" si="6"/>
        <v>0</v>
      </c>
      <c r="J81" s="55">
        <f t="shared" si="7"/>
        <v>0</v>
      </c>
      <c r="K81" s="416">
        <f t="shared" si="8"/>
        <v>12.405679187619533</v>
      </c>
      <c r="L81" s="455"/>
    </row>
    <row r="82" spans="1:12" x14ac:dyDescent="0.25">
      <c r="A82" s="49">
        <f>'A) Base RI'!A84</f>
        <v>5523</v>
      </c>
      <c r="B82" s="292" t="str">
        <f>'A) Base RI'!B84</f>
        <v>Froideville</v>
      </c>
      <c r="C82" s="95">
        <f>'B) D RI'!U84</f>
        <v>85868.846805555557</v>
      </c>
      <c r="D82" s="415">
        <f>'E) Fact soc'!G88/C82</f>
        <v>15.161677406796544</v>
      </c>
      <c r="E82" s="136">
        <f>'H) Péréquation directe'!I93/C82</f>
        <v>0.23795781384072892</v>
      </c>
      <c r="F82" s="415">
        <f>+'I) Dépenses thématiques'!U82</f>
        <v>-1.4205317027592226</v>
      </c>
      <c r="G82" s="136">
        <f t="shared" si="5"/>
        <v>13.979103517878052</v>
      </c>
      <c r="H82" s="416">
        <f>G82-'C) Prél. conj.'!I82</f>
        <v>12.327768135197381</v>
      </c>
      <c r="I82" s="420">
        <f t="shared" si="6"/>
        <v>0</v>
      </c>
      <c r="J82" s="55">
        <f t="shared" si="7"/>
        <v>0</v>
      </c>
      <c r="K82" s="416">
        <f t="shared" si="8"/>
        <v>12.327768135197381</v>
      </c>
      <c r="L82" s="455"/>
    </row>
    <row r="83" spans="1:12" x14ac:dyDescent="0.25">
      <c r="A83" s="49">
        <f>'A) Base RI'!A85</f>
        <v>5527</v>
      </c>
      <c r="B83" s="292" t="str">
        <f>'A) Base RI'!B85</f>
        <v>Morrens</v>
      </c>
      <c r="C83" s="95">
        <f>'B) D RI'!U85</f>
        <v>40564.204594594594</v>
      </c>
      <c r="D83" s="415">
        <f>'E) Fact soc'!G89/C83</f>
        <v>15.521280012799366</v>
      </c>
      <c r="E83" s="136">
        <f>'H) Péréquation directe'!I94/C83</f>
        <v>6.687169748611745</v>
      </c>
      <c r="F83" s="415">
        <f>+'I) Dépenses thématiques'!U83</f>
        <v>-2.0624963134019167</v>
      </c>
      <c r="G83" s="136">
        <f t="shared" si="5"/>
        <v>20.145953448009195</v>
      </c>
      <c r="H83" s="416">
        <f>G83-'C) Prél. conj.'!I83</f>
        <v>18.135015459325697</v>
      </c>
      <c r="I83" s="420">
        <f t="shared" si="6"/>
        <v>0</v>
      </c>
      <c r="J83" s="55">
        <f t="shared" si="7"/>
        <v>0</v>
      </c>
      <c r="K83" s="416">
        <f t="shared" si="8"/>
        <v>18.135015459325697</v>
      </c>
      <c r="L83" s="455"/>
    </row>
    <row r="84" spans="1:12" x14ac:dyDescent="0.25">
      <c r="A84" s="49">
        <f>'A) Base RI'!A86</f>
        <v>5529</v>
      </c>
      <c r="B84" s="292" t="str">
        <f>'A) Base RI'!B86</f>
        <v>Oulens-sous-Echallens</v>
      </c>
      <c r="C84" s="95">
        <f>'B) D RI'!U86</f>
        <v>20201.245428571427</v>
      </c>
      <c r="D84" s="415">
        <f>'E) Fact soc'!G90/C84</f>
        <v>14.601802948045609</v>
      </c>
      <c r="E84" s="136">
        <f>'H) Péréquation directe'!I95/C84</f>
        <v>6.0601831509195945</v>
      </c>
      <c r="F84" s="415">
        <f>+'I) Dépenses thématiques'!U84</f>
        <v>-3.2579564295321601</v>
      </c>
      <c r="G84" s="136">
        <f t="shared" si="5"/>
        <v>17.404029669433044</v>
      </c>
      <c r="H84" s="416">
        <f>G84-'C) Prél. conj.'!I84</f>
        <v>16.312568745503302</v>
      </c>
      <c r="I84" s="420">
        <f t="shared" si="6"/>
        <v>0</v>
      </c>
      <c r="J84" s="55">
        <f t="shared" si="7"/>
        <v>0</v>
      </c>
      <c r="K84" s="416">
        <f t="shared" si="8"/>
        <v>16.312568745503302</v>
      </c>
      <c r="L84" s="455"/>
    </row>
    <row r="85" spans="1:12" x14ac:dyDescent="0.25">
      <c r="A85" s="49">
        <f>'A) Base RI'!A87</f>
        <v>5530</v>
      </c>
      <c r="B85" s="292" t="str">
        <f>'A) Base RI'!B87</f>
        <v>Pailly</v>
      </c>
      <c r="C85" s="95">
        <f>'B) D RI'!U87</f>
        <v>18302.009495614031</v>
      </c>
      <c r="D85" s="415">
        <f>'E) Fact soc'!G91/C85</f>
        <v>14.19331730084685</v>
      </c>
      <c r="E85" s="136">
        <f>'H) Péréquation directe'!I96/C85</f>
        <v>3.9144171105911614</v>
      </c>
      <c r="F85" s="415">
        <f>+'I) Dépenses thématiques'!U85</f>
        <v>-20.414844937882052</v>
      </c>
      <c r="G85" s="136">
        <f t="shared" si="5"/>
        <v>-2.3071105264440419</v>
      </c>
      <c r="H85" s="416">
        <f>G85-'C) Prél. conj.'!I85</f>
        <v>-2.9900858031750213</v>
      </c>
      <c r="I85" s="420">
        <f t="shared" si="6"/>
        <v>0</v>
      </c>
      <c r="J85" s="55">
        <f t="shared" si="7"/>
        <v>0</v>
      </c>
      <c r="K85" s="416">
        <f t="shared" si="8"/>
        <v>-2.9900858031750213</v>
      </c>
      <c r="L85" s="455"/>
    </row>
    <row r="86" spans="1:12" x14ac:dyDescent="0.25">
      <c r="A86" s="49">
        <f>'A) Base RI'!A88</f>
        <v>5531</v>
      </c>
      <c r="B86" s="292" t="str">
        <f>'A) Base RI'!B88</f>
        <v>Penthéréaz</v>
      </c>
      <c r="C86" s="95">
        <f>'B) D RI'!U88</f>
        <v>13843.062702702704</v>
      </c>
      <c r="D86" s="415">
        <f>'E) Fact soc'!G92/C86</f>
        <v>15.533437678701915</v>
      </c>
      <c r="E86" s="136">
        <f>'H) Péréquation directe'!I97/C86</f>
        <v>5.3491276006992718</v>
      </c>
      <c r="F86" s="415">
        <f>+'I) Dépenses thématiques'!U86</f>
        <v>-4.7949524019563547</v>
      </c>
      <c r="G86" s="136">
        <f t="shared" si="5"/>
        <v>16.087612877444833</v>
      </c>
      <c r="H86" s="416">
        <f>G86-'C) Prél. conj.'!I86</f>
        <v>14.064517222858788</v>
      </c>
      <c r="I86" s="420">
        <f t="shared" si="6"/>
        <v>0</v>
      </c>
      <c r="J86" s="55">
        <f t="shared" si="7"/>
        <v>0</v>
      </c>
      <c r="K86" s="416">
        <f t="shared" si="8"/>
        <v>14.064517222858788</v>
      </c>
      <c r="L86" s="455"/>
    </row>
    <row r="87" spans="1:12" x14ac:dyDescent="0.25">
      <c r="A87" s="49">
        <f>'A) Base RI'!A89</f>
        <v>5533</v>
      </c>
      <c r="B87" s="292" t="str">
        <f>'A) Base RI'!B89</f>
        <v>Poliez-Pittet</v>
      </c>
      <c r="C87" s="95">
        <f>'B) D RI'!U89</f>
        <v>27190.167945205478</v>
      </c>
      <c r="D87" s="415">
        <f>'E) Fact soc'!G93/C87</f>
        <v>19.780073065996412</v>
      </c>
      <c r="E87" s="136">
        <f>'H) Péréquation directe'!I98/C87</f>
        <v>5.3641208779600502</v>
      </c>
      <c r="F87" s="415">
        <f>+'I) Dépenses thématiques'!U87</f>
        <v>-1.2198204920225342</v>
      </c>
      <c r="G87" s="136">
        <f t="shared" si="5"/>
        <v>23.924373451933928</v>
      </c>
      <c r="H87" s="416">
        <f>G87-'C) Prél. conj.'!I87</f>
        <v>17.654642410053388</v>
      </c>
      <c r="I87" s="420">
        <f t="shared" si="6"/>
        <v>0</v>
      </c>
      <c r="J87" s="55">
        <f t="shared" si="7"/>
        <v>0</v>
      </c>
      <c r="K87" s="416">
        <f t="shared" si="8"/>
        <v>17.654642410053388</v>
      </c>
      <c r="L87" s="455"/>
    </row>
    <row r="88" spans="1:12" x14ac:dyDescent="0.25">
      <c r="A88" s="49">
        <f>'A) Base RI'!A90</f>
        <v>5534</v>
      </c>
      <c r="B88" s="292" t="str">
        <f>'A) Base RI'!B90</f>
        <v>Rueyres</v>
      </c>
      <c r="C88" s="95">
        <f>'B) D RI'!U90</f>
        <v>9755.351210045661</v>
      </c>
      <c r="D88" s="415">
        <f>'E) Fact soc'!G94/C88</f>
        <v>16.099200124272553</v>
      </c>
      <c r="E88" s="136">
        <f>'H) Péréquation directe'!I99/C88</f>
        <v>9.0817274813091142</v>
      </c>
      <c r="F88" s="415">
        <f>+'I) Dépenses thématiques'!U88</f>
        <v>-0.1880236347182388</v>
      </c>
      <c r="G88" s="136">
        <f t="shared" si="5"/>
        <v>24.992903970863427</v>
      </c>
      <c r="H88" s="416">
        <f>G88-'C) Prél. conj.'!I88</f>
        <v>22.404045870706746</v>
      </c>
      <c r="I88" s="420">
        <f t="shared" si="6"/>
        <v>0</v>
      </c>
      <c r="J88" s="55">
        <f t="shared" si="7"/>
        <v>0</v>
      </c>
      <c r="K88" s="416">
        <f t="shared" si="8"/>
        <v>22.404045870706746</v>
      </c>
      <c r="L88" s="455"/>
    </row>
    <row r="89" spans="1:12" x14ac:dyDescent="0.25">
      <c r="A89" s="49">
        <f>'A) Base RI'!A91</f>
        <v>5535</v>
      </c>
      <c r="B89" s="292" t="str">
        <f>'A) Base RI'!B91</f>
        <v>Saint-Barthélemy</v>
      </c>
      <c r="C89" s="95">
        <f>'B) D RI'!U91</f>
        <v>22496.850133333337</v>
      </c>
      <c r="D89" s="415">
        <f>'E) Fact soc'!G95/C89</f>
        <v>14.89114977346266</v>
      </c>
      <c r="E89" s="136">
        <f>'H) Péréquation directe'!I100/C89</f>
        <v>-0.47310665904020061</v>
      </c>
      <c r="F89" s="415">
        <f>+'I) Dépenses thématiques'!U89</f>
        <v>0</v>
      </c>
      <c r="G89" s="136">
        <f t="shared" si="5"/>
        <v>14.41804311442246</v>
      </c>
      <c r="H89" s="416">
        <f>G89-'C) Prél. conj.'!I89</f>
        <v>13.037235365075672</v>
      </c>
      <c r="I89" s="420">
        <f t="shared" si="6"/>
        <v>0</v>
      </c>
      <c r="J89" s="55">
        <f t="shared" si="7"/>
        <v>0</v>
      </c>
      <c r="K89" s="416">
        <f t="shared" si="8"/>
        <v>13.037235365075672</v>
      </c>
      <c r="L89" s="455"/>
    </row>
    <row r="90" spans="1:12" x14ac:dyDescent="0.25">
      <c r="A90" s="49">
        <f>'A) Base RI'!A92</f>
        <v>5537</v>
      </c>
      <c r="B90" s="292" t="str">
        <f>'A) Base RI'!B92</f>
        <v>Villars-le-Terroir</v>
      </c>
      <c r="C90" s="95">
        <f>'B) D RI'!U92</f>
        <v>37963.269999999997</v>
      </c>
      <c r="D90" s="415">
        <f>'E) Fact soc'!G96/C90</f>
        <v>16.076500708549535</v>
      </c>
      <c r="E90" s="136">
        <f>'H) Péréquation directe'!I101/C90</f>
        <v>-4.2781275736220592E-2</v>
      </c>
      <c r="F90" s="415">
        <f>+'I) Dépenses thématiques'!U90</f>
        <v>-1.1049859508941149</v>
      </c>
      <c r="G90" s="136">
        <f t="shared" si="5"/>
        <v>14.928733481919199</v>
      </c>
      <c r="H90" s="416">
        <f>G90-'C) Prél. conj.'!I90</f>
        <v>12.362574797485534</v>
      </c>
      <c r="I90" s="420">
        <f t="shared" si="6"/>
        <v>0</v>
      </c>
      <c r="J90" s="55">
        <f t="shared" si="7"/>
        <v>0</v>
      </c>
      <c r="K90" s="416">
        <f t="shared" si="8"/>
        <v>12.362574797485534</v>
      </c>
      <c r="L90" s="455"/>
    </row>
    <row r="91" spans="1:12" x14ac:dyDescent="0.25">
      <c r="A91" s="49">
        <f>'A) Base RI'!A93</f>
        <v>5539</v>
      </c>
      <c r="B91" s="292" t="str">
        <f>'A) Base RI'!B93</f>
        <v>Vuarrens</v>
      </c>
      <c r="C91" s="95">
        <f>'B) D RI'!U93</f>
        <v>35961.61534013605</v>
      </c>
      <c r="D91" s="415">
        <f>'E) Fact soc'!G97/C91</f>
        <v>18.133415499195507</v>
      </c>
      <c r="E91" s="136">
        <f>'H) Péréquation directe'!I102/C91</f>
        <v>6.0373273885765126</v>
      </c>
      <c r="F91" s="415">
        <f>+'I) Dépenses thématiques'!U91</f>
        <v>-1.0150694886655185</v>
      </c>
      <c r="G91" s="136">
        <f t="shared" si="5"/>
        <v>23.155673399106504</v>
      </c>
      <c r="H91" s="416">
        <f>G91-'C) Prél. conj.'!I91</f>
        <v>18.532599924026865</v>
      </c>
      <c r="I91" s="420">
        <f t="shared" si="6"/>
        <v>0</v>
      </c>
      <c r="J91" s="55">
        <f t="shared" si="7"/>
        <v>0</v>
      </c>
      <c r="K91" s="416">
        <f t="shared" si="8"/>
        <v>18.532599924026865</v>
      </c>
      <c r="L91" s="455"/>
    </row>
    <row r="92" spans="1:12" x14ac:dyDescent="0.25">
      <c r="A92" s="49">
        <f>'A) Base RI'!A94</f>
        <v>5540</v>
      </c>
      <c r="B92" s="292" t="str">
        <f>'A) Base RI'!B94</f>
        <v>Montilliez</v>
      </c>
      <c r="C92" s="95">
        <f>'B) D RI'!U94</f>
        <v>66256.548551724132</v>
      </c>
      <c r="D92" s="415">
        <f>'E) Fact soc'!G98/C92</f>
        <v>14.99864328875266</v>
      </c>
      <c r="E92" s="136">
        <f>'H) Péréquation directe'!I103/C92</f>
        <v>5.4197268364213338</v>
      </c>
      <c r="F92" s="415">
        <f>+'I) Dépenses thématiques'!U92</f>
        <v>-3.8292523957506983</v>
      </c>
      <c r="G92" s="136">
        <f t="shared" si="5"/>
        <v>16.589117729423293</v>
      </c>
      <c r="H92" s="416">
        <f>G92-'C) Prél. conj.'!I92</f>
        <v>15.100816464786501</v>
      </c>
      <c r="I92" s="420">
        <f t="shared" si="6"/>
        <v>0</v>
      </c>
      <c r="J92" s="55">
        <f t="shared" si="7"/>
        <v>0</v>
      </c>
      <c r="K92" s="416">
        <f t="shared" si="8"/>
        <v>15.100816464786501</v>
      </c>
      <c r="L92" s="455"/>
    </row>
    <row r="93" spans="1:12" x14ac:dyDescent="0.25">
      <c r="A93" s="49">
        <f>'A) Base RI'!A95</f>
        <v>5541</v>
      </c>
      <c r="B93" s="292" t="str">
        <f>'A) Base RI'!B95</f>
        <v>Goumoëns</v>
      </c>
      <c r="C93" s="95">
        <f>'B) D RI'!U95</f>
        <v>36998.611258278142</v>
      </c>
      <c r="D93" s="415">
        <f>'E) Fact soc'!G99/C93</f>
        <v>17.02315671039468</v>
      </c>
      <c r="E93" s="136">
        <f>'H) Péréquation directe'!I104/C93</f>
        <v>2.9166376136337799</v>
      </c>
      <c r="F93" s="415">
        <f>+'I) Dépenses thématiques'!U93</f>
        <v>-0.3730578942617559</v>
      </c>
      <c r="G93" s="136">
        <f t="shared" si="5"/>
        <v>19.566736429766706</v>
      </c>
      <c r="H93" s="416">
        <f>G93-'C) Prél. conj.'!I93</f>
        <v>16.053921743487898</v>
      </c>
      <c r="I93" s="420">
        <f t="shared" si="6"/>
        <v>0</v>
      </c>
      <c r="J93" s="55">
        <f t="shared" si="7"/>
        <v>0</v>
      </c>
      <c r="K93" s="416">
        <f t="shared" si="8"/>
        <v>16.053921743487898</v>
      </c>
      <c r="L93" s="455"/>
    </row>
    <row r="94" spans="1:12" x14ac:dyDescent="0.25">
      <c r="A94" s="49">
        <f>'A) Base RI'!A96</f>
        <v>5551</v>
      </c>
      <c r="B94" s="292" t="str">
        <f>'A) Base RI'!B96</f>
        <v>Bonvillars</v>
      </c>
      <c r="C94" s="95">
        <f>'B) D RI'!U96</f>
        <v>19156.634727272725</v>
      </c>
      <c r="D94" s="415">
        <f>'E) Fact soc'!G100/C94</f>
        <v>14.816117561214144</v>
      </c>
      <c r="E94" s="136">
        <f>'H) Péréquation directe'!I105/C94</f>
        <v>13.212514148029708</v>
      </c>
      <c r="F94" s="415">
        <f>+'I) Dépenses thématiques'!U94</f>
        <v>-2.8896236932524055</v>
      </c>
      <c r="G94" s="136">
        <f t="shared" si="5"/>
        <v>25.139008015991447</v>
      </c>
      <c r="H94" s="416">
        <f>G94-'C) Prél. conj.'!I94</f>
        <v>23.833232478893173</v>
      </c>
      <c r="I94" s="420">
        <f t="shared" si="6"/>
        <v>0</v>
      </c>
      <c r="J94" s="55">
        <f t="shared" si="7"/>
        <v>0</v>
      </c>
      <c r="K94" s="416">
        <f t="shared" si="8"/>
        <v>23.833232478893173</v>
      </c>
      <c r="L94" s="455"/>
    </row>
    <row r="95" spans="1:12" x14ac:dyDescent="0.25">
      <c r="A95" s="49">
        <f>'A) Base RI'!A97</f>
        <v>5552</v>
      </c>
      <c r="B95" s="292" t="str">
        <f>'A) Base RI'!B97</f>
        <v>Bullet</v>
      </c>
      <c r="C95" s="95">
        <f>'B) D RI'!U97</f>
        <v>17556.417482517485</v>
      </c>
      <c r="D95" s="415">
        <f>'E) Fact soc'!G101/C95</f>
        <v>17.61963767465738</v>
      </c>
      <c r="E95" s="136">
        <f>'H) Péréquation directe'!I106/C95</f>
        <v>-1.9379544766580994</v>
      </c>
      <c r="F95" s="415">
        <f>+'I) Dépenses thématiques'!U95</f>
        <v>-10.509885184534156</v>
      </c>
      <c r="G95" s="136">
        <f t="shared" si="5"/>
        <v>5.1717980134651249</v>
      </c>
      <c r="H95" s="416">
        <f>G95-'C) Prél. conj.'!I95</f>
        <v>1.0625023629236168</v>
      </c>
      <c r="I95" s="420">
        <f t="shared" si="6"/>
        <v>0</v>
      </c>
      <c r="J95" s="55">
        <f t="shared" si="7"/>
        <v>0</v>
      </c>
      <c r="K95" s="416">
        <f t="shared" si="8"/>
        <v>1.0625023629236168</v>
      </c>
      <c r="L95" s="455"/>
    </row>
    <row r="96" spans="1:12" x14ac:dyDescent="0.25">
      <c r="A96" s="49">
        <f>'A) Base RI'!A98</f>
        <v>5553</v>
      </c>
      <c r="B96" s="292" t="str">
        <f>'A) Base RI'!B98</f>
        <v>Champagne</v>
      </c>
      <c r="C96" s="95">
        <f>'B) D RI'!U98</f>
        <v>38681.377846153839</v>
      </c>
      <c r="D96" s="415">
        <f>'E) Fact soc'!G102/C96</f>
        <v>17.569541792658043</v>
      </c>
      <c r="E96" s="136">
        <f>'H) Péréquation directe'!I107/C96</f>
        <v>9.9655834972662358</v>
      </c>
      <c r="F96" s="415">
        <f>+'I) Dépenses thématiques'!U96</f>
        <v>-3.7447278506776298</v>
      </c>
      <c r="G96" s="136">
        <f t="shared" si="5"/>
        <v>23.79039743924665</v>
      </c>
      <c r="H96" s="416">
        <f>G96-'C) Prél. conj.'!I96</f>
        <v>19.731197670704475</v>
      </c>
      <c r="I96" s="420">
        <f t="shared" si="6"/>
        <v>0</v>
      </c>
      <c r="J96" s="55">
        <f t="shared" si="7"/>
        <v>0</v>
      </c>
      <c r="K96" s="416">
        <f t="shared" si="8"/>
        <v>19.731197670704475</v>
      </c>
      <c r="L96" s="455"/>
    </row>
    <row r="97" spans="1:12" x14ac:dyDescent="0.25">
      <c r="A97" s="49">
        <f>'A) Base RI'!A99</f>
        <v>5554</v>
      </c>
      <c r="B97" s="292" t="str">
        <f>'A) Base RI'!B99</f>
        <v>Concise</v>
      </c>
      <c r="C97" s="95">
        <f>'B) D RI'!U99</f>
        <v>32327.871066666674</v>
      </c>
      <c r="D97" s="415">
        <f>'E) Fact soc'!G103/C97</f>
        <v>17.36638514996633</v>
      </c>
      <c r="E97" s="136">
        <f>'H) Péréquation directe'!I108/C97</f>
        <v>4.2253880902311343</v>
      </c>
      <c r="F97" s="415">
        <f>+'I) Dépenses thématiques'!U97</f>
        <v>-6.0896020617635616</v>
      </c>
      <c r="G97" s="136">
        <f t="shared" si="5"/>
        <v>15.502171178433905</v>
      </c>
      <c r="H97" s="416">
        <f>G97-'C) Prél. conj.'!I97</f>
        <v>11.646128052583446</v>
      </c>
      <c r="I97" s="420">
        <f t="shared" si="6"/>
        <v>0</v>
      </c>
      <c r="J97" s="55">
        <f t="shared" si="7"/>
        <v>0</v>
      </c>
      <c r="K97" s="416">
        <f t="shared" si="8"/>
        <v>11.646128052583446</v>
      </c>
      <c r="L97" s="455"/>
    </row>
    <row r="98" spans="1:12" x14ac:dyDescent="0.25">
      <c r="A98" s="49">
        <f>'A) Base RI'!A100</f>
        <v>5555</v>
      </c>
      <c r="B98" s="292" t="str">
        <f>'A) Base RI'!B100</f>
        <v>Corcelles-près-Concise</v>
      </c>
      <c r="C98" s="95">
        <f>'B) D RI'!U100</f>
        <v>13599.529565217395</v>
      </c>
      <c r="D98" s="415">
        <f>'E) Fact soc'!G104/C98</f>
        <v>20.210695485830879</v>
      </c>
      <c r="E98" s="136">
        <f>'H) Péréquation directe'!I109/C98</f>
        <v>6.0969847166736635</v>
      </c>
      <c r="F98" s="415">
        <f>+'I) Dépenses thématiques'!U98</f>
        <v>-12.411012059304603</v>
      </c>
      <c r="G98" s="136">
        <f t="shared" si="5"/>
        <v>13.896668143199939</v>
      </c>
      <c r="H98" s="416">
        <f>G98-'C) Prél. conj.'!I98</f>
        <v>7.196314681484929</v>
      </c>
      <c r="I98" s="420">
        <f t="shared" si="6"/>
        <v>0</v>
      </c>
      <c r="J98" s="55">
        <f t="shared" si="7"/>
        <v>0</v>
      </c>
      <c r="K98" s="416">
        <f t="shared" si="8"/>
        <v>7.196314681484929</v>
      </c>
      <c r="L98" s="455"/>
    </row>
    <row r="99" spans="1:12" x14ac:dyDescent="0.25">
      <c r="A99" s="49">
        <f>'A) Base RI'!A101</f>
        <v>5556</v>
      </c>
      <c r="B99" s="292" t="str">
        <f>'A) Base RI'!B101</f>
        <v>Fiez</v>
      </c>
      <c r="C99" s="95">
        <f>'B) D RI'!U101</f>
        <v>13816.427753623188</v>
      </c>
      <c r="D99" s="415">
        <f>'E) Fact soc'!G105/C99</f>
        <v>16.793858994564559</v>
      </c>
      <c r="E99" s="136">
        <f>'H) Péréquation directe'!I110/C99</f>
        <v>4.1837749124565127</v>
      </c>
      <c r="F99" s="415">
        <f>+'I) Dépenses thématiques'!U99</f>
        <v>-1.3593139267216472</v>
      </c>
      <c r="G99" s="136">
        <f t="shared" si="5"/>
        <v>19.618319980299425</v>
      </c>
      <c r="H99" s="416">
        <f>G99-'C) Prél. conj.'!I99</f>
        <v>16.334803009850734</v>
      </c>
      <c r="I99" s="420">
        <f t="shared" si="6"/>
        <v>0</v>
      </c>
      <c r="J99" s="55">
        <f t="shared" si="7"/>
        <v>0</v>
      </c>
      <c r="K99" s="416">
        <f t="shared" si="8"/>
        <v>16.334803009850734</v>
      </c>
      <c r="L99" s="455"/>
    </row>
    <row r="100" spans="1:12" x14ac:dyDescent="0.25">
      <c r="A100" s="49">
        <f>'A) Base RI'!A102</f>
        <v>5557</v>
      </c>
      <c r="B100" s="292" t="str">
        <f>'A) Base RI'!B102</f>
        <v>Fontaines-sur-Grandson</v>
      </c>
      <c r="C100" s="95">
        <f>'B) D RI'!U102</f>
        <v>5880.3275362318818</v>
      </c>
      <c r="D100" s="415">
        <f>'E) Fact soc'!G106/C100</f>
        <v>19.029571148688937</v>
      </c>
      <c r="E100" s="136">
        <f>'H) Péréquation directe'!I111/C100</f>
        <v>-0.61960046809513569</v>
      </c>
      <c r="F100" s="415">
        <f>+'I) Dépenses thématiques'!U100</f>
        <v>-1.1581054096858481</v>
      </c>
      <c r="G100" s="136">
        <f t="shared" si="5"/>
        <v>17.251865270907953</v>
      </c>
      <c r="H100" s="416">
        <f>G100-'C) Prél. conj.'!I100</f>
        <v>11.732636146334883</v>
      </c>
      <c r="I100" s="420">
        <f t="shared" si="6"/>
        <v>0</v>
      </c>
      <c r="J100" s="55">
        <f t="shared" si="7"/>
        <v>0</v>
      </c>
      <c r="K100" s="416">
        <f t="shared" si="8"/>
        <v>11.732636146334883</v>
      </c>
      <c r="L100" s="455"/>
    </row>
    <row r="101" spans="1:12" x14ac:dyDescent="0.25">
      <c r="A101" s="49">
        <f>'A) Base RI'!A103</f>
        <v>5559</v>
      </c>
      <c r="B101" s="292" t="str">
        <f>'A) Base RI'!B103</f>
        <v>Giez</v>
      </c>
      <c r="C101" s="95">
        <f>'B) D RI'!U103</f>
        <v>16897.618636363641</v>
      </c>
      <c r="D101" s="415">
        <f>'E) Fact soc'!G107/C101</f>
        <v>17.062186002346152</v>
      </c>
      <c r="E101" s="136">
        <f>'H) Péréquation directe'!I112/C101</f>
        <v>12.97734313601247</v>
      </c>
      <c r="F101" s="415">
        <f>+'I) Dépenses thématiques'!U101</f>
        <v>-0.7441603726786552</v>
      </c>
      <c r="G101" s="136">
        <f t="shared" si="5"/>
        <v>29.295368765679967</v>
      </c>
      <c r="H101" s="416">
        <f>G101-'C) Prél. conj.'!I101</f>
        <v>25.743524787449687</v>
      </c>
      <c r="I101" s="420">
        <f t="shared" si="6"/>
        <v>0</v>
      </c>
      <c r="J101" s="55">
        <f t="shared" si="7"/>
        <v>0</v>
      </c>
      <c r="K101" s="416">
        <f t="shared" si="8"/>
        <v>25.743524787449687</v>
      </c>
      <c r="L101" s="455"/>
    </row>
    <row r="102" spans="1:12" x14ac:dyDescent="0.25">
      <c r="A102" s="49">
        <f>'A) Base RI'!A104</f>
        <v>5560</v>
      </c>
      <c r="B102" s="292" t="str">
        <f>'A) Base RI'!B104</f>
        <v>Grandevent</v>
      </c>
      <c r="C102" s="95">
        <f>'B) D RI'!U104</f>
        <v>6167.8957352941179</v>
      </c>
      <c r="D102" s="415">
        <f>'E) Fact soc'!G108/C102</f>
        <v>15.790333548539623</v>
      </c>
      <c r="E102" s="136">
        <f>'H) Péréquation directe'!I113/C102</f>
        <v>0.42887541042435728</v>
      </c>
      <c r="F102" s="415">
        <f>+'I) Dépenses thématiques'!U102</f>
        <v>-1.5212974066782379</v>
      </c>
      <c r="G102" s="136">
        <f t="shared" si="5"/>
        <v>14.697911552285744</v>
      </c>
      <c r="H102" s="416">
        <f>G102-'C) Prél. conj.'!I102</f>
        <v>12.417920027861991</v>
      </c>
      <c r="I102" s="420">
        <f t="shared" si="6"/>
        <v>0</v>
      </c>
      <c r="J102" s="55">
        <f t="shared" si="7"/>
        <v>0</v>
      </c>
      <c r="K102" s="416">
        <f t="shared" si="8"/>
        <v>12.417920027861991</v>
      </c>
      <c r="L102" s="455"/>
    </row>
    <row r="103" spans="1:12" x14ac:dyDescent="0.25">
      <c r="A103" s="49">
        <f>'A) Base RI'!A105</f>
        <v>5561</v>
      </c>
      <c r="B103" s="292" t="str">
        <f>'A) Base RI'!B105</f>
        <v>Grandson</v>
      </c>
      <c r="C103" s="95">
        <f>'B) D RI'!U105</f>
        <v>114753.11985507245</v>
      </c>
      <c r="D103" s="415">
        <f>'E) Fact soc'!G109/C103</f>
        <v>17.475880656744906</v>
      </c>
      <c r="E103" s="136">
        <f>'H) Péréquation directe'!I114/C103</f>
        <v>2.6865611210490896</v>
      </c>
      <c r="F103" s="415">
        <f>+'I) Dépenses thématiques'!U103</f>
        <v>-8.8607136098236516</v>
      </c>
      <c r="G103" s="136">
        <f t="shared" si="5"/>
        <v>11.301728167970342</v>
      </c>
      <c r="H103" s="416">
        <f>G103-'C) Prél. conj.'!I103</f>
        <v>7.3361895353413056</v>
      </c>
      <c r="I103" s="420">
        <f t="shared" si="6"/>
        <v>0</v>
      </c>
      <c r="J103" s="55">
        <f t="shared" si="7"/>
        <v>0</v>
      </c>
      <c r="K103" s="416">
        <f t="shared" si="8"/>
        <v>7.3361895353413056</v>
      </c>
      <c r="L103" s="455"/>
    </row>
    <row r="104" spans="1:12" x14ac:dyDescent="0.25">
      <c r="A104" s="49">
        <f>'A) Base RI'!A106</f>
        <v>5562</v>
      </c>
      <c r="B104" s="292" t="str">
        <f>'A) Base RI'!B106</f>
        <v>Mauborget</v>
      </c>
      <c r="C104" s="95">
        <f>'B) D RI'!U106</f>
        <v>6037.1574285714287</v>
      </c>
      <c r="D104" s="415">
        <f>'E) Fact soc'!G110/C104</f>
        <v>15.612813286490011</v>
      </c>
      <c r="E104" s="136">
        <f>'H) Péréquation directe'!I115/C104</f>
        <v>16.116615752291768</v>
      </c>
      <c r="F104" s="415">
        <f>+'I) Dépenses thématiques'!U104</f>
        <v>-0.92484541329313397</v>
      </c>
      <c r="G104" s="136">
        <f t="shared" si="5"/>
        <v>30.804583625488647</v>
      </c>
      <c r="H104" s="416">
        <f>G104-'C) Prél. conj.'!I104</f>
        <v>28.702112363114505</v>
      </c>
      <c r="I104" s="420">
        <f t="shared" si="6"/>
        <v>0</v>
      </c>
      <c r="J104" s="55">
        <f t="shared" si="7"/>
        <v>0</v>
      </c>
      <c r="K104" s="416">
        <f t="shared" si="8"/>
        <v>28.702112363114505</v>
      </c>
      <c r="L104" s="455"/>
    </row>
    <row r="105" spans="1:12" x14ac:dyDescent="0.25">
      <c r="A105" s="49">
        <f>'A) Base RI'!A107</f>
        <v>5563</v>
      </c>
      <c r="B105" s="292" t="str">
        <f>'A) Base RI'!B107</f>
        <v>Mutrux</v>
      </c>
      <c r="C105" s="95">
        <f>'B) D RI'!U107</f>
        <v>4073.5824999999995</v>
      </c>
      <c r="D105" s="415">
        <f>'E) Fact soc'!G111/C105</f>
        <v>16.410485816465727</v>
      </c>
      <c r="E105" s="136">
        <f>'H) Péréquation directe'!I116/C105</f>
        <v>-4.9346052943827727</v>
      </c>
      <c r="F105" s="415">
        <f>+'I) Dépenses thématiques'!U105</f>
        <v>-11.718571582875764</v>
      </c>
      <c r="G105" s="136">
        <f t="shared" si="5"/>
        <v>-0.24269106079281144</v>
      </c>
      <c r="H105" s="416">
        <f>G105-'C) Prél. conj.'!I105</f>
        <v>-3.142834853142666</v>
      </c>
      <c r="I105" s="420">
        <f t="shared" si="6"/>
        <v>0</v>
      </c>
      <c r="J105" s="55">
        <f t="shared" si="7"/>
        <v>0</v>
      </c>
      <c r="K105" s="416">
        <f t="shared" si="8"/>
        <v>-3.142834853142666</v>
      </c>
      <c r="L105" s="455"/>
    </row>
    <row r="106" spans="1:12" x14ac:dyDescent="0.25">
      <c r="A106" s="49">
        <f>'A) Base RI'!A108</f>
        <v>5564</v>
      </c>
      <c r="B106" s="292" t="str">
        <f>'A) Base RI'!B108</f>
        <v>Novalles</v>
      </c>
      <c r="C106" s="95">
        <f>'B) D RI'!U108</f>
        <v>2091.5044407894734</v>
      </c>
      <c r="D106" s="415">
        <f>'E) Fact soc'!G112/C106</f>
        <v>19.927564831892351</v>
      </c>
      <c r="E106" s="136">
        <f>'H) Péréquation directe'!I117/C106</f>
        <v>-16.368810929289609</v>
      </c>
      <c r="F106" s="415">
        <f>+'I) Dépenses thématiques'!U106</f>
        <v>-1.4772117928206909</v>
      </c>
      <c r="G106" s="136">
        <f t="shared" si="5"/>
        <v>2.0815421097820512</v>
      </c>
      <c r="H106" s="416">
        <f>G106-'C) Prél. conj.'!I106</f>
        <v>-4.3356806979944285</v>
      </c>
      <c r="I106" s="420">
        <f t="shared" si="6"/>
        <v>0</v>
      </c>
      <c r="J106" s="55">
        <f t="shared" si="7"/>
        <v>0</v>
      </c>
      <c r="K106" s="416">
        <f t="shared" si="8"/>
        <v>-4.3356806979944285</v>
      </c>
      <c r="L106" s="455"/>
    </row>
    <row r="107" spans="1:12" x14ac:dyDescent="0.25">
      <c r="A107" s="49">
        <f>'A) Base RI'!A109</f>
        <v>5565</v>
      </c>
      <c r="B107" s="292" t="str">
        <f>'A) Base RI'!B109</f>
        <v>Onnens</v>
      </c>
      <c r="C107" s="95">
        <f>'B) D RI'!U109</f>
        <v>19690.582047244097</v>
      </c>
      <c r="D107" s="415">
        <f>'E) Fact soc'!G113/C107</f>
        <v>15.175120897658005</v>
      </c>
      <c r="E107" s="136">
        <f>'H) Péréquation directe'!I118/C107</f>
        <v>12.175979759146598</v>
      </c>
      <c r="F107" s="415">
        <f>+'I) Dépenses thématiques'!U107</f>
        <v>-2.2610305581478021</v>
      </c>
      <c r="G107" s="136">
        <f t="shared" si="5"/>
        <v>25.090070098656803</v>
      </c>
      <c r="H107" s="416">
        <f>G107-'C) Prél. conj.'!I107</f>
        <v>23.42529122511467</v>
      </c>
      <c r="I107" s="420">
        <f t="shared" si="6"/>
        <v>0</v>
      </c>
      <c r="J107" s="55">
        <f t="shared" si="7"/>
        <v>0</v>
      </c>
      <c r="K107" s="416">
        <f t="shared" si="8"/>
        <v>23.42529122511467</v>
      </c>
      <c r="L107" s="455"/>
    </row>
    <row r="108" spans="1:12" x14ac:dyDescent="0.25">
      <c r="A108" s="49">
        <f>'A) Base RI'!A110</f>
        <v>5566</v>
      </c>
      <c r="B108" s="292" t="str">
        <f>'A) Base RI'!B110</f>
        <v>Provence</v>
      </c>
      <c r="C108" s="95">
        <f>'B) D RI'!U110</f>
        <v>7598.735102880657</v>
      </c>
      <c r="D108" s="415">
        <f>'E) Fact soc'!G114/C108</f>
        <v>23.714641022590616</v>
      </c>
      <c r="E108" s="136">
        <f>'H) Péréquation directe'!I119/C108</f>
        <v>-26.320570556587867</v>
      </c>
      <c r="F108" s="415">
        <f>+'I) Dépenses thématiques'!U108</f>
        <v>-42.818249833740204</v>
      </c>
      <c r="G108" s="136">
        <f t="shared" si="5"/>
        <v>-45.424179367737452</v>
      </c>
      <c r="H108" s="416">
        <f>G108-'C) Prél. conj.'!I108</f>
        <v>-55.6284783662122</v>
      </c>
      <c r="I108" s="420">
        <f t="shared" si="6"/>
        <v>0</v>
      </c>
      <c r="J108" s="55">
        <f t="shared" si="7"/>
        <v>0</v>
      </c>
      <c r="K108" s="416">
        <f t="shared" si="8"/>
        <v>-55.6284783662122</v>
      </c>
      <c r="L108" s="455"/>
    </row>
    <row r="109" spans="1:12" x14ac:dyDescent="0.25">
      <c r="A109" s="49">
        <f>'A) Base RI'!A111</f>
        <v>5568</v>
      </c>
      <c r="B109" s="292" t="str">
        <f>'A) Base RI'!B111</f>
        <v>Sainte-Croix</v>
      </c>
      <c r="C109" s="95">
        <f>'B) D RI'!U111</f>
        <v>106515.47628571428</v>
      </c>
      <c r="D109" s="415">
        <f>'E) Fact soc'!G115/C109</f>
        <v>23.419307244990129</v>
      </c>
      <c r="E109" s="136">
        <f>'H) Péréquation directe'!I120/C109</f>
        <v>-21.500187272558218</v>
      </c>
      <c r="F109" s="415">
        <f>+'I) Dépenses thématiques'!U109</f>
        <v>-13.90173838306373</v>
      </c>
      <c r="G109" s="136">
        <f t="shared" si="5"/>
        <v>-11.982618410631819</v>
      </c>
      <c r="H109" s="416">
        <f>G109-'C) Prél. conj.'!I109</f>
        <v>-21.89158363150608</v>
      </c>
      <c r="I109" s="420">
        <f t="shared" si="6"/>
        <v>0</v>
      </c>
      <c r="J109" s="55">
        <f t="shared" si="7"/>
        <v>0</v>
      </c>
      <c r="K109" s="416">
        <f t="shared" si="8"/>
        <v>-21.89158363150608</v>
      </c>
      <c r="L109" s="455"/>
    </row>
    <row r="110" spans="1:12" x14ac:dyDescent="0.25">
      <c r="A110" s="49">
        <f>'A) Base RI'!A112</f>
        <v>5571</v>
      </c>
      <c r="B110" s="292" t="str">
        <f>'A) Base RI'!B112</f>
        <v>Tévenon</v>
      </c>
      <c r="C110" s="95">
        <f>'B) D RI'!U112</f>
        <v>21380.087226107229</v>
      </c>
      <c r="D110" s="415">
        <f>'E) Fact soc'!G116/C110</f>
        <v>17.031681493118018</v>
      </c>
      <c r="E110" s="136">
        <f>'H) Péréquation directe'!I121/C110</f>
        <v>-6.822190704352713</v>
      </c>
      <c r="F110" s="415">
        <f>+'I) Dépenses thématiques'!U110</f>
        <v>-7.428309788644996</v>
      </c>
      <c r="G110" s="136">
        <f t="shared" si="5"/>
        <v>2.7811810001203083</v>
      </c>
      <c r="H110" s="416">
        <f>G110-'C) Prél. conj.'!I110</f>
        <v>-0.74015846888183834</v>
      </c>
      <c r="I110" s="420">
        <f t="shared" si="6"/>
        <v>0</v>
      </c>
      <c r="J110" s="55">
        <f t="shared" si="7"/>
        <v>0</v>
      </c>
      <c r="K110" s="416">
        <f t="shared" si="8"/>
        <v>-0.74015846888183834</v>
      </c>
      <c r="L110" s="455"/>
    </row>
    <row r="111" spans="1:12" x14ac:dyDescent="0.25">
      <c r="A111" s="49">
        <f>'A) Base RI'!A113</f>
        <v>5581</v>
      </c>
      <c r="B111" s="292" t="str">
        <f>'A) Base RI'!B113</f>
        <v>Belmont-sur-Lausanne</v>
      </c>
      <c r="C111" s="95">
        <f>'B) D RI'!U113</f>
        <v>212445.65069444443</v>
      </c>
      <c r="D111" s="415">
        <f>'E) Fact soc'!G117/C111</f>
        <v>19.483916181534621</v>
      </c>
      <c r="E111" s="136">
        <f>'H) Péréquation directe'!I122/C111</f>
        <v>13.546993215563731</v>
      </c>
      <c r="F111" s="415">
        <f>+'I) Dépenses thématiques'!U111</f>
        <v>-3.4178734347340614</v>
      </c>
      <c r="G111" s="136">
        <f t="shared" si="5"/>
        <v>29.613035962364293</v>
      </c>
      <c r="H111" s="416">
        <f>G111-'C) Prél. conj.'!I111</f>
        <v>25.776057458283688</v>
      </c>
      <c r="I111" s="420">
        <f t="shared" si="6"/>
        <v>0</v>
      </c>
      <c r="J111" s="55">
        <f t="shared" si="7"/>
        <v>0</v>
      </c>
      <c r="K111" s="416">
        <f t="shared" si="8"/>
        <v>25.776057458283688</v>
      </c>
      <c r="L111" s="455"/>
    </row>
    <row r="112" spans="1:12" x14ac:dyDescent="0.25">
      <c r="A112" s="49">
        <f>'A) Base RI'!A114</f>
        <v>5582</v>
      </c>
      <c r="B112" s="292" t="str">
        <f>'A) Base RI'!B114</f>
        <v>Cheseaux-sur-Lausanne</v>
      </c>
      <c r="C112" s="95">
        <f>'B) D RI'!U114</f>
        <v>163780.29383561644</v>
      </c>
      <c r="D112" s="415">
        <f>'E) Fact soc'!G118/C112</f>
        <v>16.200896300702301</v>
      </c>
      <c r="E112" s="136">
        <f>'H) Péréquation directe'!I123/C112</f>
        <v>3.9476381207957947</v>
      </c>
      <c r="F112" s="415">
        <f>+'I) Dépenses thématiques'!U112</f>
        <v>-2.5095310758132294</v>
      </c>
      <c r="G112" s="136">
        <f t="shared" si="5"/>
        <v>17.639003345684866</v>
      </c>
      <c r="H112" s="416">
        <f>G112-'C) Prél. conj.'!I112</f>
        <v>14.948449069098436</v>
      </c>
      <c r="I112" s="420">
        <f t="shared" si="6"/>
        <v>0</v>
      </c>
      <c r="J112" s="55">
        <f t="shared" si="7"/>
        <v>0</v>
      </c>
      <c r="K112" s="416">
        <f t="shared" si="8"/>
        <v>14.948449069098436</v>
      </c>
      <c r="L112" s="455"/>
    </row>
    <row r="113" spans="1:12" x14ac:dyDescent="0.25">
      <c r="A113" s="49">
        <f>'A) Base RI'!A115</f>
        <v>5583</v>
      </c>
      <c r="B113" s="292" t="str">
        <f>'A) Base RI'!B115</f>
        <v>Crissier</v>
      </c>
      <c r="C113" s="95">
        <f>'B) D RI'!U115</f>
        <v>368095.30976377946</v>
      </c>
      <c r="D113" s="415">
        <f>'E) Fact soc'!G119/C113</f>
        <v>17.433215018413634</v>
      </c>
      <c r="E113" s="136">
        <f>'H) Péréquation directe'!I124/C113</f>
        <v>6.0230287550578243</v>
      </c>
      <c r="F113" s="415">
        <f>+'I) Dépenses thématiques'!U113</f>
        <v>-7.4144252019096974</v>
      </c>
      <c r="G113" s="136">
        <f t="shared" si="5"/>
        <v>16.041818571561759</v>
      </c>
      <c r="H113" s="416">
        <f>G113-'C) Prél. conj.'!I113</f>
        <v>12.118945577263997</v>
      </c>
      <c r="I113" s="420">
        <f t="shared" si="6"/>
        <v>0</v>
      </c>
      <c r="J113" s="55">
        <f t="shared" si="7"/>
        <v>0</v>
      </c>
      <c r="K113" s="416">
        <f t="shared" si="8"/>
        <v>12.118945577263997</v>
      </c>
      <c r="L113" s="455"/>
    </row>
    <row r="114" spans="1:12" x14ac:dyDescent="0.25">
      <c r="A114" s="49">
        <f>'A) Base RI'!A116</f>
        <v>5584</v>
      </c>
      <c r="B114" s="292" t="str">
        <f>'A) Base RI'!B116</f>
        <v>Epalinges</v>
      </c>
      <c r="C114" s="95">
        <f>'B) D RI'!U116</f>
        <v>482115.91751937981</v>
      </c>
      <c r="D114" s="415">
        <f>'E) Fact soc'!G120/C114</f>
        <v>17.701074552165796</v>
      </c>
      <c r="E114" s="136">
        <f>'H) Péréquation directe'!I125/C114</f>
        <v>9.1507234671380289</v>
      </c>
      <c r="F114" s="415">
        <f>+'I) Dépenses thématiques'!U114</f>
        <v>-7.0056004627724278</v>
      </c>
      <c r="G114" s="136">
        <f t="shared" si="5"/>
        <v>19.846197556531397</v>
      </c>
      <c r="H114" s="416">
        <f>G114-'C) Prél. conj.'!I114</f>
        <v>15.982539871084571</v>
      </c>
      <c r="I114" s="420">
        <f t="shared" si="6"/>
        <v>0</v>
      </c>
      <c r="J114" s="55">
        <f t="shared" si="7"/>
        <v>0</v>
      </c>
      <c r="K114" s="416">
        <f t="shared" si="8"/>
        <v>15.982539871084571</v>
      </c>
      <c r="L114" s="455"/>
    </row>
    <row r="115" spans="1:12" x14ac:dyDescent="0.25">
      <c r="A115" s="49">
        <f>'A) Base RI'!A117</f>
        <v>5585</v>
      </c>
      <c r="B115" s="292" t="str">
        <f>'A) Base RI'!B117</f>
        <v>Jouxtens-Mézery</v>
      </c>
      <c r="C115" s="95">
        <f>'B) D RI'!U117</f>
        <v>202487.97135593221</v>
      </c>
      <c r="D115" s="415">
        <f>'E) Fact soc'!G121/C115</f>
        <v>32.451335077088324</v>
      </c>
      <c r="E115" s="136">
        <f>'H) Péréquation directe'!I126/C115</f>
        <v>17.846996314638577</v>
      </c>
      <c r="F115" s="415">
        <f>+'I) Dépenses thématiques'!U115</f>
        <v>0</v>
      </c>
      <c r="G115" s="136">
        <f t="shared" si="5"/>
        <v>50.298331391726904</v>
      </c>
      <c r="H115" s="416">
        <f>G115-'C) Prél. conj.'!I115</f>
        <v>47.588728760390524</v>
      </c>
      <c r="I115" s="420">
        <f t="shared" si="6"/>
        <v>0</v>
      </c>
      <c r="J115" s="55">
        <f t="shared" si="7"/>
        <v>0</v>
      </c>
      <c r="K115" s="416">
        <f t="shared" si="8"/>
        <v>47.588728760390524</v>
      </c>
      <c r="L115" s="455"/>
    </row>
    <row r="116" spans="1:12" x14ac:dyDescent="0.25">
      <c r="A116" s="49">
        <f>'A) Base RI'!A118</f>
        <v>5586</v>
      </c>
      <c r="B116" s="292" t="str">
        <f>'A) Base RI'!B118</f>
        <v>Lausanne</v>
      </c>
      <c r="C116" s="95">
        <f>'B) D RI'!U118</f>
        <v>6272364.2800849257</v>
      </c>
      <c r="D116" s="415">
        <f>'E) Fact soc'!G122/C116</f>
        <v>17.117005917478533</v>
      </c>
      <c r="E116" s="136">
        <f>'H) Péréquation directe'!I127/C116</f>
        <v>-5.1494547954046137</v>
      </c>
      <c r="F116" s="415">
        <f>+'I) Dépenses thématiques'!U116</f>
        <v>-7.1541568403426457</v>
      </c>
      <c r="G116" s="136">
        <f t="shared" si="5"/>
        <v>4.8133942817312736</v>
      </c>
      <c r="H116" s="416">
        <f>G116-'C) Prél. conj.'!I116</f>
        <v>1.2067303883686096</v>
      </c>
      <c r="I116" s="420">
        <f t="shared" si="6"/>
        <v>0</v>
      </c>
      <c r="J116" s="55">
        <f t="shared" si="7"/>
        <v>0</v>
      </c>
      <c r="K116" s="416">
        <f t="shared" si="8"/>
        <v>1.2067303883686096</v>
      </c>
      <c r="L116" s="455"/>
    </row>
    <row r="117" spans="1:12" x14ac:dyDescent="0.25">
      <c r="A117" s="49">
        <f>'A) Base RI'!A119</f>
        <v>5587</v>
      </c>
      <c r="B117" s="292" t="str">
        <f>'A) Base RI'!B119</f>
        <v>Le Mont-sur-Lausanne</v>
      </c>
      <c r="C117" s="95">
        <f>'B) D RI'!U119</f>
        <v>442860.74013605446</v>
      </c>
      <c r="D117" s="415">
        <f>'E) Fact soc'!G123/C117</f>
        <v>17.537281355579861</v>
      </c>
      <c r="E117" s="136">
        <f>'H) Péréquation directe'!I128/C117</f>
        <v>9.4416518012787538</v>
      </c>
      <c r="F117" s="415">
        <f>+'I) Dépenses thématiques'!U117</f>
        <v>-4.873479659814989</v>
      </c>
      <c r="G117" s="136">
        <f t="shared" si="5"/>
        <v>22.105453497043626</v>
      </c>
      <c r="H117" s="416">
        <f>G117-'C) Prél. conj.'!I117</f>
        <v>18.170974953145837</v>
      </c>
      <c r="I117" s="420">
        <f t="shared" si="6"/>
        <v>0</v>
      </c>
      <c r="J117" s="55">
        <f t="shared" si="7"/>
        <v>0</v>
      </c>
      <c r="K117" s="416">
        <f t="shared" si="8"/>
        <v>18.170974953145837</v>
      </c>
      <c r="L117" s="455"/>
    </row>
    <row r="118" spans="1:12" x14ac:dyDescent="0.25">
      <c r="A118" s="49">
        <f>'A) Base RI'!A120</f>
        <v>5588</v>
      </c>
      <c r="B118" s="292" t="str">
        <f>'A) Base RI'!B120</f>
        <v>Paudex</v>
      </c>
      <c r="C118" s="95">
        <f>'B) D RI'!U120</f>
        <v>135448.58760472611</v>
      </c>
      <c r="D118" s="415">
        <f>'E) Fact soc'!G124/C118</f>
        <v>25.030445019572699</v>
      </c>
      <c r="E118" s="136">
        <f>'H) Péréquation directe'!I129/C118</f>
        <v>16.869604899564877</v>
      </c>
      <c r="F118" s="415">
        <f>+'I) Dépenses thématiques'!U118</f>
        <v>0</v>
      </c>
      <c r="G118" s="136">
        <f t="shared" si="5"/>
        <v>41.900049919137572</v>
      </c>
      <c r="H118" s="416">
        <f>G118-'C) Prél. conj.'!I118</f>
        <v>39.884826100070775</v>
      </c>
      <c r="I118" s="420">
        <f t="shared" si="6"/>
        <v>0</v>
      </c>
      <c r="J118" s="55">
        <f t="shared" si="7"/>
        <v>0</v>
      </c>
      <c r="K118" s="416">
        <f t="shared" si="8"/>
        <v>39.884826100070775</v>
      </c>
      <c r="L118" s="455"/>
    </row>
    <row r="119" spans="1:12" x14ac:dyDescent="0.25">
      <c r="A119" s="49">
        <f>'A) Base RI'!A121</f>
        <v>5589</v>
      </c>
      <c r="B119" s="292" t="str">
        <f>'A) Base RI'!B121</f>
        <v>Prilly</v>
      </c>
      <c r="C119" s="95">
        <f>'B) D RI'!U121</f>
        <v>455017.22467904515</v>
      </c>
      <c r="D119" s="415">
        <f>'E) Fact soc'!G125/C119</f>
        <v>16.415039414269124</v>
      </c>
      <c r="E119" s="136">
        <f>'H) Péréquation directe'!I130/C119</f>
        <v>-2.9969308228120903</v>
      </c>
      <c r="F119" s="415">
        <f>+'I) Dépenses thématiques'!U119</f>
        <v>-5.7147708062258795</v>
      </c>
      <c r="G119" s="136">
        <f t="shared" si="5"/>
        <v>7.7033377852311551</v>
      </c>
      <c r="H119" s="416">
        <f>G119-'C) Prél. conj.'!I119</f>
        <v>4.7986403950779</v>
      </c>
      <c r="I119" s="420">
        <f t="shared" si="6"/>
        <v>0</v>
      </c>
      <c r="J119" s="55">
        <f t="shared" si="7"/>
        <v>0</v>
      </c>
      <c r="K119" s="416">
        <f t="shared" si="8"/>
        <v>4.7986403950779</v>
      </c>
      <c r="L119" s="455"/>
    </row>
    <row r="120" spans="1:12" x14ac:dyDescent="0.25">
      <c r="A120" s="49">
        <f>'A) Base RI'!A122</f>
        <v>5590</v>
      </c>
      <c r="B120" s="292" t="str">
        <f>'A) Base RI'!B122</f>
        <v>Pully</v>
      </c>
      <c r="C120" s="95">
        <f>'B) D RI'!U122</f>
        <v>1478979.5848477751</v>
      </c>
      <c r="D120" s="415">
        <f>'E) Fact soc'!G126/C120</f>
        <v>23.520323992856348</v>
      </c>
      <c r="E120" s="136">
        <f>'H) Péréquation directe'!I131/C120</f>
        <v>10.010731394808856</v>
      </c>
      <c r="F120" s="415">
        <f>+'I) Dépenses thématiques'!U120</f>
        <v>-1.5836569110955117</v>
      </c>
      <c r="G120" s="136">
        <f t="shared" si="5"/>
        <v>31.947398476569692</v>
      </c>
      <c r="H120" s="416">
        <f>G120-'C) Prél. conj.'!I120</f>
        <v>28.88726685516815</v>
      </c>
      <c r="I120" s="420">
        <f t="shared" si="6"/>
        <v>0</v>
      </c>
      <c r="J120" s="55">
        <f t="shared" si="7"/>
        <v>0</v>
      </c>
      <c r="K120" s="416">
        <f t="shared" si="8"/>
        <v>28.88726685516815</v>
      </c>
      <c r="L120" s="455"/>
    </row>
    <row r="121" spans="1:12" x14ac:dyDescent="0.25">
      <c r="A121" s="49">
        <f>'A) Base RI'!A123</f>
        <v>5591</v>
      </c>
      <c r="B121" s="292" t="str">
        <f>'A) Base RI'!B123</f>
        <v>Renens</v>
      </c>
      <c r="C121" s="95">
        <f>'B) D RI'!U123</f>
        <v>596748.60283858993</v>
      </c>
      <c r="D121" s="415">
        <f>'E) Fact soc'!G127/C121</f>
        <v>18.376288104571817</v>
      </c>
      <c r="E121" s="136">
        <f>'H) Péréquation directe'!I132/C121</f>
        <v>-23.589572058873305</v>
      </c>
      <c r="F121" s="415">
        <f>+'I) Dépenses thématiques'!U121</f>
        <v>-9.6195736456900534</v>
      </c>
      <c r="G121" s="136">
        <f t="shared" si="5"/>
        <v>-14.832857599991542</v>
      </c>
      <c r="H121" s="416">
        <f>G121-'C) Prél. conj.'!I121</f>
        <v>-19.69880368044749</v>
      </c>
      <c r="I121" s="420">
        <f t="shared" si="6"/>
        <v>0</v>
      </c>
      <c r="J121" s="55">
        <f t="shared" si="7"/>
        <v>0</v>
      </c>
      <c r="K121" s="416">
        <f t="shared" si="8"/>
        <v>-19.69880368044749</v>
      </c>
      <c r="L121" s="455"/>
    </row>
    <row r="122" spans="1:12" x14ac:dyDescent="0.25">
      <c r="A122" s="49">
        <f>'A) Base RI'!A124</f>
        <v>5592</v>
      </c>
      <c r="B122" s="292" t="str">
        <f>'A) Base RI'!B124</f>
        <v>Romanel-sur-Lausanne</v>
      </c>
      <c r="C122" s="95">
        <f>'B) D RI'!U124</f>
        <v>121292.24695035459</v>
      </c>
      <c r="D122" s="415">
        <f>'E) Fact soc'!G128/C122</f>
        <v>15.761448973365125</v>
      </c>
      <c r="E122" s="136">
        <f>'H) Péréquation directe'!I133/C122</f>
        <v>5.6342194238487631</v>
      </c>
      <c r="F122" s="415">
        <f>+'I) Dépenses thématiques'!U122</f>
        <v>-1.6725019397233569</v>
      </c>
      <c r="G122" s="136">
        <f t="shared" si="5"/>
        <v>19.723166457490532</v>
      </c>
      <c r="H122" s="416">
        <f>G122-'C) Prél. conj.'!I122</f>
        <v>17.472059508241276</v>
      </c>
      <c r="I122" s="420">
        <f t="shared" si="6"/>
        <v>0</v>
      </c>
      <c r="J122" s="55">
        <f t="shared" si="7"/>
        <v>0</v>
      </c>
      <c r="K122" s="416">
        <f t="shared" si="8"/>
        <v>17.472059508241276</v>
      </c>
      <c r="L122" s="455"/>
    </row>
    <row r="123" spans="1:12" x14ac:dyDescent="0.25">
      <c r="A123" s="49">
        <f>'A) Base RI'!A125</f>
        <v>5601</v>
      </c>
      <c r="B123" s="292" t="str">
        <f>'A) Base RI'!B125</f>
        <v>Chexbres</v>
      </c>
      <c r="C123" s="95">
        <f>'B) D RI'!U125</f>
        <v>98072.029481481484</v>
      </c>
      <c r="D123" s="415">
        <f>'E) Fact soc'!G129/C123</f>
        <v>22.144275516436306</v>
      </c>
      <c r="E123" s="136">
        <f>'H) Péréquation directe'!I134/C123</f>
        <v>11.540584042347147</v>
      </c>
      <c r="F123" s="415">
        <f>+'I) Dépenses thématiques'!U123</f>
        <v>-3.6944919466515942</v>
      </c>
      <c r="G123" s="136">
        <f t="shared" si="5"/>
        <v>29.990367612131855</v>
      </c>
      <c r="H123" s="416">
        <f>G123-'C) Prél. conj.'!I123</f>
        <v>21.356434119811421</v>
      </c>
      <c r="I123" s="420">
        <f t="shared" si="6"/>
        <v>0</v>
      </c>
      <c r="J123" s="55">
        <f t="shared" si="7"/>
        <v>0</v>
      </c>
      <c r="K123" s="416">
        <f t="shared" si="8"/>
        <v>21.356434119811421</v>
      </c>
      <c r="L123" s="455"/>
    </row>
    <row r="124" spans="1:12" x14ac:dyDescent="0.25">
      <c r="A124" s="49">
        <f>'A) Base RI'!A126</f>
        <v>5604</v>
      </c>
      <c r="B124" s="292" t="str">
        <f>'A) Base RI'!B126</f>
        <v>Forel (Lavaux)</v>
      </c>
      <c r="C124" s="95">
        <f>'B) D RI'!U126</f>
        <v>71309.914782608685</v>
      </c>
      <c r="D124" s="415">
        <f>'E) Fact soc'!G130/C124</f>
        <v>16.161266731799056</v>
      </c>
      <c r="E124" s="136">
        <f>'H) Péréquation directe'!I135/C124</f>
        <v>3.9862743415788535</v>
      </c>
      <c r="F124" s="415">
        <f>+'I) Dépenses thématiques'!U124</f>
        <v>-4.0982977219266381</v>
      </c>
      <c r="G124" s="136">
        <f t="shared" si="5"/>
        <v>16.04924335145127</v>
      </c>
      <c r="H124" s="416">
        <f>G124-'C) Prél. conj.'!I124</f>
        <v>13.398318643768082</v>
      </c>
      <c r="I124" s="420">
        <f t="shared" si="6"/>
        <v>0</v>
      </c>
      <c r="J124" s="55">
        <f t="shared" si="7"/>
        <v>0</v>
      </c>
      <c r="K124" s="416">
        <f t="shared" si="8"/>
        <v>13.398318643768082</v>
      </c>
      <c r="L124" s="455"/>
    </row>
    <row r="125" spans="1:12" x14ac:dyDescent="0.25">
      <c r="A125" s="49">
        <f>'A) Base RI'!A127</f>
        <v>5606</v>
      </c>
      <c r="B125" s="292" t="str">
        <f>'A) Base RI'!B127</f>
        <v>Lutry</v>
      </c>
      <c r="C125" s="95">
        <f>'B) D RI'!U127</f>
        <v>875230.37264550268</v>
      </c>
      <c r="D125" s="415">
        <f>'E) Fact soc'!G131/C125</f>
        <v>23.717819629150611</v>
      </c>
      <c r="E125" s="136">
        <f>'H) Péréquation directe'!I136/C125</f>
        <v>12.9739107039508</v>
      </c>
      <c r="F125" s="415">
        <f>+'I) Dépenses thématiques'!U125</f>
        <v>-2.450030107668022</v>
      </c>
      <c r="G125" s="136">
        <f t="shared" si="5"/>
        <v>34.241700225433391</v>
      </c>
      <c r="H125" s="416">
        <f>G125-'C) Prél. conj.'!I125</f>
        <v>31.030482655932559</v>
      </c>
      <c r="I125" s="420">
        <f t="shared" si="6"/>
        <v>0</v>
      </c>
      <c r="J125" s="55">
        <f t="shared" si="7"/>
        <v>0</v>
      </c>
      <c r="K125" s="416">
        <f t="shared" si="8"/>
        <v>31.030482655932559</v>
      </c>
      <c r="L125" s="455"/>
    </row>
    <row r="126" spans="1:12" x14ac:dyDescent="0.25">
      <c r="A126" s="49">
        <f>'A) Base RI'!A128</f>
        <v>5607</v>
      </c>
      <c r="B126" s="292" t="str">
        <f>'A) Base RI'!B128</f>
        <v>Puidoux</v>
      </c>
      <c r="C126" s="95">
        <f>'B) D RI'!U128</f>
        <v>102944.97501110758</v>
      </c>
      <c r="D126" s="415">
        <f>'E) Fact soc'!G132/C126</f>
        <v>19.781442142701973</v>
      </c>
      <c r="E126" s="136">
        <f>'H) Péréquation directe'!I137/C126</f>
        <v>4.9051322144898668</v>
      </c>
      <c r="F126" s="415">
        <f>+'I) Dépenses thématiques'!U126</f>
        <v>-8.3018248325490518</v>
      </c>
      <c r="G126" s="136">
        <f t="shared" si="5"/>
        <v>16.384749524642789</v>
      </c>
      <c r="H126" s="416">
        <f>G126-'C) Prél. conj.'!I126</f>
        <v>10.113649406056687</v>
      </c>
      <c r="I126" s="420">
        <f t="shared" si="6"/>
        <v>0</v>
      </c>
      <c r="J126" s="55">
        <f t="shared" si="7"/>
        <v>0</v>
      </c>
      <c r="K126" s="416">
        <f t="shared" si="8"/>
        <v>10.113649406056687</v>
      </c>
      <c r="L126" s="455"/>
    </row>
    <row r="127" spans="1:12" x14ac:dyDescent="0.25">
      <c r="A127" s="49">
        <f>'A) Base RI'!A129</f>
        <v>5609</v>
      </c>
      <c r="B127" s="292" t="str">
        <f>'A) Base RI'!B129</f>
        <v>Rivaz</v>
      </c>
      <c r="C127" s="95">
        <f>'B) D RI'!U129</f>
        <v>16048.850483870969</v>
      </c>
      <c r="D127" s="415">
        <f>'E) Fact soc'!G133/C127</f>
        <v>15.549246619363084</v>
      </c>
      <c r="E127" s="136">
        <f>'H) Péréquation directe'!I138/C127</f>
        <v>16.383340482866235</v>
      </c>
      <c r="F127" s="415">
        <f>+'I) Dépenses thématiques'!U127</f>
        <v>-1.510217772807424</v>
      </c>
      <c r="G127" s="136">
        <f t="shared" si="5"/>
        <v>30.422369329421898</v>
      </c>
      <c r="H127" s="416">
        <f>G127-'C) Prél. conj.'!I127</f>
        <v>28.383464734174684</v>
      </c>
      <c r="I127" s="420">
        <f t="shared" si="6"/>
        <v>0</v>
      </c>
      <c r="J127" s="55">
        <f t="shared" si="7"/>
        <v>0</v>
      </c>
      <c r="K127" s="416">
        <f t="shared" si="8"/>
        <v>28.383464734174684</v>
      </c>
      <c r="L127" s="455"/>
    </row>
    <row r="128" spans="1:12" x14ac:dyDescent="0.25">
      <c r="A128" s="49">
        <f>'A) Base RI'!A130</f>
        <v>5610</v>
      </c>
      <c r="B128" s="292" t="str">
        <f>'A) Base RI'!B130</f>
        <v>St-Saphorin (Lavaux)</v>
      </c>
      <c r="C128" s="95">
        <f>'B) D RI'!U130</f>
        <v>19213.723703703701</v>
      </c>
      <c r="D128" s="415">
        <f>'E) Fact soc'!G134/C128</f>
        <v>17.230069447878815</v>
      </c>
      <c r="E128" s="136">
        <f>'H) Péréquation directe'!I139/C128</f>
        <v>16.660121914736081</v>
      </c>
      <c r="F128" s="415">
        <f>+'I) Dépenses thématiques'!U128</f>
        <v>-0.31193369230257451</v>
      </c>
      <c r="G128" s="136">
        <f t="shared" si="5"/>
        <v>33.578257670312325</v>
      </c>
      <c r="H128" s="416">
        <f>G128-'C) Prél. conj.'!I128</f>
        <v>30.25126046842804</v>
      </c>
      <c r="I128" s="420">
        <f t="shared" si="6"/>
        <v>0</v>
      </c>
      <c r="J128" s="55">
        <f t="shared" si="7"/>
        <v>0</v>
      </c>
      <c r="K128" s="416">
        <f t="shared" si="8"/>
        <v>30.25126046842804</v>
      </c>
      <c r="L128" s="455"/>
    </row>
    <row r="129" spans="1:12" x14ac:dyDescent="0.25">
      <c r="A129" s="49">
        <f>'A) Base RI'!A131</f>
        <v>5611</v>
      </c>
      <c r="B129" s="292" t="str">
        <f>'A) Base RI'!B131</f>
        <v>Savigny</v>
      </c>
      <c r="C129" s="95">
        <f>'B) D RI'!U131</f>
        <v>136715.33886473431</v>
      </c>
      <c r="D129" s="415">
        <f>'E) Fact soc'!G135/C129</f>
        <v>17.364872132996965</v>
      </c>
      <c r="E129" s="136">
        <f>'H) Péréquation directe'!I140/C129</f>
        <v>8.4848767133086973</v>
      </c>
      <c r="F129" s="415">
        <f>+'I) Dépenses thématiques'!U129</f>
        <v>-3.7465142614199931</v>
      </c>
      <c r="G129" s="136">
        <f t="shared" si="5"/>
        <v>22.103234584885669</v>
      </c>
      <c r="H129" s="416">
        <f>G129-'C) Prél. conj.'!I129</f>
        <v>18.248704476004576</v>
      </c>
      <c r="I129" s="420">
        <f t="shared" si="6"/>
        <v>0</v>
      </c>
      <c r="J129" s="55">
        <f t="shared" si="7"/>
        <v>0</v>
      </c>
      <c r="K129" s="416">
        <f t="shared" si="8"/>
        <v>18.248704476004576</v>
      </c>
      <c r="L129" s="455"/>
    </row>
    <row r="130" spans="1:12" x14ac:dyDescent="0.25">
      <c r="A130" s="49">
        <f>'A) Base RI'!A132</f>
        <v>5613</v>
      </c>
      <c r="B130" s="292" t="str">
        <f>'A) Base RI'!B132</f>
        <v>Bourg-en-Lavaux</v>
      </c>
      <c r="C130" s="95">
        <f>'B) D RI'!U132</f>
        <v>343828.17631999997</v>
      </c>
      <c r="D130" s="415">
        <f>'E) Fact soc'!G136/C130</f>
        <v>19.648161874409841</v>
      </c>
      <c r="E130" s="136">
        <f>'H) Péréquation directe'!I141/C130</f>
        <v>13.225515091673122</v>
      </c>
      <c r="F130" s="415">
        <f>+'I) Dépenses thématiques'!U130</f>
        <v>0</v>
      </c>
      <c r="G130" s="136">
        <f t="shared" si="5"/>
        <v>32.873676966082961</v>
      </c>
      <c r="H130" s="416">
        <f>G130-'C) Prél. conj.'!I130</f>
        <v>30.386184465747554</v>
      </c>
      <c r="I130" s="420">
        <f t="shared" si="6"/>
        <v>0</v>
      </c>
      <c r="J130" s="55">
        <f t="shared" si="7"/>
        <v>0</v>
      </c>
      <c r="K130" s="416">
        <f t="shared" si="8"/>
        <v>30.386184465747554</v>
      </c>
      <c r="L130" s="455"/>
    </row>
    <row r="131" spans="1:12" x14ac:dyDescent="0.25">
      <c r="A131" s="49">
        <f>'A) Base RI'!A133</f>
        <v>5621</v>
      </c>
      <c r="B131" s="292" t="str">
        <f>'A) Base RI'!B133</f>
        <v>Aclens</v>
      </c>
      <c r="C131" s="95">
        <f>'B) D RI'!U133</f>
        <v>32411.912521994131</v>
      </c>
      <c r="D131" s="415">
        <f>'E) Fact soc'!G137/C131</f>
        <v>21.049354038072021</v>
      </c>
      <c r="E131" s="136">
        <f>'H) Péréquation directe'!I142/C131</f>
        <v>17.144143807165324</v>
      </c>
      <c r="F131" s="415">
        <f>+'I) Dépenses thématiques'!U131</f>
        <v>-1.1976314215242421</v>
      </c>
      <c r="G131" s="136">
        <f t="shared" si="5"/>
        <v>36.995866423713103</v>
      </c>
      <c r="H131" s="416">
        <f>G131-'C) Prél. conj.'!I131</f>
        <v>32.488534438879896</v>
      </c>
      <c r="I131" s="420">
        <f t="shared" si="6"/>
        <v>0</v>
      </c>
      <c r="J131" s="55">
        <f t="shared" si="7"/>
        <v>0</v>
      </c>
      <c r="K131" s="416">
        <f t="shared" si="8"/>
        <v>32.488534438879896</v>
      </c>
      <c r="L131" s="455"/>
    </row>
    <row r="132" spans="1:12" x14ac:dyDescent="0.25">
      <c r="A132" s="49">
        <f>'A) Base RI'!A134</f>
        <v>5622</v>
      </c>
      <c r="B132" s="292" t="str">
        <f>'A) Base RI'!B134</f>
        <v>Bremblens</v>
      </c>
      <c r="C132" s="95">
        <f>'B) D RI'!U134</f>
        <v>27803.201911764703</v>
      </c>
      <c r="D132" s="415">
        <f>'E) Fact soc'!G138/C132</f>
        <v>15.49191774963284</v>
      </c>
      <c r="E132" s="136">
        <f>'H) Péréquation directe'!I143/C132</f>
        <v>16.377520652567494</v>
      </c>
      <c r="F132" s="415">
        <f>+'I) Dépenses thématiques'!U132</f>
        <v>0</v>
      </c>
      <c r="G132" s="136">
        <f t="shared" si="5"/>
        <v>31.869438402200334</v>
      </c>
      <c r="H132" s="416">
        <f>G132-'C) Prél. conj.'!I132</f>
        <v>29.887862676683362</v>
      </c>
      <c r="I132" s="420">
        <f t="shared" si="6"/>
        <v>0</v>
      </c>
      <c r="J132" s="55">
        <f t="shared" si="7"/>
        <v>0</v>
      </c>
      <c r="K132" s="416">
        <f t="shared" si="8"/>
        <v>29.887862676683362</v>
      </c>
      <c r="L132" s="455"/>
    </row>
    <row r="133" spans="1:12" x14ac:dyDescent="0.25">
      <c r="A133" s="49">
        <f>'A) Base RI'!A135</f>
        <v>5623</v>
      </c>
      <c r="B133" s="292" t="str">
        <f>'A) Base RI'!B135</f>
        <v>Buchillon</v>
      </c>
      <c r="C133" s="95">
        <f>'B) D RI'!U135</f>
        <v>94394.012307692305</v>
      </c>
      <c r="D133" s="415">
        <f>'E) Fact soc'!G139/C133</f>
        <v>28.640841861893865</v>
      </c>
      <c r="E133" s="136">
        <f>'H) Péréquation directe'!I144/C133</f>
        <v>18.262928535716583</v>
      </c>
      <c r="F133" s="415">
        <f>+'I) Dépenses thématiques'!U133</f>
        <v>0</v>
      </c>
      <c r="G133" s="136">
        <f t="shared" si="5"/>
        <v>46.903770397610444</v>
      </c>
      <c r="H133" s="416">
        <f>G133-'C) Prél. conj.'!I133</f>
        <v>45.576955571774356</v>
      </c>
      <c r="I133" s="420">
        <f t="shared" si="6"/>
        <v>0</v>
      </c>
      <c r="J133" s="55">
        <f t="shared" si="7"/>
        <v>0</v>
      </c>
      <c r="K133" s="416">
        <f t="shared" si="8"/>
        <v>45.576955571774356</v>
      </c>
      <c r="L133" s="455"/>
    </row>
    <row r="134" spans="1:12" x14ac:dyDescent="0.25">
      <c r="A134" s="49">
        <f>'A) Base RI'!A136</f>
        <v>5624</v>
      </c>
      <c r="B134" s="292" t="str">
        <f>'A) Base RI'!B136</f>
        <v>Bussigny</v>
      </c>
      <c r="C134" s="95">
        <f>'B) D RI'!U136</f>
        <v>351876.09247999993</v>
      </c>
      <c r="D134" s="415">
        <f>'E) Fact soc'!G140/C134</f>
        <v>18.342323356000872</v>
      </c>
      <c r="E134" s="136">
        <f>'H) Péréquation directe'!I145/C134</f>
        <v>0.82859757212523444</v>
      </c>
      <c r="F134" s="415">
        <f>+'I) Dépenses thématiques'!U134</f>
        <v>-3.8078966183136154</v>
      </c>
      <c r="G134" s="136">
        <f t="shared" ref="G134:G197" si="9">SUM(D134:F134)</f>
        <v>15.36302430981249</v>
      </c>
      <c r="H134" s="416">
        <f>G134-'C) Prél. conj.'!I134</f>
        <v>10.531042977927489</v>
      </c>
      <c r="I134" s="420">
        <f t="shared" ref="I134:I197" si="10">IF(H134&gt;I$4,I$4-H134,0)</f>
        <v>0</v>
      </c>
      <c r="J134" s="55">
        <f t="shared" ref="J134:J197" si="11">I134*C134</f>
        <v>0</v>
      </c>
      <c r="K134" s="416">
        <f t="shared" ref="K134:K197" si="12">H134+I134</f>
        <v>10.531042977927489</v>
      </c>
      <c r="L134" s="455"/>
    </row>
    <row r="135" spans="1:12" x14ac:dyDescent="0.25">
      <c r="A135" s="49">
        <f>'A) Base RI'!A137</f>
        <v>5625</v>
      </c>
      <c r="B135" s="292" t="str">
        <f>'A) Base RI'!B137</f>
        <v>Bussy-Chardonney</v>
      </c>
      <c r="C135" s="95">
        <f>'B) D RI'!U137</f>
        <v>17740.486103896103</v>
      </c>
      <c r="D135" s="415">
        <f>'E) Fact soc'!G141/C135</f>
        <v>18.815556010294657</v>
      </c>
      <c r="E135" s="136">
        <f>'H) Péréquation directe'!I146/C135</f>
        <v>14.034177424986606</v>
      </c>
      <c r="F135" s="415">
        <f>+'I) Dépenses thématiques'!U135</f>
        <v>-0.91469215001158566</v>
      </c>
      <c r="G135" s="136">
        <f t="shared" si="9"/>
        <v>31.93504128526968</v>
      </c>
      <c r="H135" s="416">
        <f>G135-'C) Prél. conj.'!I135</f>
        <v>26.629827299090891</v>
      </c>
      <c r="I135" s="420">
        <f t="shared" si="10"/>
        <v>0</v>
      </c>
      <c r="J135" s="55">
        <f t="shared" si="11"/>
        <v>0</v>
      </c>
      <c r="K135" s="416">
        <f t="shared" si="12"/>
        <v>26.629827299090891</v>
      </c>
      <c r="L135" s="455"/>
    </row>
    <row r="136" spans="1:12" x14ac:dyDescent="0.25">
      <c r="A136" s="49">
        <f>'A) Base RI'!A138</f>
        <v>5627</v>
      </c>
      <c r="B136" s="292" t="str">
        <f>'A) Base RI'!B138</f>
        <v>Chavannes-près-Renens</v>
      </c>
      <c r="C136" s="95">
        <f>'B) D RI'!U138</f>
        <v>161901.70176344088</v>
      </c>
      <c r="D136" s="415">
        <f>'E) Fact soc'!G142/C136</f>
        <v>16.690193127547897</v>
      </c>
      <c r="E136" s="136">
        <f>'H) Péréquation directe'!I147/C136</f>
        <v>-41.586325017265153</v>
      </c>
      <c r="F136" s="415">
        <f>+'I) Dépenses thématiques'!U136</f>
        <v>-9.2047629715271633</v>
      </c>
      <c r="G136" s="136">
        <f t="shared" si="9"/>
        <v>-34.10089486124442</v>
      </c>
      <c r="H136" s="416">
        <f>G136-'C) Prél. conj.'!I136</f>
        <v>-37.280745964676441</v>
      </c>
      <c r="I136" s="420">
        <f t="shared" si="10"/>
        <v>0</v>
      </c>
      <c r="J136" s="55">
        <f t="shared" si="11"/>
        <v>0</v>
      </c>
      <c r="K136" s="416">
        <f t="shared" si="12"/>
        <v>-37.280745964676441</v>
      </c>
      <c r="L136" s="455"/>
    </row>
    <row r="137" spans="1:12" x14ac:dyDescent="0.25">
      <c r="A137" s="49">
        <f>'A) Base RI'!A139</f>
        <v>5628</v>
      </c>
      <c r="B137" s="292" t="str">
        <f>'A) Base RI'!B139</f>
        <v>Chigny</v>
      </c>
      <c r="C137" s="95">
        <f>'B) D RI'!U139</f>
        <v>24624.530161290324</v>
      </c>
      <c r="D137" s="415">
        <f>'E) Fact soc'!G143/C137</f>
        <v>19.371587956394652</v>
      </c>
      <c r="E137" s="136">
        <f>'H) Péréquation directe'!I148/C137</f>
        <v>17.170031481017372</v>
      </c>
      <c r="F137" s="415">
        <f>+'I) Dépenses thématiques'!U137</f>
        <v>0</v>
      </c>
      <c r="G137" s="136">
        <f t="shared" si="9"/>
        <v>36.541619437412024</v>
      </c>
      <c r="H137" s="416">
        <f>G137-'C) Prél. conj.'!I137</f>
        <v>33.911582048848651</v>
      </c>
      <c r="I137" s="420">
        <f t="shared" si="10"/>
        <v>0</v>
      </c>
      <c r="J137" s="55">
        <f t="shared" si="11"/>
        <v>0</v>
      </c>
      <c r="K137" s="416">
        <f t="shared" si="12"/>
        <v>33.911582048848651</v>
      </c>
      <c r="L137" s="455"/>
    </row>
    <row r="138" spans="1:12" x14ac:dyDescent="0.25">
      <c r="A138" s="49">
        <f>'A) Base RI'!A140</f>
        <v>5629</v>
      </c>
      <c r="B138" s="292" t="str">
        <f>'A) Base RI'!B140</f>
        <v>Clarmont</v>
      </c>
      <c r="C138" s="95">
        <f>'B) D RI'!U140</f>
        <v>8521.2598639455773</v>
      </c>
      <c r="D138" s="415">
        <f>'E) Fact soc'!G144/C138</f>
        <v>13.748912966964538</v>
      </c>
      <c r="E138" s="136">
        <f>'H) Péréquation directe'!I149/C138</f>
        <v>13.286788122870897</v>
      </c>
      <c r="F138" s="415">
        <f>+'I) Dépenses thématiques'!U138</f>
        <v>-4.3041101200901917</v>
      </c>
      <c r="G138" s="136">
        <f t="shared" si="9"/>
        <v>22.731590969745241</v>
      </c>
      <c r="H138" s="416">
        <f>G138-'C) Prél. conj.'!I138</f>
        <v>22.493020026896573</v>
      </c>
      <c r="I138" s="420">
        <f t="shared" si="10"/>
        <v>0</v>
      </c>
      <c r="J138" s="55">
        <f t="shared" si="11"/>
        <v>0</v>
      </c>
      <c r="K138" s="416">
        <f t="shared" si="12"/>
        <v>22.493020026896573</v>
      </c>
      <c r="L138" s="455"/>
    </row>
    <row r="139" spans="1:12" x14ac:dyDescent="0.25">
      <c r="A139" s="49">
        <f>'A) Base RI'!A141</f>
        <v>5631</v>
      </c>
      <c r="B139" s="292" t="str">
        <f>'A) Base RI'!B141</f>
        <v>Denens</v>
      </c>
      <c r="C139" s="95">
        <f>'B) D RI'!U141</f>
        <v>43455.14235294117</v>
      </c>
      <c r="D139" s="415">
        <f>'E) Fact soc'!G145/C139</f>
        <v>20.39792911323444</v>
      </c>
      <c r="E139" s="136">
        <f>'H) Péréquation directe'!I150/C139</f>
        <v>17.046836762971761</v>
      </c>
      <c r="F139" s="415">
        <f>+'I) Dépenses thématiques'!U139</f>
        <v>0</v>
      </c>
      <c r="G139" s="136">
        <f t="shared" si="9"/>
        <v>37.444765876206205</v>
      </c>
      <c r="H139" s="416">
        <f>G139-'C) Prél. conj.'!I139</f>
        <v>33.059676110481327</v>
      </c>
      <c r="I139" s="420">
        <f t="shared" si="10"/>
        <v>0</v>
      </c>
      <c r="J139" s="55">
        <f t="shared" si="11"/>
        <v>0</v>
      </c>
      <c r="K139" s="416">
        <f t="shared" si="12"/>
        <v>33.059676110481327</v>
      </c>
      <c r="L139" s="455"/>
    </row>
    <row r="140" spans="1:12" x14ac:dyDescent="0.25">
      <c r="A140" s="49">
        <f>'A) Base RI'!A142</f>
        <v>5632</v>
      </c>
      <c r="B140" s="292" t="str">
        <f>'A) Base RI'!B142</f>
        <v>Denges</v>
      </c>
      <c r="C140" s="95">
        <f>'B) D RI'!U142</f>
        <v>76479.966774193541</v>
      </c>
      <c r="D140" s="415">
        <f>'E) Fact soc'!G146/C140</f>
        <v>16.288672075269851</v>
      </c>
      <c r="E140" s="136">
        <f>'H) Péréquation directe'!I151/C140</f>
        <v>12.847005048755598</v>
      </c>
      <c r="F140" s="415">
        <f>+'I) Dépenses thématiques'!U140</f>
        <v>-1.2584399995753481</v>
      </c>
      <c r="G140" s="136">
        <f t="shared" si="9"/>
        <v>27.877237124450101</v>
      </c>
      <c r="H140" s="416">
        <f>G140-'C) Prél. conj.'!I140</f>
        <v>25.098907073296118</v>
      </c>
      <c r="I140" s="420">
        <f t="shared" si="10"/>
        <v>0</v>
      </c>
      <c r="J140" s="55">
        <f t="shared" si="11"/>
        <v>0</v>
      </c>
      <c r="K140" s="416">
        <f t="shared" si="12"/>
        <v>25.098907073296118</v>
      </c>
      <c r="L140" s="455"/>
    </row>
    <row r="141" spans="1:12" x14ac:dyDescent="0.25">
      <c r="A141" s="49">
        <f>'A) Base RI'!A143</f>
        <v>5633</v>
      </c>
      <c r="B141" s="292" t="str">
        <f>'A) Base RI'!B143</f>
        <v>Echandens</v>
      </c>
      <c r="C141" s="95">
        <f>'B) D RI'!U143</f>
        <v>148489.97685950415</v>
      </c>
      <c r="D141" s="415">
        <f>'E) Fact soc'!G147/C141</f>
        <v>20.124607345999237</v>
      </c>
      <c r="E141" s="136">
        <f>'H) Péréquation directe'!I152/C141</f>
        <v>14.25371812515189</v>
      </c>
      <c r="F141" s="415">
        <f>+'I) Dépenses thématiques'!U141</f>
        <v>-4.2386203577799977</v>
      </c>
      <c r="G141" s="136">
        <f t="shared" si="9"/>
        <v>30.139705113371132</v>
      </c>
      <c r="H141" s="416">
        <f>G141-'C) Prél. conj.'!I141</f>
        <v>24.858684188019641</v>
      </c>
      <c r="I141" s="420">
        <f t="shared" si="10"/>
        <v>0</v>
      </c>
      <c r="J141" s="55">
        <f t="shared" si="11"/>
        <v>0</v>
      </c>
      <c r="K141" s="416">
        <f t="shared" si="12"/>
        <v>24.858684188019641</v>
      </c>
      <c r="L141" s="455"/>
    </row>
    <row r="142" spans="1:12" x14ac:dyDescent="0.25">
      <c r="A142" s="49">
        <f>'A) Base RI'!A144</f>
        <v>5634</v>
      </c>
      <c r="B142" s="292" t="str">
        <f>'A) Base RI'!B144</f>
        <v>Echichens</v>
      </c>
      <c r="C142" s="95">
        <f>'B) D RI'!U144</f>
        <v>164177.5981818182</v>
      </c>
      <c r="D142" s="415">
        <f>'E) Fact soc'!G148/C142</f>
        <v>17.193732046234235</v>
      </c>
      <c r="E142" s="136">
        <f>'H) Péréquation directe'!I153/C142</f>
        <v>13.795777057862491</v>
      </c>
      <c r="F142" s="415">
        <f>+'I) Dépenses thématiques'!U142</f>
        <v>0</v>
      </c>
      <c r="G142" s="136">
        <f t="shared" si="9"/>
        <v>30.989509104096726</v>
      </c>
      <c r="H142" s="416">
        <f>G142-'C) Prél. conj.'!I142</f>
        <v>28.395712296761289</v>
      </c>
      <c r="I142" s="420">
        <f t="shared" si="10"/>
        <v>0</v>
      </c>
      <c r="J142" s="55">
        <f t="shared" si="11"/>
        <v>0</v>
      </c>
      <c r="K142" s="416">
        <f t="shared" si="12"/>
        <v>28.395712296761289</v>
      </c>
      <c r="L142" s="455"/>
    </row>
    <row r="143" spans="1:12" x14ac:dyDescent="0.25">
      <c r="A143" s="49">
        <f>'A) Base RI'!A145</f>
        <v>5635</v>
      </c>
      <c r="B143" s="292" t="str">
        <f>'A) Base RI'!B145</f>
        <v>Ecublens</v>
      </c>
      <c r="C143" s="95">
        <f>'B) D RI'!U145</f>
        <v>681739.39309333346</v>
      </c>
      <c r="D143" s="415">
        <f>'E) Fact soc'!G149/C143</f>
        <v>17.614556103219336</v>
      </c>
      <c r="E143" s="136">
        <f>'H) Péréquation directe'!I154/C143</f>
        <v>7.6125552154789968</v>
      </c>
      <c r="F143" s="415">
        <f>+'I) Dépenses thématiques'!U143</f>
        <v>-2.9983424196233202</v>
      </c>
      <c r="G143" s="136">
        <f t="shared" si="9"/>
        <v>22.228768899075014</v>
      </c>
      <c r="H143" s="416">
        <f>G143-'C) Prél. conj.'!I143</f>
        <v>18.998019543362688</v>
      </c>
      <c r="I143" s="420">
        <f t="shared" si="10"/>
        <v>0</v>
      </c>
      <c r="J143" s="55">
        <f t="shared" si="11"/>
        <v>0</v>
      </c>
      <c r="K143" s="416">
        <f t="shared" si="12"/>
        <v>18.998019543362688</v>
      </c>
      <c r="L143" s="455"/>
    </row>
    <row r="144" spans="1:12" x14ac:dyDescent="0.25">
      <c r="A144" s="49">
        <f>'A) Base RI'!A146</f>
        <v>5636</v>
      </c>
      <c r="B144" s="292" t="str">
        <f>'A) Base RI'!B146</f>
        <v>Etoy</v>
      </c>
      <c r="C144" s="95">
        <f>'B) D RI'!U146</f>
        <v>170715.46099999998</v>
      </c>
      <c r="D144" s="415">
        <f>'E) Fact soc'!G150/C144</f>
        <v>19.70477713731751</v>
      </c>
      <c r="E144" s="136">
        <f>'H) Péréquation directe'!I155/C144</f>
        <v>14.555401198120148</v>
      </c>
      <c r="F144" s="415">
        <f>+'I) Dépenses thématiques'!U144</f>
        <v>0</v>
      </c>
      <c r="G144" s="136">
        <f t="shared" si="9"/>
        <v>34.260178335437658</v>
      </c>
      <c r="H144" s="416">
        <f>G144-'C) Prél. conj.'!I144</f>
        <v>30.30622591633017</v>
      </c>
      <c r="I144" s="420">
        <f t="shared" si="10"/>
        <v>0</v>
      </c>
      <c r="J144" s="55">
        <f t="shared" si="11"/>
        <v>0</v>
      </c>
      <c r="K144" s="416">
        <f t="shared" si="12"/>
        <v>30.30622591633017</v>
      </c>
      <c r="L144" s="455"/>
    </row>
    <row r="145" spans="1:12" x14ac:dyDescent="0.25">
      <c r="A145" s="49">
        <f>'A) Base RI'!A147</f>
        <v>5637</v>
      </c>
      <c r="B145" s="292" t="str">
        <f>'A) Base RI'!B147</f>
        <v>Lavigny</v>
      </c>
      <c r="C145" s="95">
        <f>'B) D RI'!U147</f>
        <v>41194.659315068493</v>
      </c>
      <c r="D145" s="415">
        <f>'E) Fact soc'!G151/C145</f>
        <v>17.851902750036942</v>
      </c>
      <c r="E145" s="136">
        <f>'H) Péréquation directe'!I156/C145</f>
        <v>12.266773818194457</v>
      </c>
      <c r="F145" s="415">
        <f>+'I) Dépenses thématiques'!U145</f>
        <v>-3.5884820160538631</v>
      </c>
      <c r="G145" s="136">
        <f t="shared" si="9"/>
        <v>26.530194552177537</v>
      </c>
      <c r="H145" s="416">
        <f>G145-'C) Prél. conj.'!I145</f>
        <v>22.188633826256467</v>
      </c>
      <c r="I145" s="420">
        <f t="shared" si="10"/>
        <v>0</v>
      </c>
      <c r="J145" s="55">
        <f t="shared" si="11"/>
        <v>0</v>
      </c>
      <c r="K145" s="416">
        <f t="shared" si="12"/>
        <v>22.188633826256467</v>
      </c>
      <c r="L145" s="455"/>
    </row>
    <row r="146" spans="1:12" x14ac:dyDescent="0.25">
      <c r="A146" s="49">
        <f>'A) Base RI'!A148</f>
        <v>5638</v>
      </c>
      <c r="B146" s="292" t="str">
        <f>'A) Base RI'!B148</f>
        <v>Lonay</v>
      </c>
      <c r="C146" s="95">
        <f>'B) D RI'!U148</f>
        <v>145490.01981818181</v>
      </c>
      <c r="D146" s="415">
        <f>'E) Fact soc'!G152/C146</f>
        <v>22.64331306285839</v>
      </c>
      <c r="E146" s="136">
        <f>'H) Péréquation directe'!I157/C146</f>
        <v>14.305192123630967</v>
      </c>
      <c r="F146" s="415">
        <f>+'I) Dépenses thématiques'!U146</f>
        <v>-3.2074511480174523</v>
      </c>
      <c r="G146" s="136">
        <f t="shared" si="9"/>
        <v>33.741054038471901</v>
      </c>
      <c r="H146" s="416">
        <f>G146-'C) Prél. conj.'!I146</f>
        <v>25.851381630464218</v>
      </c>
      <c r="I146" s="420">
        <f t="shared" si="10"/>
        <v>0</v>
      </c>
      <c r="J146" s="55">
        <f t="shared" si="11"/>
        <v>0</v>
      </c>
      <c r="K146" s="416">
        <f t="shared" si="12"/>
        <v>25.851381630464218</v>
      </c>
      <c r="L146" s="455"/>
    </row>
    <row r="147" spans="1:12" x14ac:dyDescent="0.25">
      <c r="A147" s="49">
        <f>'A) Base RI'!A149</f>
        <v>5639</v>
      </c>
      <c r="B147" s="292" t="str">
        <f>'A) Base RI'!B149</f>
        <v>Lully</v>
      </c>
      <c r="C147" s="95">
        <f>'B) D RI'!U149</f>
        <v>45623.094262295082</v>
      </c>
      <c r="D147" s="415">
        <f>'E) Fact soc'!G153/C147</f>
        <v>16.85510459267762</v>
      </c>
      <c r="E147" s="136">
        <f>'H) Péréquation directe'!I158/C147</f>
        <v>16.92186723494444</v>
      </c>
      <c r="F147" s="415">
        <f>+'I) Dépenses thématiques'!U147</f>
        <v>0</v>
      </c>
      <c r="G147" s="136">
        <f t="shared" si="9"/>
        <v>33.776971827622063</v>
      </c>
      <c r="H147" s="416">
        <f>G147-'C) Prél. conj.'!I147</f>
        <v>32.005474052058119</v>
      </c>
      <c r="I147" s="420">
        <f t="shared" si="10"/>
        <v>0</v>
      </c>
      <c r="J147" s="55">
        <f t="shared" si="11"/>
        <v>0</v>
      </c>
      <c r="K147" s="416">
        <f t="shared" si="12"/>
        <v>32.005474052058119</v>
      </c>
      <c r="L147" s="455"/>
    </row>
    <row r="148" spans="1:12" x14ac:dyDescent="0.25">
      <c r="A148" s="49">
        <f>'A) Base RI'!A150</f>
        <v>5640</v>
      </c>
      <c r="B148" s="292" t="str">
        <f>'A) Base RI'!B150</f>
        <v>Lussy-sur-Morges</v>
      </c>
      <c r="C148" s="95">
        <f>'B) D RI'!U150</f>
        <v>57031.532424242418</v>
      </c>
      <c r="D148" s="415">
        <f>'E) Fact soc'!G154/C148</f>
        <v>24.080257506645712</v>
      </c>
      <c r="E148" s="136">
        <f>'H) Péréquation directe'!I159/C148</f>
        <v>17.594321685393357</v>
      </c>
      <c r="F148" s="415">
        <f>+'I) Dépenses thématiques'!U148</f>
        <v>0</v>
      </c>
      <c r="G148" s="136">
        <f t="shared" si="9"/>
        <v>41.674579192039069</v>
      </c>
      <c r="H148" s="416">
        <f>G148-'C) Prél. conj.'!I148</f>
        <v>38.588425839351245</v>
      </c>
      <c r="I148" s="420">
        <f t="shared" si="10"/>
        <v>0</v>
      </c>
      <c r="J148" s="55">
        <f t="shared" si="11"/>
        <v>0</v>
      </c>
      <c r="K148" s="416">
        <f t="shared" si="12"/>
        <v>38.588425839351245</v>
      </c>
      <c r="L148" s="455"/>
    </row>
    <row r="149" spans="1:12" x14ac:dyDescent="0.25">
      <c r="A149" s="49">
        <f>'A) Base RI'!A151</f>
        <v>5642</v>
      </c>
      <c r="B149" s="292" t="str">
        <f>'A) Base RI'!B151</f>
        <v>Morges</v>
      </c>
      <c r="C149" s="95">
        <f>'B) D RI'!U151</f>
        <v>787513.11402985093</v>
      </c>
      <c r="D149" s="415">
        <f>'E) Fact soc'!G155/C149</f>
        <v>17.672103158109167</v>
      </c>
      <c r="E149" s="136">
        <f>'H) Péréquation directe'!I160/C149</f>
        <v>5.4032257613701562</v>
      </c>
      <c r="F149" s="415">
        <f>+'I) Dépenses thématiques'!U149</f>
        <v>-1.5137453517703678</v>
      </c>
      <c r="G149" s="136">
        <f t="shared" si="9"/>
        <v>21.561583567708954</v>
      </c>
      <c r="H149" s="416">
        <f>G149-'C) Prél. conj.'!I149</f>
        <v>17.607878360100209</v>
      </c>
      <c r="I149" s="420">
        <f t="shared" si="10"/>
        <v>0</v>
      </c>
      <c r="J149" s="55">
        <f t="shared" si="11"/>
        <v>0</v>
      </c>
      <c r="K149" s="416">
        <f t="shared" si="12"/>
        <v>17.607878360100209</v>
      </c>
      <c r="L149" s="455"/>
    </row>
    <row r="150" spans="1:12" x14ac:dyDescent="0.25">
      <c r="A150" s="49">
        <f>'A) Base RI'!A152</f>
        <v>5643</v>
      </c>
      <c r="B150" s="292" t="str">
        <f>'A) Base RI'!B152</f>
        <v>Préverenges</v>
      </c>
      <c r="C150" s="95">
        <f>'B) D RI'!U152</f>
        <v>262337.37167999998</v>
      </c>
      <c r="D150" s="415">
        <f>'E) Fact soc'!G156/C150</f>
        <v>15.767534631022739</v>
      </c>
      <c r="E150" s="136">
        <f>'H) Péréquation directe'!I161/C150</f>
        <v>11.716579686088487</v>
      </c>
      <c r="F150" s="415">
        <f>+'I) Dépenses thématiques'!U150</f>
        <v>0</v>
      </c>
      <c r="G150" s="136">
        <f t="shared" si="9"/>
        <v>27.484114317111228</v>
      </c>
      <c r="H150" s="416">
        <f>G150-'C) Prél. conj.'!I150</f>
        <v>25.69777487184291</v>
      </c>
      <c r="I150" s="420">
        <f t="shared" si="10"/>
        <v>0</v>
      </c>
      <c r="J150" s="55">
        <f t="shared" si="11"/>
        <v>0</v>
      </c>
      <c r="K150" s="416">
        <f t="shared" si="12"/>
        <v>25.69777487184291</v>
      </c>
      <c r="L150" s="455"/>
    </row>
    <row r="151" spans="1:12" x14ac:dyDescent="0.25">
      <c r="A151" s="49">
        <f>'A) Base RI'!A153</f>
        <v>5644</v>
      </c>
      <c r="B151" s="292" t="str">
        <f>'A) Base RI'!B153</f>
        <v>Reverolle</v>
      </c>
      <c r="C151" s="95">
        <f>'B) D RI'!U153</f>
        <v>16020.747027027028</v>
      </c>
      <c r="D151" s="415">
        <f>'E) Fact soc'!G157/C151</f>
        <v>14.410941102027747</v>
      </c>
      <c r="E151" s="136">
        <f>'H) Péréquation directe'!I162/C151</f>
        <v>11.098886890735828</v>
      </c>
      <c r="F151" s="415">
        <f>+'I) Dépenses thématiques'!U151</f>
        <v>-3.7742165041263043</v>
      </c>
      <c r="G151" s="136">
        <f t="shared" si="9"/>
        <v>21.735611488637272</v>
      </c>
      <c r="H151" s="416">
        <f>G151-'C) Prél. conj.'!I151</f>
        <v>20.835012410725394</v>
      </c>
      <c r="I151" s="420">
        <f t="shared" si="10"/>
        <v>0</v>
      </c>
      <c r="J151" s="55">
        <f t="shared" si="11"/>
        <v>0</v>
      </c>
      <c r="K151" s="416">
        <f t="shared" si="12"/>
        <v>20.835012410725394</v>
      </c>
      <c r="L151" s="455"/>
    </row>
    <row r="152" spans="1:12" x14ac:dyDescent="0.25">
      <c r="A152" s="49">
        <f>'A) Base RI'!A154</f>
        <v>5645</v>
      </c>
      <c r="B152" s="292" t="str">
        <f>'A) Base RI'!B154</f>
        <v>Romanel-sur-Morges</v>
      </c>
      <c r="C152" s="95">
        <f>'B) D RI'!U154</f>
        <v>27365.134464285718</v>
      </c>
      <c r="D152" s="415">
        <f>'E) Fact soc'!G158/C152</f>
        <v>19.284067211420084</v>
      </c>
      <c r="E152" s="136">
        <f>'H) Péréquation directe'!I163/C152</f>
        <v>17.052554277029255</v>
      </c>
      <c r="F152" s="415">
        <f>+'I) Dépenses thématiques'!U152</f>
        <v>-2.545901731460912</v>
      </c>
      <c r="G152" s="136">
        <f t="shared" si="9"/>
        <v>33.790719756988423</v>
      </c>
      <c r="H152" s="416">
        <f>G152-'C) Prél. conj.'!I152</f>
        <v>30.117677692050645</v>
      </c>
      <c r="I152" s="420">
        <f t="shared" si="10"/>
        <v>0</v>
      </c>
      <c r="J152" s="55">
        <f t="shared" si="11"/>
        <v>0</v>
      </c>
      <c r="K152" s="416">
        <f t="shared" si="12"/>
        <v>30.117677692050645</v>
      </c>
      <c r="L152" s="455"/>
    </row>
    <row r="153" spans="1:12" x14ac:dyDescent="0.25">
      <c r="A153" s="49">
        <f>'A) Base RI'!A155</f>
        <v>5646</v>
      </c>
      <c r="B153" s="292" t="str">
        <f>'A) Base RI'!B155</f>
        <v>Saint-Prex</v>
      </c>
      <c r="C153" s="95">
        <f>'B) D RI'!U155</f>
        <v>541092.68090909091</v>
      </c>
      <c r="D153" s="415">
        <f>'E) Fact soc'!G159/C153</f>
        <v>24.719768979059413</v>
      </c>
      <c r="E153" s="136">
        <f>'H) Péréquation directe'!I164/C153</f>
        <v>14.866933450827897</v>
      </c>
      <c r="F153" s="415">
        <f>+'I) Dépenses thématiques'!U153</f>
        <v>0</v>
      </c>
      <c r="G153" s="136">
        <f t="shared" si="9"/>
        <v>39.58670242988731</v>
      </c>
      <c r="H153" s="416">
        <f>G153-'C) Prél. conj.'!I153</f>
        <v>36.880571545729204</v>
      </c>
      <c r="I153" s="420">
        <f t="shared" si="10"/>
        <v>0</v>
      </c>
      <c r="J153" s="55">
        <f t="shared" si="11"/>
        <v>0</v>
      </c>
      <c r="K153" s="416">
        <f t="shared" si="12"/>
        <v>36.880571545729204</v>
      </c>
      <c r="L153" s="455"/>
    </row>
    <row r="154" spans="1:12" x14ac:dyDescent="0.25">
      <c r="A154" s="49">
        <f>'A) Base RI'!A156</f>
        <v>5648</v>
      </c>
      <c r="B154" s="292" t="str">
        <f>'A) Base RI'!B156</f>
        <v>Saint-Sulpice</v>
      </c>
      <c r="C154" s="95">
        <f>'B) D RI'!U156</f>
        <v>396480.48181818181</v>
      </c>
      <c r="D154" s="415">
        <f>'E) Fact soc'!G160/C154</f>
        <v>22.263648402819644</v>
      </c>
      <c r="E154" s="136">
        <f>'H) Péréquation directe'!I165/C154</f>
        <v>14.711925071907094</v>
      </c>
      <c r="F154" s="415">
        <f>+'I) Dépenses thématiques'!U154</f>
        <v>0</v>
      </c>
      <c r="G154" s="136">
        <f t="shared" si="9"/>
        <v>36.975573474726737</v>
      </c>
      <c r="H154" s="416">
        <f>G154-'C) Prél. conj.'!I154</f>
        <v>34.805170845942051</v>
      </c>
      <c r="I154" s="420">
        <f t="shared" si="10"/>
        <v>0</v>
      </c>
      <c r="J154" s="55">
        <f t="shared" si="11"/>
        <v>0</v>
      </c>
      <c r="K154" s="416">
        <f t="shared" si="12"/>
        <v>34.805170845942051</v>
      </c>
      <c r="L154" s="455"/>
    </row>
    <row r="155" spans="1:12" x14ac:dyDescent="0.25">
      <c r="A155" s="49">
        <f>'A) Base RI'!A157</f>
        <v>5649</v>
      </c>
      <c r="B155" s="292" t="str">
        <f>'A) Base RI'!B157</f>
        <v>Tolochenaz</v>
      </c>
      <c r="C155" s="95">
        <f>'B) D RI'!U157</f>
        <v>215548.34569230766</v>
      </c>
      <c r="D155" s="415">
        <f>'E) Fact soc'!G161/C155</f>
        <v>29.279644962184594</v>
      </c>
      <c r="E155" s="136">
        <f>'H) Péréquation directe'!I166/C155</f>
        <v>17.156884817399352</v>
      </c>
      <c r="F155" s="415">
        <f>+'I) Dépenses thématiques'!U155</f>
        <v>0</v>
      </c>
      <c r="G155" s="136">
        <f t="shared" si="9"/>
        <v>46.43652977958395</v>
      </c>
      <c r="H155" s="416">
        <f>G155-'C) Prél. conj.'!I155</f>
        <v>44.782963180150198</v>
      </c>
      <c r="I155" s="420">
        <f t="shared" si="10"/>
        <v>0</v>
      </c>
      <c r="J155" s="55">
        <f t="shared" si="11"/>
        <v>0</v>
      </c>
      <c r="K155" s="416">
        <f t="shared" si="12"/>
        <v>44.782963180150198</v>
      </c>
      <c r="L155" s="455"/>
    </row>
    <row r="156" spans="1:12" x14ac:dyDescent="0.25">
      <c r="A156" s="49">
        <f>'A) Base RI'!A158</f>
        <v>5650</v>
      </c>
      <c r="B156" s="292" t="str">
        <f>'A) Base RI'!B158</f>
        <v>Vaux-sur-Morges</v>
      </c>
      <c r="C156" s="95">
        <f>'B) D RI'!U158</f>
        <v>63002.429285714286</v>
      </c>
      <c r="D156" s="415">
        <f>'E) Fact soc'!G162/C156</f>
        <v>206.18026581692357</v>
      </c>
      <c r="E156" s="136">
        <f>'H) Péréquation directe'!I167/C156</f>
        <v>18.782235562944656</v>
      </c>
      <c r="F156" s="415">
        <f>+'I) Dépenses thématiques'!U156</f>
        <v>0</v>
      </c>
      <c r="G156" s="136">
        <f t="shared" si="9"/>
        <v>224.96250137986823</v>
      </c>
      <c r="H156" s="416">
        <f>G156-'C) Prél. conj.'!I156</f>
        <v>57.835547000864182</v>
      </c>
      <c r="I156" s="420">
        <f t="shared" si="10"/>
        <v>-9.8355470008641817</v>
      </c>
      <c r="J156" s="55">
        <f t="shared" si="11"/>
        <v>-619663.35440826486</v>
      </c>
      <c r="K156" s="416">
        <f t="shared" si="12"/>
        <v>48</v>
      </c>
      <c r="L156" s="455"/>
    </row>
    <row r="157" spans="1:12" x14ac:dyDescent="0.25">
      <c r="A157" s="49">
        <f>'A) Base RI'!A159</f>
        <v>5651</v>
      </c>
      <c r="B157" s="292" t="str">
        <f>'A) Base RI'!B159</f>
        <v>Villars-Sainte-Croix</v>
      </c>
      <c r="C157" s="95">
        <f>'B) D RI'!U159</f>
        <v>56095.490247933893</v>
      </c>
      <c r="D157" s="415">
        <f>'E) Fact soc'!G163/C157</f>
        <v>19.242754366831402</v>
      </c>
      <c r="E157" s="136">
        <f>'H) Péréquation directe'!I168/C157</f>
        <v>17.046471917764826</v>
      </c>
      <c r="F157" s="415">
        <f>+'I) Dépenses thématiques'!U157</f>
        <v>0</v>
      </c>
      <c r="G157" s="136">
        <f t="shared" si="9"/>
        <v>36.289226284596225</v>
      </c>
      <c r="H157" s="416">
        <f>G157-'C) Prél. conj.'!I157</f>
        <v>32.780556530038737</v>
      </c>
      <c r="I157" s="420">
        <f t="shared" si="10"/>
        <v>0</v>
      </c>
      <c r="J157" s="55">
        <f t="shared" si="11"/>
        <v>0</v>
      </c>
      <c r="K157" s="416">
        <f t="shared" si="12"/>
        <v>32.780556530038737</v>
      </c>
      <c r="L157" s="455"/>
    </row>
    <row r="158" spans="1:12" x14ac:dyDescent="0.25">
      <c r="A158" s="49">
        <f>'A) Base RI'!A160</f>
        <v>5652</v>
      </c>
      <c r="B158" s="292" t="str">
        <f>'A) Base RI'!B160</f>
        <v>Villars-sous-Yens</v>
      </c>
      <c r="C158" s="95">
        <f>'B) D RI'!U160</f>
        <v>25662.281995614037</v>
      </c>
      <c r="D158" s="415">
        <f>'E) Fact soc'!G164/C158</f>
        <v>16.805935923927834</v>
      </c>
      <c r="E158" s="136">
        <f>'H) Péréquation directe'!I169/C158</f>
        <v>12.614860316496967</v>
      </c>
      <c r="F158" s="415">
        <f>+'I) Dépenses thématiques'!U158</f>
        <v>-0.54289045801526425</v>
      </c>
      <c r="G158" s="136">
        <f t="shared" si="9"/>
        <v>28.877905782409535</v>
      </c>
      <c r="H158" s="416">
        <f>G158-'C) Prél. conj.'!I158</f>
        <v>25.582311882597573</v>
      </c>
      <c r="I158" s="420">
        <f t="shared" si="10"/>
        <v>0</v>
      </c>
      <c r="J158" s="55">
        <f t="shared" si="11"/>
        <v>0</v>
      </c>
      <c r="K158" s="416">
        <f t="shared" si="12"/>
        <v>25.582311882597573</v>
      </c>
      <c r="L158" s="455"/>
    </row>
    <row r="159" spans="1:12" x14ac:dyDescent="0.25">
      <c r="A159" s="49">
        <f>'A) Base RI'!A161</f>
        <v>5653</v>
      </c>
      <c r="B159" s="292" t="str">
        <f>'A) Base RI'!B161</f>
        <v>Vufflens-le-Château</v>
      </c>
      <c r="C159" s="95">
        <f>'B) D RI'!U161</f>
        <v>68786.034529914527</v>
      </c>
      <c r="D159" s="415">
        <f>'E) Fact soc'!G165/C159</f>
        <v>22.778365377438419</v>
      </c>
      <c r="E159" s="136">
        <f>'H) Péréquation directe'!I170/C159</f>
        <v>17.59577826012783</v>
      </c>
      <c r="F159" s="415">
        <f>+'I) Dépenses thématiques'!U159</f>
        <v>0</v>
      </c>
      <c r="G159" s="136">
        <f t="shared" si="9"/>
        <v>40.374143637566249</v>
      </c>
      <c r="H159" s="416">
        <f>G159-'C) Prél. conj.'!I159</f>
        <v>37.755013006890778</v>
      </c>
      <c r="I159" s="420">
        <f t="shared" si="10"/>
        <v>0</v>
      </c>
      <c r="J159" s="55">
        <f t="shared" si="11"/>
        <v>0</v>
      </c>
      <c r="K159" s="416">
        <f t="shared" si="12"/>
        <v>37.755013006890778</v>
      </c>
      <c r="L159" s="455"/>
    </row>
    <row r="160" spans="1:12" x14ac:dyDescent="0.25">
      <c r="A160" s="49">
        <f>'A) Base RI'!A162</f>
        <v>5654</v>
      </c>
      <c r="B160" s="292" t="str">
        <f>'A) Base RI'!B162</f>
        <v>Vullierens</v>
      </c>
      <c r="C160" s="95">
        <f>'B) D RI'!U162</f>
        <v>19265.899342105262</v>
      </c>
      <c r="D160" s="415">
        <f>'E) Fact soc'!G166/C160</f>
        <v>17.714895290049643</v>
      </c>
      <c r="E160" s="136">
        <f>'H) Péréquation directe'!I171/C160</f>
        <v>7.446148698283948</v>
      </c>
      <c r="F160" s="415">
        <f>+'I) Dépenses thématiques'!U160</f>
        <v>-1.3079640612621835</v>
      </c>
      <c r="G160" s="136">
        <f t="shared" si="9"/>
        <v>23.853079927071409</v>
      </c>
      <c r="H160" s="416">
        <f>G160-'C) Prél. conj.'!I160</f>
        <v>19.648526661137637</v>
      </c>
      <c r="I160" s="420">
        <f t="shared" si="10"/>
        <v>0</v>
      </c>
      <c r="J160" s="55">
        <f t="shared" si="11"/>
        <v>0</v>
      </c>
      <c r="K160" s="416">
        <f t="shared" si="12"/>
        <v>19.648526661137637</v>
      </c>
      <c r="L160" s="455"/>
    </row>
    <row r="161" spans="1:12" x14ac:dyDescent="0.25">
      <c r="A161" s="49">
        <f>'A) Base RI'!A163</f>
        <v>5655</v>
      </c>
      <c r="B161" s="292" t="str">
        <f>'A) Base RI'!B163</f>
        <v>Yens</v>
      </c>
      <c r="C161" s="95">
        <f>'B) D RI'!U163</f>
        <v>90935.122097902116</v>
      </c>
      <c r="D161" s="415">
        <f>'E) Fact soc'!G167/C161</f>
        <v>19.60233314243516</v>
      </c>
      <c r="E161" s="136">
        <f>'H) Péréquation directe'!I172/C161</f>
        <v>15.967898354388298</v>
      </c>
      <c r="F161" s="415">
        <f>+'I) Dépenses thématiques'!U161</f>
        <v>0</v>
      </c>
      <c r="G161" s="136">
        <f t="shared" si="9"/>
        <v>35.57023149682346</v>
      </c>
      <c r="H161" s="416">
        <f>G161-'C) Prél. conj.'!I161</f>
        <v>32.990947556923068</v>
      </c>
      <c r="I161" s="420">
        <f t="shared" si="10"/>
        <v>0</v>
      </c>
      <c r="J161" s="55">
        <f t="shared" si="11"/>
        <v>0</v>
      </c>
      <c r="K161" s="416">
        <f t="shared" si="12"/>
        <v>32.990947556923068</v>
      </c>
      <c r="L161" s="455"/>
    </row>
    <row r="162" spans="1:12" x14ac:dyDescent="0.25">
      <c r="A162" s="49">
        <f>'A) Base RI'!A164</f>
        <v>5661</v>
      </c>
      <c r="B162" s="292" t="str">
        <f>'A) Base RI'!B164</f>
        <v>Boulens</v>
      </c>
      <c r="C162" s="95">
        <f>'B) D RI'!U164</f>
        <v>10167.852447552446</v>
      </c>
      <c r="D162" s="415">
        <f>'E) Fact soc'!G168/C162</f>
        <v>15.196505359828613</v>
      </c>
      <c r="E162" s="136">
        <f>'H) Péréquation directe'!I173/C162</f>
        <v>-0.67990552596510168</v>
      </c>
      <c r="F162" s="415">
        <f>+'I) Dépenses thématiques'!U162</f>
        <v>-1.3438787329791435</v>
      </c>
      <c r="G162" s="136">
        <f t="shared" si="9"/>
        <v>13.172721100884367</v>
      </c>
      <c r="H162" s="416">
        <f>G162-'C) Prél. conj.'!I162</f>
        <v>11.486557765171625</v>
      </c>
      <c r="I162" s="420">
        <f t="shared" si="10"/>
        <v>0</v>
      </c>
      <c r="J162" s="55">
        <f t="shared" si="11"/>
        <v>0</v>
      </c>
      <c r="K162" s="416">
        <f t="shared" si="12"/>
        <v>11.486557765171625</v>
      </c>
      <c r="L162" s="455"/>
    </row>
    <row r="163" spans="1:12" x14ac:dyDescent="0.25">
      <c r="A163" s="49">
        <f>'A) Base RI'!A165</f>
        <v>5663</v>
      </c>
      <c r="B163" s="292" t="str">
        <f>'A) Base RI'!B165</f>
        <v>Bussy-sur-Moudon</v>
      </c>
      <c r="C163" s="95">
        <f>'B) D RI'!U165</f>
        <v>5408.1284999999998</v>
      </c>
      <c r="D163" s="415">
        <f>'E) Fact soc'!G169/C163</f>
        <v>15.470608870585957</v>
      </c>
      <c r="E163" s="136">
        <f>'H) Péréquation directe'!I174/C163</f>
        <v>-10.265651725623488</v>
      </c>
      <c r="F163" s="415">
        <f>+'I) Dépenses thématiques'!U163</f>
        <v>0</v>
      </c>
      <c r="G163" s="136">
        <f t="shared" si="9"/>
        <v>5.204957144962469</v>
      </c>
      <c r="H163" s="416">
        <f>G163-'C) Prél. conj.'!I163</f>
        <v>3.2446902984923822</v>
      </c>
      <c r="I163" s="420">
        <f t="shared" si="10"/>
        <v>0</v>
      </c>
      <c r="J163" s="55">
        <f t="shared" si="11"/>
        <v>0</v>
      </c>
      <c r="K163" s="416">
        <f t="shared" si="12"/>
        <v>3.2446902984923822</v>
      </c>
      <c r="L163" s="455"/>
    </row>
    <row r="164" spans="1:12" x14ac:dyDescent="0.25">
      <c r="A164" s="49">
        <f>'A) Base RI'!A166</f>
        <v>5665</v>
      </c>
      <c r="B164" s="292" t="str">
        <f>'A) Base RI'!B166</f>
        <v>Chavannes-sur-Moudon</v>
      </c>
      <c r="C164" s="95">
        <f>'B) D RI'!U166</f>
        <v>6834.8221917808223</v>
      </c>
      <c r="D164" s="415">
        <f>'E) Fact soc'!G170/C164</f>
        <v>17.383003120088503</v>
      </c>
      <c r="E164" s="136">
        <f>'H) Péréquation directe'!I175/C164</f>
        <v>2.8970728308178959</v>
      </c>
      <c r="F164" s="415">
        <f>+'I) Dépenses thématiques'!U164</f>
        <v>-0.33678759908816652</v>
      </c>
      <c r="G164" s="136">
        <f t="shared" si="9"/>
        <v>19.943288351818236</v>
      </c>
      <c r="H164" s="416">
        <f>G164-'C) Prél. conj.'!I164</f>
        <v>16.070627255845601</v>
      </c>
      <c r="I164" s="420">
        <f t="shared" si="10"/>
        <v>0</v>
      </c>
      <c r="J164" s="55">
        <f t="shared" si="11"/>
        <v>0</v>
      </c>
      <c r="K164" s="416">
        <f t="shared" si="12"/>
        <v>16.070627255845601</v>
      </c>
      <c r="L164" s="455"/>
    </row>
    <row r="165" spans="1:12" x14ac:dyDescent="0.25">
      <c r="A165" s="49">
        <f>'A) Base RI'!A167</f>
        <v>5669</v>
      </c>
      <c r="B165" s="292" t="str">
        <f>'A) Base RI'!B167</f>
        <v>Curtilles</v>
      </c>
      <c r="C165" s="95">
        <f>'B) D RI'!U167</f>
        <v>10286.853972602739</v>
      </c>
      <c r="D165" s="415">
        <f>'E) Fact soc'!G171/C165</f>
        <v>15.081026321086785</v>
      </c>
      <c r="E165" s="136">
        <f>'H) Péréquation directe'!I176/C165</f>
        <v>6.781429660866463</v>
      </c>
      <c r="F165" s="415">
        <f>+'I) Dépenses thématiques'!U165</f>
        <v>0</v>
      </c>
      <c r="G165" s="136">
        <f t="shared" si="9"/>
        <v>21.862455981953246</v>
      </c>
      <c r="H165" s="416">
        <f>G165-'C) Prél. conj.'!I165</f>
        <v>20.291771684982333</v>
      </c>
      <c r="I165" s="420">
        <f t="shared" si="10"/>
        <v>0</v>
      </c>
      <c r="J165" s="55">
        <f t="shared" si="11"/>
        <v>0</v>
      </c>
      <c r="K165" s="416">
        <f t="shared" si="12"/>
        <v>20.291771684982333</v>
      </c>
      <c r="L165" s="455"/>
    </row>
    <row r="166" spans="1:12" x14ac:dyDescent="0.25">
      <c r="A166" s="49">
        <f>'A) Base RI'!A168</f>
        <v>5671</v>
      </c>
      <c r="B166" s="292" t="str">
        <f>'A) Base RI'!B168</f>
        <v>Dompierre</v>
      </c>
      <c r="C166" s="95">
        <f>'B) D RI'!U168</f>
        <v>6034.0657692307695</v>
      </c>
      <c r="D166" s="415">
        <f>'E) Fact soc'!G172/C166</f>
        <v>18.341301134413424</v>
      </c>
      <c r="E166" s="136">
        <f>'H) Péréquation directe'!I177/C166</f>
        <v>-9.2011196189070965</v>
      </c>
      <c r="F166" s="415">
        <f>+'I) Dépenses thématiques'!U166</f>
        <v>-7.7762833848920963</v>
      </c>
      <c r="G166" s="136">
        <f t="shared" si="9"/>
        <v>1.3638981306142313</v>
      </c>
      <c r="H166" s="416">
        <f>G166-'C) Prél. conj.'!I166</f>
        <v>-3.4670609796833221</v>
      </c>
      <c r="I166" s="420">
        <f t="shared" si="10"/>
        <v>0</v>
      </c>
      <c r="J166" s="55">
        <f t="shared" si="11"/>
        <v>0</v>
      </c>
      <c r="K166" s="416">
        <f t="shared" si="12"/>
        <v>-3.4670609796833221</v>
      </c>
      <c r="L166" s="455"/>
    </row>
    <row r="167" spans="1:12" x14ac:dyDescent="0.25">
      <c r="A167" s="49">
        <f>'A) Base RI'!A169</f>
        <v>5673</v>
      </c>
      <c r="B167" s="292" t="str">
        <f>'A) Base RI'!B169</f>
        <v>Hermenches</v>
      </c>
      <c r="C167" s="95">
        <f>'B) D RI'!U169</f>
        <v>10638.728435374151</v>
      </c>
      <c r="D167" s="415">
        <f>'E) Fact soc'!G173/C167</f>
        <v>14.834590977887059</v>
      </c>
      <c r="E167" s="136">
        <f>'H) Péréquation directe'!I178/C167</f>
        <v>-1.3210285362402854</v>
      </c>
      <c r="F167" s="415">
        <f>+'I) Dépenses thématiques'!U167</f>
        <v>-5.1194636080875808</v>
      </c>
      <c r="G167" s="136">
        <f t="shared" si="9"/>
        <v>8.3940988335591911</v>
      </c>
      <c r="H167" s="416">
        <f>G167-'C) Prél. conj.'!I167</f>
        <v>7.0698498797880038</v>
      </c>
      <c r="I167" s="420">
        <f t="shared" si="10"/>
        <v>0</v>
      </c>
      <c r="J167" s="55">
        <f t="shared" si="11"/>
        <v>0</v>
      </c>
      <c r="K167" s="416">
        <f t="shared" si="12"/>
        <v>7.0698498797880038</v>
      </c>
      <c r="L167" s="455"/>
    </row>
    <row r="168" spans="1:12" x14ac:dyDescent="0.25">
      <c r="A168" s="49">
        <f>'A) Base RI'!A170</f>
        <v>5674</v>
      </c>
      <c r="B168" s="292" t="str">
        <f>'A) Base RI'!B170</f>
        <v>Lovatens</v>
      </c>
      <c r="C168" s="95">
        <f>'B) D RI'!U170</f>
        <v>3430.742038095239</v>
      </c>
      <c r="D168" s="415">
        <f>'E) Fact soc'!G174/C168</f>
        <v>24.517931513696624</v>
      </c>
      <c r="E168" s="136">
        <f>'H) Péréquation directe'!I179/C168</f>
        <v>-8.3948724477444774</v>
      </c>
      <c r="F168" s="415">
        <f>+'I) Dépenses thématiques'!U168</f>
        <v>-8.6808618779054374</v>
      </c>
      <c r="G168" s="136">
        <f t="shared" si="9"/>
        <v>7.4421971880467108</v>
      </c>
      <c r="H168" s="416">
        <f>G168-'C) Prél. conj.'!I168</f>
        <v>-3.5653923015340396</v>
      </c>
      <c r="I168" s="420">
        <f t="shared" si="10"/>
        <v>0</v>
      </c>
      <c r="J168" s="55">
        <f t="shared" si="11"/>
        <v>0</v>
      </c>
      <c r="K168" s="416">
        <f t="shared" si="12"/>
        <v>-3.5653923015340396</v>
      </c>
      <c r="L168" s="455"/>
    </row>
    <row r="169" spans="1:12" x14ac:dyDescent="0.25">
      <c r="A169" s="49">
        <f>'A) Base RI'!A171</f>
        <v>5675</v>
      </c>
      <c r="B169" s="292" t="str">
        <f>'A) Base RI'!B171</f>
        <v>Lucens</v>
      </c>
      <c r="C169" s="95">
        <f>'B) D RI'!U171</f>
        <v>97154.219717171698</v>
      </c>
      <c r="D169" s="415">
        <f>'E) Fact soc'!G175/C169</f>
        <v>16.184743926126885</v>
      </c>
      <c r="E169" s="136">
        <f>'H) Péréquation directe'!I180/C169</f>
        <v>-16.715294542165068</v>
      </c>
      <c r="F169" s="415">
        <f>+'I) Dépenses thématiques'!U169</f>
        <v>-5.9772461081721842</v>
      </c>
      <c r="G169" s="136">
        <f t="shared" si="9"/>
        <v>-6.507796724210368</v>
      </c>
      <c r="H169" s="416">
        <f>G169-'C) Prél. conj.'!I169</f>
        <v>-9.1821986262213819</v>
      </c>
      <c r="I169" s="420">
        <f t="shared" si="10"/>
        <v>0</v>
      </c>
      <c r="J169" s="55">
        <f t="shared" si="11"/>
        <v>0</v>
      </c>
      <c r="K169" s="416">
        <f t="shared" si="12"/>
        <v>-9.1821986262213819</v>
      </c>
      <c r="L169" s="455"/>
    </row>
    <row r="170" spans="1:12" x14ac:dyDescent="0.25">
      <c r="A170" s="49">
        <f>'A) Base RI'!A172</f>
        <v>5678</v>
      </c>
      <c r="B170" s="292" t="str">
        <f>'A) Base RI'!B172</f>
        <v>Moudon</v>
      </c>
      <c r="C170" s="95">
        <f>'B) D RI'!U172</f>
        <v>124965.41862068966</v>
      </c>
      <c r="D170" s="415">
        <f>'E) Fact soc'!G176/C170</f>
        <v>18.778837438822517</v>
      </c>
      <c r="E170" s="136">
        <f>'H) Péréquation directe'!I181/C170</f>
        <v>-29.17439017144472</v>
      </c>
      <c r="F170" s="415">
        <f>+'I) Dépenses thématiques'!U170</f>
        <v>-9.7879437509710616</v>
      </c>
      <c r="G170" s="136">
        <f t="shared" si="9"/>
        <v>-20.183496483593267</v>
      </c>
      <c r="H170" s="416">
        <f>G170-'C) Prél. conj.'!I170</f>
        <v>-25.451991898299912</v>
      </c>
      <c r="I170" s="420">
        <f t="shared" si="10"/>
        <v>0</v>
      </c>
      <c r="J170" s="55">
        <f t="shared" si="11"/>
        <v>0</v>
      </c>
      <c r="K170" s="416">
        <f t="shared" si="12"/>
        <v>-25.451991898299912</v>
      </c>
      <c r="L170" s="455"/>
    </row>
    <row r="171" spans="1:12" x14ac:dyDescent="0.25">
      <c r="A171" s="49">
        <f>'A) Base RI'!A173</f>
        <v>5680</v>
      </c>
      <c r="B171" s="292" t="str">
        <f>'A) Base RI'!B173</f>
        <v>Ogens</v>
      </c>
      <c r="C171" s="95">
        <f>'B) D RI'!U173</f>
        <v>8675.0652136752142</v>
      </c>
      <c r="D171" s="415">
        <f>'E) Fact soc'!G177/C171</f>
        <v>19.441582739043177</v>
      </c>
      <c r="E171" s="136">
        <f>'H) Péréquation directe'!I182/C171</f>
        <v>-1.5250994400509306</v>
      </c>
      <c r="F171" s="415">
        <f>+'I) Dépenses thématiques'!U171</f>
        <v>-0.71108411727203635</v>
      </c>
      <c r="G171" s="136">
        <f t="shared" si="9"/>
        <v>17.20539918172021</v>
      </c>
      <c r="H171" s="416">
        <f>G171-'C) Prél. conj.'!I171</f>
        <v>11.274158466792903</v>
      </c>
      <c r="I171" s="420">
        <f t="shared" si="10"/>
        <v>0</v>
      </c>
      <c r="J171" s="55">
        <f t="shared" si="11"/>
        <v>0</v>
      </c>
      <c r="K171" s="416">
        <f t="shared" si="12"/>
        <v>11.274158466792903</v>
      </c>
      <c r="L171" s="455"/>
    </row>
    <row r="172" spans="1:12" x14ac:dyDescent="0.25">
      <c r="A172" s="49">
        <f>'A) Base RI'!A174</f>
        <v>5683</v>
      </c>
      <c r="B172" s="292" t="str">
        <f>'A) Base RI'!B174</f>
        <v>Prévonloup</v>
      </c>
      <c r="C172" s="95">
        <f>'B) D RI'!U174</f>
        <v>5006.0282758620697</v>
      </c>
      <c r="D172" s="415">
        <f>'E) Fact soc'!G178/C172</f>
        <v>13.946526136484668</v>
      </c>
      <c r="E172" s="136">
        <f>'H) Péréquation directe'!I183/C172</f>
        <v>-5.740289580494518</v>
      </c>
      <c r="F172" s="415">
        <f>+'I) Dépenses thématiques'!U172</f>
        <v>0</v>
      </c>
      <c r="G172" s="136">
        <f t="shared" si="9"/>
        <v>8.2062365559901487</v>
      </c>
      <c r="H172" s="416">
        <f>G172-'C) Prél. conj.'!I172</f>
        <v>7.7700524436213509</v>
      </c>
      <c r="I172" s="420">
        <f t="shared" si="10"/>
        <v>0</v>
      </c>
      <c r="J172" s="55">
        <f t="shared" si="11"/>
        <v>0</v>
      </c>
      <c r="K172" s="416">
        <f t="shared" si="12"/>
        <v>7.7700524436213509</v>
      </c>
      <c r="L172" s="455"/>
    </row>
    <row r="173" spans="1:12" x14ac:dyDescent="0.25">
      <c r="A173" s="49">
        <f>'A) Base RI'!A175</f>
        <v>5684</v>
      </c>
      <c r="B173" s="292" t="str">
        <f>'A) Base RI'!B175</f>
        <v>Rossenges</v>
      </c>
      <c r="C173" s="95">
        <f>'B) D RI'!U175</f>
        <v>4335.3234000000011</v>
      </c>
      <c r="D173" s="415">
        <f>'E) Fact soc'!G179/C173</f>
        <v>14.510605512226467</v>
      </c>
      <c r="E173" s="136">
        <f>'H) Péréquation directe'!I184/C173</f>
        <v>16.761571550590936</v>
      </c>
      <c r="F173" s="415">
        <f>+'I) Dépenses thématiques'!U173</f>
        <v>0</v>
      </c>
      <c r="G173" s="136">
        <f t="shared" si="9"/>
        <v>31.272177062817406</v>
      </c>
      <c r="H173" s="416">
        <f>G173-'C) Prél. conj.'!I173</f>
        <v>31.272177062817406</v>
      </c>
      <c r="I173" s="420">
        <f t="shared" si="10"/>
        <v>0</v>
      </c>
      <c r="J173" s="55">
        <f t="shared" si="11"/>
        <v>0</v>
      </c>
      <c r="K173" s="416">
        <f t="shared" si="12"/>
        <v>31.272177062817406</v>
      </c>
      <c r="L173" s="455"/>
    </row>
    <row r="174" spans="1:12" x14ac:dyDescent="0.25">
      <c r="A174" s="49">
        <f>'A) Base RI'!A176</f>
        <v>5688</v>
      </c>
      <c r="B174" s="292" t="str">
        <f>'A) Base RI'!B176</f>
        <v>Syens</v>
      </c>
      <c r="C174" s="95">
        <f>'B) D RI'!U176</f>
        <v>5094.0764550264557</v>
      </c>
      <c r="D174" s="415">
        <f>'E) Fact soc'!G180/C174</f>
        <v>13.514331952453114</v>
      </c>
      <c r="E174" s="136">
        <f>'H) Péréquation directe'!I185/C174</f>
        <v>4.4720371071813396</v>
      </c>
      <c r="F174" s="415">
        <f>+'I) Dépenses thématiques'!U174</f>
        <v>-1.9297985329884908</v>
      </c>
      <c r="G174" s="136">
        <f t="shared" si="9"/>
        <v>16.056570526645963</v>
      </c>
      <c r="H174" s="416">
        <f>G174-'C) Prél. conj.'!I174</f>
        <v>16.052580598308719</v>
      </c>
      <c r="I174" s="420">
        <f t="shared" si="10"/>
        <v>0</v>
      </c>
      <c r="J174" s="55">
        <f t="shared" si="11"/>
        <v>0</v>
      </c>
      <c r="K174" s="416">
        <f t="shared" si="12"/>
        <v>16.052580598308719</v>
      </c>
      <c r="L174" s="455"/>
    </row>
    <row r="175" spans="1:12" x14ac:dyDescent="0.25">
      <c r="A175" s="49">
        <f>'A) Base RI'!A177</f>
        <v>5690</v>
      </c>
      <c r="B175" s="292" t="str">
        <f>'A) Base RI'!B177</f>
        <v>Villars-le-Comte</v>
      </c>
      <c r="C175" s="95">
        <f>'B) D RI'!U177</f>
        <v>3483.7788571428573</v>
      </c>
      <c r="D175" s="415">
        <f>'E) Fact soc'!G181/C175</f>
        <v>18.613191753957668</v>
      </c>
      <c r="E175" s="136">
        <f>'H) Péréquation directe'!I186/C175</f>
        <v>1.933593395513497</v>
      </c>
      <c r="F175" s="415">
        <f>+'I) Dépenses thématiques'!U175</f>
        <v>-2.7872253823557438</v>
      </c>
      <c r="G175" s="136">
        <f t="shared" si="9"/>
        <v>17.759559767115423</v>
      </c>
      <c r="H175" s="416">
        <f>G175-'C) Prél. conj.'!I175</f>
        <v>12.656710037273626</v>
      </c>
      <c r="I175" s="420">
        <f t="shared" si="10"/>
        <v>0</v>
      </c>
      <c r="J175" s="55">
        <f t="shared" si="11"/>
        <v>0</v>
      </c>
      <c r="K175" s="416">
        <f t="shared" si="12"/>
        <v>12.656710037273626</v>
      </c>
      <c r="L175" s="455"/>
    </row>
    <row r="176" spans="1:12" x14ac:dyDescent="0.25">
      <c r="A176" s="49">
        <f>'A) Base RI'!A178</f>
        <v>5692</v>
      </c>
      <c r="B176" s="292" t="str">
        <f>'A) Base RI'!B178</f>
        <v>Vucherens</v>
      </c>
      <c r="C176" s="95">
        <f>'B) D RI'!U178</f>
        <v>18084.556363636369</v>
      </c>
      <c r="D176" s="415">
        <f>'E) Fact soc'!G182/C176</f>
        <v>16.505175787851599</v>
      </c>
      <c r="E176" s="136">
        <f>'H) Péréquation directe'!I187/C176</f>
        <v>-0.37158162379121207</v>
      </c>
      <c r="F176" s="415">
        <f>+'I) Dépenses thématiques'!U176</f>
        <v>-4.4129593346648521</v>
      </c>
      <c r="G176" s="136">
        <f t="shared" si="9"/>
        <v>11.720634829395536</v>
      </c>
      <c r="H176" s="416">
        <f>G176-'C) Prél. conj.'!I176</f>
        <v>8.7258010656598088</v>
      </c>
      <c r="I176" s="420">
        <f t="shared" si="10"/>
        <v>0</v>
      </c>
      <c r="J176" s="55">
        <f t="shared" si="11"/>
        <v>0</v>
      </c>
      <c r="K176" s="416">
        <f t="shared" si="12"/>
        <v>8.7258010656598088</v>
      </c>
      <c r="L176" s="455"/>
    </row>
    <row r="177" spans="1:12" x14ac:dyDescent="0.25">
      <c r="A177" s="49">
        <f>'A) Base RI'!A179</f>
        <v>5693</v>
      </c>
      <c r="B177" s="292" t="str">
        <f>'A) Base RI'!B179</f>
        <v>Montanaire</v>
      </c>
      <c r="C177" s="95">
        <f>'B) D RI'!U179</f>
        <v>71120.535138888881</v>
      </c>
      <c r="D177" s="415">
        <f>'E) Fact soc'!G183/C177</f>
        <v>17.13836471117957</v>
      </c>
      <c r="E177" s="136">
        <f>'H) Péréquation directe'!I188/C177</f>
        <v>-9.6689479888680463</v>
      </c>
      <c r="F177" s="415">
        <f>+'I) Dépenses thématiques'!U177</f>
        <v>-6.0867460708376093</v>
      </c>
      <c r="G177" s="136">
        <f t="shared" si="9"/>
        <v>1.382670651473914</v>
      </c>
      <c r="H177" s="416">
        <f>G177-'C) Prél. conj.'!I177</f>
        <v>-2.2453520355897871</v>
      </c>
      <c r="I177" s="420">
        <f t="shared" si="10"/>
        <v>0</v>
      </c>
      <c r="J177" s="55">
        <f t="shared" si="11"/>
        <v>0</v>
      </c>
      <c r="K177" s="416">
        <f t="shared" si="12"/>
        <v>-2.2453520355897871</v>
      </c>
      <c r="L177" s="455"/>
    </row>
    <row r="178" spans="1:12" x14ac:dyDescent="0.25">
      <c r="A178" s="49">
        <f>'A) Base RI'!A180</f>
        <v>5701</v>
      </c>
      <c r="B178" s="292" t="str">
        <f>'A) Base RI'!B180</f>
        <v>Arnex-sur-Nyon</v>
      </c>
      <c r="C178" s="95">
        <f>'B) D RI'!U180</f>
        <v>12579.391714285715</v>
      </c>
      <c r="D178" s="415">
        <f>'E) Fact soc'!G184/C178</f>
        <v>20.803690035975613</v>
      </c>
      <c r="E178" s="136">
        <f>'H) Péréquation directe'!I189/C178</f>
        <v>16.79838451580849</v>
      </c>
      <c r="F178" s="415">
        <f>+'I) Dépenses thématiques'!U178</f>
        <v>0</v>
      </c>
      <c r="G178" s="136">
        <f t="shared" si="9"/>
        <v>37.602074551784099</v>
      </c>
      <c r="H178" s="416">
        <f>G178-'C) Prél. conj.'!I178</f>
        <v>31.44252194702608</v>
      </c>
      <c r="I178" s="420">
        <f t="shared" si="10"/>
        <v>0</v>
      </c>
      <c r="J178" s="55">
        <f t="shared" si="11"/>
        <v>0</v>
      </c>
      <c r="K178" s="416">
        <f t="shared" si="12"/>
        <v>31.44252194702608</v>
      </c>
      <c r="L178" s="455"/>
    </row>
    <row r="179" spans="1:12" x14ac:dyDescent="0.25">
      <c r="A179" s="49">
        <f>'A) Base RI'!A181</f>
        <v>5702</v>
      </c>
      <c r="B179" s="292" t="str">
        <f>'A) Base RI'!B181</f>
        <v>Arzier-Le Muids</v>
      </c>
      <c r="C179" s="95">
        <f>'B) D RI'!U181</f>
        <v>167751.11713541666</v>
      </c>
      <c r="D179" s="415">
        <f>'E) Fact soc'!G185/C179</f>
        <v>18.549083092349797</v>
      </c>
      <c r="E179" s="136">
        <f>'H) Péréquation directe'!I190/C179</f>
        <v>14.467752602121243</v>
      </c>
      <c r="F179" s="415">
        <f>+'I) Dépenses thématiques'!U179</f>
        <v>-2.6189865060259661</v>
      </c>
      <c r="G179" s="136">
        <f t="shared" si="9"/>
        <v>30.397849188445075</v>
      </c>
      <c r="H179" s="416">
        <f>G179-'C) Prél. conj.'!I179</f>
        <v>27.456078287440373</v>
      </c>
      <c r="I179" s="420">
        <f t="shared" si="10"/>
        <v>0</v>
      </c>
      <c r="J179" s="55">
        <f t="shared" si="11"/>
        <v>0</v>
      </c>
      <c r="K179" s="416">
        <f t="shared" si="12"/>
        <v>27.456078287440373</v>
      </c>
      <c r="L179" s="455"/>
    </row>
    <row r="180" spans="1:12" x14ac:dyDescent="0.25">
      <c r="A180" s="49">
        <f>'A) Base RI'!A182</f>
        <v>5703</v>
      </c>
      <c r="B180" s="292" t="str">
        <f>'A) Base RI'!B182</f>
        <v>Bassins</v>
      </c>
      <c r="C180" s="95">
        <f>'B) D RI'!U182</f>
        <v>66904.36396059113</v>
      </c>
      <c r="D180" s="415">
        <f>'E) Fact soc'!G186/C180</f>
        <v>17.444000673871827</v>
      </c>
      <c r="E180" s="136">
        <f>'H) Péréquation directe'!I191/C180</f>
        <v>13.53920693538017</v>
      </c>
      <c r="F180" s="415">
        <f>+'I) Dépenses thématiques'!U180</f>
        <v>-4.136687962426171</v>
      </c>
      <c r="G180" s="136">
        <f t="shared" si="9"/>
        <v>26.846519646825826</v>
      </c>
      <c r="H180" s="416">
        <f>G180-'C) Prél. conj.'!I180</f>
        <v>22.91286099706987</v>
      </c>
      <c r="I180" s="420">
        <f t="shared" si="10"/>
        <v>0</v>
      </c>
      <c r="J180" s="55">
        <f t="shared" si="11"/>
        <v>0</v>
      </c>
      <c r="K180" s="416">
        <f t="shared" si="12"/>
        <v>22.91286099706987</v>
      </c>
      <c r="L180" s="455"/>
    </row>
    <row r="181" spans="1:12" x14ac:dyDescent="0.25">
      <c r="A181" s="49">
        <f>'A) Base RI'!A183</f>
        <v>5704</v>
      </c>
      <c r="B181" s="292" t="str">
        <f>'A) Base RI'!B183</f>
        <v>Begnins</v>
      </c>
      <c r="C181" s="95">
        <f>'B) D RI'!U183</f>
        <v>141538.79477333333</v>
      </c>
      <c r="D181" s="415">
        <f>'E) Fact soc'!G187/C181</f>
        <v>20.761494089711395</v>
      </c>
      <c r="E181" s="136">
        <f>'H) Péréquation directe'!I192/C181</f>
        <v>16.011693101631906</v>
      </c>
      <c r="F181" s="415">
        <f>+'I) Dépenses thématiques'!U181</f>
        <v>0</v>
      </c>
      <c r="G181" s="136">
        <f t="shared" si="9"/>
        <v>36.773187191343297</v>
      </c>
      <c r="H181" s="416">
        <f>G181-'C) Prél. conj.'!I181</f>
        <v>35.247663497674822</v>
      </c>
      <c r="I181" s="420">
        <f t="shared" si="10"/>
        <v>0</v>
      </c>
      <c r="J181" s="55">
        <f t="shared" si="11"/>
        <v>0</v>
      </c>
      <c r="K181" s="416">
        <f t="shared" si="12"/>
        <v>35.247663497674822</v>
      </c>
      <c r="L181" s="455"/>
    </row>
    <row r="182" spans="1:12" x14ac:dyDescent="0.25">
      <c r="A182" s="49">
        <f>'A) Base RI'!A184</f>
        <v>5705</v>
      </c>
      <c r="B182" s="292" t="str">
        <f>'A) Base RI'!B184</f>
        <v>Bogis-Bossey</v>
      </c>
      <c r="C182" s="95">
        <f>'B) D RI'!U184</f>
        <v>56148.948053691274</v>
      </c>
      <c r="D182" s="415">
        <f>'E) Fact soc'!G188/C182</f>
        <v>22.461236737982581</v>
      </c>
      <c r="E182" s="136">
        <f>'H) Péréquation directe'!I193/C182</f>
        <v>17.320109426736572</v>
      </c>
      <c r="F182" s="415">
        <f>+'I) Dépenses thématiques'!U182</f>
        <v>0</v>
      </c>
      <c r="G182" s="136">
        <f t="shared" si="9"/>
        <v>39.781346164719153</v>
      </c>
      <c r="H182" s="416">
        <f>G182-'C) Prél. conj.'!I182</f>
        <v>36.103044840133208</v>
      </c>
      <c r="I182" s="420">
        <f t="shared" si="10"/>
        <v>0</v>
      </c>
      <c r="J182" s="55">
        <f t="shared" si="11"/>
        <v>0</v>
      </c>
      <c r="K182" s="416">
        <f t="shared" si="12"/>
        <v>36.103044840133208</v>
      </c>
      <c r="L182" s="455"/>
    </row>
    <row r="183" spans="1:12" x14ac:dyDescent="0.25">
      <c r="A183" s="49">
        <f>'A) Base RI'!A185</f>
        <v>5706</v>
      </c>
      <c r="B183" s="292" t="str">
        <f>'A) Base RI'!B185</f>
        <v>Borex</v>
      </c>
      <c r="C183" s="95">
        <f>'B) D RI'!U185</f>
        <v>84057.706842105254</v>
      </c>
      <c r="D183" s="415">
        <f>'E) Fact soc'!G189/C183</f>
        <v>20.107119208780361</v>
      </c>
      <c r="E183" s="136">
        <f>'H) Péréquation directe'!I194/C183</f>
        <v>17.040482019743077</v>
      </c>
      <c r="F183" s="415">
        <f>+'I) Dépenses thématiques'!U183</f>
        <v>0</v>
      </c>
      <c r="G183" s="136">
        <f t="shared" si="9"/>
        <v>37.147601228523442</v>
      </c>
      <c r="H183" s="416">
        <f>G183-'C) Prél. conj.'!I183</f>
        <v>35.588517892522248</v>
      </c>
      <c r="I183" s="420">
        <f t="shared" si="10"/>
        <v>0</v>
      </c>
      <c r="J183" s="55">
        <f t="shared" si="11"/>
        <v>0</v>
      </c>
      <c r="K183" s="416">
        <f t="shared" si="12"/>
        <v>35.588517892522248</v>
      </c>
      <c r="L183" s="455"/>
    </row>
    <row r="184" spans="1:12" x14ac:dyDescent="0.25">
      <c r="A184" s="49">
        <f>'A) Base RI'!A186</f>
        <v>5707</v>
      </c>
      <c r="B184" s="292" t="str">
        <f>'A) Base RI'!B186</f>
        <v>Chavannes-de-Bogis</v>
      </c>
      <c r="C184" s="95">
        <f>'B) D RI'!U186</f>
        <v>81835.320459770097</v>
      </c>
      <c r="D184" s="415">
        <f>'E) Fact soc'!G190/C184</f>
        <v>21.532718126634052</v>
      </c>
      <c r="E184" s="136">
        <f>'H) Péréquation directe'!I195/C184</f>
        <v>16.25310968758188</v>
      </c>
      <c r="F184" s="415">
        <f>+'I) Dépenses thématiques'!U184</f>
        <v>0</v>
      </c>
      <c r="G184" s="136">
        <f t="shared" si="9"/>
        <v>37.785827814215935</v>
      </c>
      <c r="H184" s="416">
        <f>G184-'C) Prél. conj.'!I184</f>
        <v>32.644576180615601</v>
      </c>
      <c r="I184" s="420">
        <f t="shared" si="10"/>
        <v>0</v>
      </c>
      <c r="J184" s="55">
        <f t="shared" si="11"/>
        <v>0</v>
      </c>
      <c r="K184" s="416">
        <f t="shared" si="12"/>
        <v>32.644576180615601</v>
      </c>
      <c r="L184" s="455"/>
    </row>
    <row r="185" spans="1:12" x14ac:dyDescent="0.25">
      <c r="A185" s="49">
        <f>'A) Base RI'!A187</f>
        <v>5708</v>
      </c>
      <c r="B185" s="292" t="str">
        <f>'A) Base RI'!B187</f>
        <v>Chavannes-des-Bois</v>
      </c>
      <c r="C185" s="95">
        <f>'B) D RI'!U187</f>
        <v>67256.112794117653</v>
      </c>
      <c r="D185" s="415">
        <f>'E) Fact soc'!G191/C185</f>
        <v>20.414945113143638</v>
      </c>
      <c r="E185" s="136">
        <f>'H) Péréquation directe'!I196/C185</f>
        <v>17.253327325498681</v>
      </c>
      <c r="F185" s="415">
        <f>+'I) Dépenses thématiques'!U185</f>
        <v>0</v>
      </c>
      <c r="G185" s="136">
        <f t="shared" si="9"/>
        <v>37.668272438642319</v>
      </c>
      <c r="H185" s="416">
        <f>G185-'C) Prél. conj.'!I185</f>
        <v>35.376386488113795</v>
      </c>
      <c r="I185" s="420">
        <f t="shared" si="10"/>
        <v>0</v>
      </c>
      <c r="J185" s="55">
        <f t="shared" si="11"/>
        <v>0</v>
      </c>
      <c r="K185" s="416">
        <f t="shared" si="12"/>
        <v>35.376386488113795</v>
      </c>
      <c r="L185" s="455"/>
    </row>
    <row r="186" spans="1:12" x14ac:dyDescent="0.25">
      <c r="A186" s="49">
        <f>'A) Base RI'!A188</f>
        <v>5709</v>
      </c>
      <c r="B186" s="292" t="str">
        <f>'A) Base RI'!B188</f>
        <v>Chéserex</v>
      </c>
      <c r="C186" s="95">
        <f>'B) D RI'!U188</f>
        <v>97368.06631578946</v>
      </c>
      <c r="D186" s="415">
        <f>'E) Fact soc'!G192/C186</f>
        <v>22.205610511486249</v>
      </c>
      <c r="E186" s="136">
        <f>'H) Péréquation directe'!I197/C186</f>
        <v>17.006299405962867</v>
      </c>
      <c r="F186" s="415">
        <f>+'I) Dépenses thématiques'!U186</f>
        <v>0</v>
      </c>
      <c r="G186" s="136">
        <f t="shared" si="9"/>
        <v>39.21190991744912</v>
      </c>
      <c r="H186" s="416">
        <f>G186-'C) Prél. conj.'!I186</f>
        <v>36.776410436223983</v>
      </c>
      <c r="I186" s="420">
        <f t="shared" si="10"/>
        <v>0</v>
      </c>
      <c r="J186" s="55">
        <f t="shared" si="11"/>
        <v>0</v>
      </c>
      <c r="K186" s="416">
        <f t="shared" si="12"/>
        <v>36.776410436223983</v>
      </c>
      <c r="L186" s="455"/>
    </row>
    <row r="187" spans="1:12" x14ac:dyDescent="0.25">
      <c r="A187" s="49">
        <f>'A) Base RI'!A189</f>
        <v>5710</v>
      </c>
      <c r="B187" s="292" t="str">
        <f>'A) Base RI'!B189</f>
        <v>Coinsins</v>
      </c>
      <c r="C187" s="95">
        <f>'B) D RI'!U189</f>
        <v>41108.965294117646</v>
      </c>
      <c r="D187" s="415">
        <f>'E) Fact soc'!G193/C187</f>
        <v>20.687084972668345</v>
      </c>
      <c r="E187" s="136">
        <f>'H) Péréquation directe'!I198/C187</f>
        <v>17.628784069652191</v>
      </c>
      <c r="F187" s="415">
        <f>+'I) Dépenses thématiques'!U187</f>
        <v>0</v>
      </c>
      <c r="G187" s="136">
        <f t="shared" si="9"/>
        <v>38.315869042320536</v>
      </c>
      <c r="H187" s="416">
        <f>G187-'C) Prél. conj.'!I187</f>
        <v>37.242943472814382</v>
      </c>
      <c r="I187" s="420">
        <f t="shared" si="10"/>
        <v>0</v>
      </c>
      <c r="J187" s="55">
        <f t="shared" si="11"/>
        <v>0</v>
      </c>
      <c r="K187" s="416">
        <f t="shared" si="12"/>
        <v>37.242943472814382</v>
      </c>
      <c r="L187" s="455"/>
    </row>
    <row r="188" spans="1:12" x14ac:dyDescent="0.25">
      <c r="A188" s="49">
        <f>'A) Base RI'!A190</f>
        <v>5711</v>
      </c>
      <c r="B188" s="292" t="str">
        <f>'A) Base RI'!B190</f>
        <v>Commugny</v>
      </c>
      <c r="C188" s="95">
        <f>'B) D RI'!U190</f>
        <v>252772.67295911297</v>
      </c>
      <c r="D188" s="415">
        <f>'E) Fact soc'!G194/C188</f>
        <v>23.352600791218578</v>
      </c>
      <c r="E188" s="136">
        <f>'H) Péréquation directe'!I199/C188</f>
        <v>15.930629870236766</v>
      </c>
      <c r="F188" s="415">
        <f>+'I) Dépenses thématiques'!U188</f>
        <v>0</v>
      </c>
      <c r="G188" s="136">
        <f t="shared" si="9"/>
        <v>39.283230661455342</v>
      </c>
      <c r="H188" s="416">
        <f>G188-'C) Prél. conj.'!I188</f>
        <v>36.743304301995394</v>
      </c>
      <c r="I188" s="420">
        <f t="shared" si="10"/>
        <v>0</v>
      </c>
      <c r="J188" s="55">
        <f t="shared" si="11"/>
        <v>0</v>
      </c>
      <c r="K188" s="416">
        <f t="shared" si="12"/>
        <v>36.743304301995394</v>
      </c>
      <c r="L188" s="455"/>
    </row>
    <row r="189" spans="1:12" x14ac:dyDescent="0.25">
      <c r="A189" s="49">
        <f>'A) Base RI'!A191</f>
        <v>5712</v>
      </c>
      <c r="B189" s="292" t="str">
        <f>'A) Base RI'!B191</f>
        <v>Coppet</v>
      </c>
      <c r="C189" s="95">
        <f>'B) D RI'!U191</f>
        <v>382004.08345911955</v>
      </c>
      <c r="D189" s="415">
        <f>'E) Fact soc'!G195/C189</f>
        <v>27.685039046834849</v>
      </c>
      <c r="E189" s="136">
        <f>'H) Péréquation directe'!I200/C189</f>
        <v>16.701069334748158</v>
      </c>
      <c r="F189" s="415">
        <f>+'I) Dépenses thématiques'!U189</f>
        <v>0</v>
      </c>
      <c r="G189" s="136">
        <f t="shared" si="9"/>
        <v>44.386108381583007</v>
      </c>
      <c r="H189" s="416">
        <f>G189-'C) Prél. conj.'!I189</f>
        <v>42.172369990772069</v>
      </c>
      <c r="I189" s="420">
        <f t="shared" si="10"/>
        <v>0</v>
      </c>
      <c r="J189" s="55">
        <f t="shared" si="11"/>
        <v>0</v>
      </c>
      <c r="K189" s="416">
        <f t="shared" si="12"/>
        <v>42.172369990772069</v>
      </c>
      <c r="L189" s="455"/>
    </row>
    <row r="190" spans="1:12" x14ac:dyDescent="0.25">
      <c r="A190" s="49">
        <f>'A) Base RI'!A192</f>
        <v>5713</v>
      </c>
      <c r="B190" s="292" t="str">
        <f>'A) Base RI'!B192</f>
        <v>Crans-près-Céligny</v>
      </c>
      <c r="C190" s="95">
        <f>'B) D RI'!U192</f>
        <v>308668.8301785714</v>
      </c>
      <c r="D190" s="415">
        <f>'E) Fact soc'!G196/C190</f>
        <v>31.004831942654175</v>
      </c>
      <c r="E190" s="136">
        <f>'H) Péréquation directe'!I201/C190</f>
        <v>17.255139032375595</v>
      </c>
      <c r="F190" s="415">
        <f>+'I) Dépenses thématiques'!U190</f>
        <v>0</v>
      </c>
      <c r="G190" s="136">
        <f t="shared" si="9"/>
        <v>48.259970975029773</v>
      </c>
      <c r="H190" s="416">
        <f>G190-'C) Prél. conj.'!I190</f>
        <v>45.064340306946598</v>
      </c>
      <c r="I190" s="420">
        <f t="shared" si="10"/>
        <v>0</v>
      </c>
      <c r="J190" s="55">
        <f t="shared" si="11"/>
        <v>0</v>
      </c>
      <c r="K190" s="416">
        <f t="shared" si="12"/>
        <v>45.064340306946598</v>
      </c>
      <c r="L190" s="455"/>
    </row>
    <row r="191" spans="1:12" x14ac:dyDescent="0.25">
      <c r="A191" s="49">
        <f>'A) Base RI'!A193</f>
        <v>5714</v>
      </c>
      <c r="B191" s="292" t="str">
        <f>'A) Base RI'!B193</f>
        <v>Crassier</v>
      </c>
      <c r="C191" s="95">
        <f>'B) D RI'!U193</f>
        <v>53429.691617647055</v>
      </c>
      <c r="D191" s="415">
        <f>'E) Fact soc'!G197/C191</f>
        <v>16.568265531689264</v>
      </c>
      <c r="E191" s="136">
        <f>'H) Péréquation directe'!I202/C191</f>
        <v>14.628998223604579</v>
      </c>
      <c r="F191" s="415">
        <f>+'I) Dépenses thématiques'!U191</f>
        <v>0</v>
      </c>
      <c r="G191" s="136">
        <f t="shared" si="9"/>
        <v>31.197263755293843</v>
      </c>
      <c r="H191" s="416">
        <f>G191-'C) Prél. conj.'!I191</f>
        <v>28.139340247720451</v>
      </c>
      <c r="I191" s="420">
        <f t="shared" si="10"/>
        <v>0</v>
      </c>
      <c r="J191" s="55">
        <f t="shared" si="11"/>
        <v>0</v>
      </c>
      <c r="K191" s="416">
        <f t="shared" si="12"/>
        <v>28.139340247720451</v>
      </c>
      <c r="L191" s="455"/>
    </row>
    <row r="192" spans="1:12" x14ac:dyDescent="0.25">
      <c r="A192" s="49">
        <f>'A) Base RI'!A194</f>
        <v>5715</v>
      </c>
      <c r="B192" s="292" t="str">
        <f>'A) Base RI'!B194</f>
        <v>Duillier</v>
      </c>
      <c r="C192" s="95">
        <f>'B) D RI'!U194</f>
        <v>61573.714242424234</v>
      </c>
      <c r="D192" s="415">
        <f>'E) Fact soc'!G198/C192</f>
        <v>18.927821424268451</v>
      </c>
      <c r="E192" s="136">
        <f>'H) Péréquation directe'!I203/C192</f>
        <v>16.428567800862321</v>
      </c>
      <c r="F192" s="415">
        <f>+'I) Dépenses thématiques'!U192</f>
        <v>0</v>
      </c>
      <c r="G192" s="136">
        <f t="shared" si="9"/>
        <v>35.356389225130769</v>
      </c>
      <c r="H192" s="416">
        <f>G192-'C) Prél. conj.'!I192</f>
        <v>31.490718493252103</v>
      </c>
      <c r="I192" s="420">
        <f t="shared" si="10"/>
        <v>0</v>
      </c>
      <c r="J192" s="55">
        <f t="shared" si="11"/>
        <v>0</v>
      </c>
      <c r="K192" s="416">
        <f t="shared" si="12"/>
        <v>31.490718493252103</v>
      </c>
      <c r="L192" s="455"/>
    </row>
    <row r="193" spans="1:12" x14ac:dyDescent="0.25">
      <c r="A193" s="49">
        <f>'A) Base RI'!A195</f>
        <v>5716</v>
      </c>
      <c r="B193" s="292" t="str">
        <f>'A) Base RI'!B195</f>
        <v>Eysins</v>
      </c>
      <c r="C193" s="95">
        <f>'B) D RI'!U195</f>
        <v>311499.41949579836</v>
      </c>
      <c r="D193" s="415">
        <f>'E) Fact soc'!G199/C193</f>
        <v>36.381608426382179</v>
      </c>
      <c r="E193" s="136">
        <f>'H) Péréquation directe'!I204/C193</f>
        <v>17.941217947573126</v>
      </c>
      <c r="F193" s="415">
        <f>+'I) Dépenses thématiques'!U193</f>
        <v>0</v>
      </c>
      <c r="G193" s="136">
        <f t="shared" si="9"/>
        <v>54.322826373955309</v>
      </c>
      <c r="H193" s="416">
        <f>G193-'C) Prél. conj.'!I193</f>
        <v>51.622272721683267</v>
      </c>
      <c r="I193" s="420">
        <f t="shared" si="10"/>
        <v>-3.6222727216832666</v>
      </c>
      <c r="J193" s="55">
        <f t="shared" si="11"/>
        <v>-1128335.8500598031</v>
      </c>
      <c r="K193" s="416">
        <f t="shared" si="12"/>
        <v>48</v>
      </c>
      <c r="L193" s="455"/>
    </row>
    <row r="194" spans="1:12" x14ac:dyDescent="0.25">
      <c r="A194" s="49">
        <f>'A) Base RI'!A196</f>
        <v>5717</v>
      </c>
      <c r="B194" s="292" t="str">
        <f>'A) Base RI'!B196</f>
        <v>Founex</v>
      </c>
      <c r="C194" s="95">
        <f>'B) D RI'!U196</f>
        <v>386801.60228070174</v>
      </c>
      <c r="D194" s="415">
        <f>'E) Fact soc'!G200/C194</f>
        <v>26.764813750442233</v>
      </c>
      <c r="E194" s="136">
        <f>'H) Péréquation directe'!I205/C194</f>
        <v>15.978937729574087</v>
      </c>
      <c r="F194" s="415">
        <f>+'I) Dépenses thématiques'!U194</f>
        <v>0</v>
      </c>
      <c r="G194" s="136">
        <f t="shared" si="9"/>
        <v>42.743751480016321</v>
      </c>
      <c r="H194" s="416">
        <f>G194-'C) Prél. conj.'!I194</f>
        <v>39.755180302482515</v>
      </c>
      <c r="I194" s="420">
        <f t="shared" si="10"/>
        <v>0</v>
      </c>
      <c r="J194" s="55">
        <f t="shared" si="11"/>
        <v>0</v>
      </c>
      <c r="K194" s="416">
        <f t="shared" si="12"/>
        <v>39.755180302482515</v>
      </c>
      <c r="L194" s="455"/>
    </row>
    <row r="195" spans="1:12" x14ac:dyDescent="0.25">
      <c r="A195" s="49">
        <f>'A) Base RI'!A197</f>
        <v>5718</v>
      </c>
      <c r="B195" s="292" t="str">
        <f>'A) Base RI'!B197</f>
        <v>Genolier</v>
      </c>
      <c r="C195" s="95">
        <f>'B) D RI'!U197</f>
        <v>245082.27927272729</v>
      </c>
      <c r="D195" s="415">
        <f>'E) Fact soc'!G201/C195</f>
        <v>28.565790025035547</v>
      </c>
      <c r="E195" s="136">
        <f>'H) Péréquation directe'!I206/C195</f>
        <v>17.247183881039366</v>
      </c>
      <c r="F195" s="415">
        <f>+'I) Dépenses thématiques'!U195</f>
        <v>0</v>
      </c>
      <c r="G195" s="136">
        <f t="shared" si="9"/>
        <v>45.812973906074916</v>
      </c>
      <c r="H195" s="416">
        <f>G195-'C) Prél. conj.'!I195</f>
        <v>43.801233128801734</v>
      </c>
      <c r="I195" s="420">
        <f t="shared" si="10"/>
        <v>0</v>
      </c>
      <c r="J195" s="55">
        <f t="shared" si="11"/>
        <v>0</v>
      </c>
      <c r="K195" s="416">
        <f t="shared" si="12"/>
        <v>43.801233128801734</v>
      </c>
      <c r="L195" s="455"/>
    </row>
    <row r="196" spans="1:12" x14ac:dyDescent="0.25">
      <c r="A196" s="49">
        <f>'A) Base RI'!A198</f>
        <v>5719</v>
      </c>
      <c r="B196" s="292" t="str">
        <f>'A) Base RI'!B198</f>
        <v>Gingins</v>
      </c>
      <c r="C196" s="95">
        <f>'B) D RI'!U198</f>
        <v>145761.41602339179</v>
      </c>
      <c r="D196" s="415">
        <f>'E) Fact soc'!G202/C196</f>
        <v>27.670649987809448</v>
      </c>
      <c r="E196" s="136">
        <f>'H) Péréquation directe'!I207/C196</f>
        <v>17.701242007978145</v>
      </c>
      <c r="F196" s="415">
        <f>+'I) Dépenses thématiques'!U196</f>
        <v>0</v>
      </c>
      <c r="G196" s="136">
        <f t="shared" si="9"/>
        <v>45.371891995787593</v>
      </c>
      <c r="H196" s="416">
        <f>G196-'C) Prél. conj.'!I196</f>
        <v>43.84756675896125</v>
      </c>
      <c r="I196" s="420">
        <f t="shared" si="10"/>
        <v>0</v>
      </c>
      <c r="J196" s="55">
        <f t="shared" si="11"/>
        <v>0</v>
      </c>
      <c r="K196" s="416">
        <f t="shared" si="12"/>
        <v>43.84756675896125</v>
      </c>
      <c r="L196" s="455"/>
    </row>
    <row r="197" spans="1:12" x14ac:dyDescent="0.25">
      <c r="A197" s="49">
        <f>'A) Base RI'!A199</f>
        <v>5720</v>
      </c>
      <c r="B197" s="292" t="str">
        <f>'A) Base RI'!B199</f>
        <v>Givrins</v>
      </c>
      <c r="C197" s="95">
        <f>'B) D RI'!U199</f>
        <v>84172.254543946925</v>
      </c>
      <c r="D197" s="415">
        <f>'E) Fact soc'!G203/C197</f>
        <v>25.094235162607315</v>
      </c>
      <c r="E197" s="136">
        <f>'H) Péréquation directe'!I208/C197</f>
        <v>17.563080823241101</v>
      </c>
      <c r="F197" s="415">
        <f>+'I) Dépenses thématiques'!U197</f>
        <v>-0.64559348429556396</v>
      </c>
      <c r="G197" s="136">
        <f t="shared" si="9"/>
        <v>42.011722501552846</v>
      </c>
      <c r="H197" s="416">
        <f>G197-'C) Prél. conj.'!I197</f>
        <v>38.648365282076313</v>
      </c>
      <c r="I197" s="420">
        <f t="shared" si="10"/>
        <v>0</v>
      </c>
      <c r="J197" s="55">
        <f t="shared" si="11"/>
        <v>0</v>
      </c>
      <c r="K197" s="416">
        <f t="shared" si="12"/>
        <v>38.648365282076313</v>
      </c>
      <c r="L197" s="455"/>
    </row>
    <row r="198" spans="1:12" x14ac:dyDescent="0.25">
      <c r="A198" s="49">
        <f>'A) Base RI'!A200</f>
        <v>5721</v>
      </c>
      <c r="B198" s="292" t="str">
        <f>'A) Base RI'!B200</f>
        <v>Gland</v>
      </c>
      <c r="C198" s="95">
        <f>'B) D RI'!U200</f>
        <v>651107.04049180343</v>
      </c>
      <c r="D198" s="415">
        <f>'E) Fact soc'!G204/C198</f>
        <v>17.145480398018751</v>
      </c>
      <c r="E198" s="136">
        <f>'H) Péréquation directe'!I209/C198</f>
        <v>6.9487420156126305</v>
      </c>
      <c r="F198" s="415">
        <f>+'I) Dépenses thématiques'!U198</f>
        <v>0</v>
      </c>
      <c r="G198" s="136">
        <f t="shared" ref="G198:G261" si="13">SUM(D198:F198)</f>
        <v>24.094222413631382</v>
      </c>
      <c r="H198" s="416">
        <f>G198-'C) Prél. conj.'!I198</f>
        <v>20.706422139910078</v>
      </c>
      <c r="I198" s="420">
        <f t="shared" ref="I198:I261" si="14">IF(H198&gt;I$4,I$4-H198,0)</f>
        <v>0</v>
      </c>
      <c r="J198" s="55">
        <f t="shared" ref="J198:J261" si="15">I198*C198</f>
        <v>0</v>
      </c>
      <c r="K198" s="416">
        <f t="shared" ref="K198:K261" si="16">H198+I198</f>
        <v>20.706422139910078</v>
      </c>
      <c r="L198" s="455"/>
    </row>
    <row r="199" spans="1:12" x14ac:dyDescent="0.25">
      <c r="A199" s="49">
        <f>'A) Base RI'!A201</f>
        <v>5722</v>
      </c>
      <c r="B199" s="292" t="str">
        <f>'A) Base RI'!B201</f>
        <v>Grens</v>
      </c>
      <c r="C199" s="95">
        <f>'B) D RI'!U201</f>
        <v>25525.601935483872</v>
      </c>
      <c r="D199" s="415">
        <f>'E) Fact soc'!G205/C199</f>
        <v>17.492975724766158</v>
      </c>
      <c r="E199" s="136">
        <f>'H) Péréquation directe'!I210/C199</f>
        <v>17.196702832222964</v>
      </c>
      <c r="F199" s="415">
        <f>+'I) Dépenses thématiques'!U199</f>
        <v>0</v>
      </c>
      <c r="G199" s="136">
        <f t="shared" si="13"/>
        <v>34.689678556989122</v>
      </c>
      <c r="H199" s="416">
        <f>G199-'C) Prél. conj.'!I199</f>
        <v>34.143822085701331</v>
      </c>
      <c r="I199" s="420">
        <f t="shared" si="14"/>
        <v>0</v>
      </c>
      <c r="J199" s="55">
        <f t="shared" si="15"/>
        <v>0</v>
      </c>
      <c r="K199" s="416">
        <f t="shared" si="16"/>
        <v>34.143822085701331</v>
      </c>
      <c r="L199" s="455"/>
    </row>
    <row r="200" spans="1:12" x14ac:dyDescent="0.25">
      <c r="A200" s="49">
        <f>'A) Base RI'!A202</f>
        <v>5723</v>
      </c>
      <c r="B200" s="292" t="str">
        <f>'A) Base RI'!B202</f>
        <v>Mies</v>
      </c>
      <c r="C200" s="95">
        <f>'B) D RI'!U202</f>
        <v>197805.17519230774</v>
      </c>
      <c r="D200" s="415">
        <f>'E) Fact soc'!G206/C200</f>
        <v>24.645821718982173</v>
      </c>
      <c r="E200" s="136">
        <f>'H) Péréquation directe'!I211/C200</f>
        <v>16.48012711428683</v>
      </c>
      <c r="F200" s="415">
        <f>+'I) Dépenses thématiques'!U200</f>
        <v>0</v>
      </c>
      <c r="G200" s="136">
        <f t="shared" si="13"/>
        <v>41.125948833269007</v>
      </c>
      <c r="H200" s="416">
        <f>G200-'C) Prél. conj.'!I200</f>
        <v>37.863575089141129</v>
      </c>
      <c r="I200" s="420">
        <f t="shared" si="14"/>
        <v>0</v>
      </c>
      <c r="J200" s="55">
        <f t="shared" si="15"/>
        <v>0</v>
      </c>
      <c r="K200" s="416">
        <f t="shared" si="16"/>
        <v>37.863575089141129</v>
      </c>
      <c r="L200" s="455"/>
    </row>
    <row r="201" spans="1:12" x14ac:dyDescent="0.25">
      <c r="A201" s="49">
        <f>'A) Base RI'!A203</f>
        <v>5724</v>
      </c>
      <c r="B201" s="292" t="str">
        <f>'A) Base RI'!B203</f>
        <v>Nyon</v>
      </c>
      <c r="C201" s="95">
        <f>'B) D RI'!U203</f>
        <v>1415730.6761202184</v>
      </c>
      <c r="D201" s="415">
        <f>'E) Fact soc'!G207/C201</f>
        <v>23.029210501674772</v>
      </c>
      <c r="E201" s="136">
        <f>'H) Péréquation directe'!I212/C201</f>
        <v>7.3542444193210077</v>
      </c>
      <c r="F201" s="415">
        <f>+'I) Dépenses thématiques'!U201</f>
        <v>-0.80445522760006904</v>
      </c>
      <c r="G201" s="136">
        <f t="shared" si="13"/>
        <v>29.578999693395712</v>
      </c>
      <c r="H201" s="416">
        <f>G201-'C) Prél. conj.'!I201</f>
        <v>23.91939106150674</v>
      </c>
      <c r="I201" s="420">
        <f t="shared" si="14"/>
        <v>0</v>
      </c>
      <c r="J201" s="55">
        <f t="shared" si="15"/>
        <v>0</v>
      </c>
      <c r="K201" s="416">
        <f t="shared" si="16"/>
        <v>23.91939106150674</v>
      </c>
      <c r="L201" s="455"/>
    </row>
    <row r="202" spans="1:12" x14ac:dyDescent="0.25">
      <c r="A202" s="49">
        <f>'A) Base RI'!A204</f>
        <v>5725</v>
      </c>
      <c r="B202" s="292" t="str">
        <f>'A) Base RI'!B204</f>
        <v>Prangins</v>
      </c>
      <c r="C202" s="95">
        <f>'B) D RI'!U204</f>
        <v>312804.93402597401</v>
      </c>
      <c r="D202" s="415">
        <f>'E) Fact soc'!G208/C202</f>
        <v>22.072585737438224</v>
      </c>
      <c r="E202" s="136">
        <f>'H) Péréquation directe'!I213/C202</f>
        <v>14.802125186054063</v>
      </c>
      <c r="F202" s="415">
        <f>+'I) Dépenses thématiques'!U202</f>
        <v>0</v>
      </c>
      <c r="G202" s="136">
        <f t="shared" si="13"/>
        <v>36.874710923492287</v>
      </c>
      <c r="H202" s="416">
        <f>G202-'C) Prél. conj.'!I202</f>
        <v>33.987679640523417</v>
      </c>
      <c r="I202" s="420">
        <f t="shared" si="14"/>
        <v>0</v>
      </c>
      <c r="J202" s="55">
        <f t="shared" si="15"/>
        <v>0</v>
      </c>
      <c r="K202" s="416">
        <f t="shared" si="16"/>
        <v>33.987679640523417</v>
      </c>
      <c r="L202" s="455"/>
    </row>
    <row r="203" spans="1:12" x14ac:dyDescent="0.25">
      <c r="A203" s="49">
        <f>'A) Base RI'!A205</f>
        <v>5726</v>
      </c>
      <c r="B203" s="292" t="str">
        <f>'A) Base RI'!B205</f>
        <v>La Rippe</v>
      </c>
      <c r="C203" s="95">
        <f>'B) D RI'!U205</f>
        <v>66324.764153846147</v>
      </c>
      <c r="D203" s="415">
        <f>'E) Fact soc'!G209/C203</f>
        <v>20.086521849504422</v>
      </c>
      <c r="E203" s="136">
        <f>'H) Péréquation directe'!I214/C203</f>
        <v>16.608814689664996</v>
      </c>
      <c r="F203" s="415">
        <f>+'I) Dépenses thématiques'!U203</f>
        <v>0</v>
      </c>
      <c r="G203" s="136">
        <f t="shared" si="13"/>
        <v>36.695336539169418</v>
      </c>
      <c r="H203" s="416">
        <f>G203-'C) Prél. conj.'!I203</f>
        <v>32.533918349128335</v>
      </c>
      <c r="I203" s="420">
        <f t="shared" si="14"/>
        <v>0</v>
      </c>
      <c r="J203" s="55">
        <f t="shared" si="15"/>
        <v>0</v>
      </c>
      <c r="K203" s="416">
        <f t="shared" si="16"/>
        <v>32.533918349128335</v>
      </c>
      <c r="L203" s="455"/>
    </row>
    <row r="204" spans="1:12" x14ac:dyDescent="0.25">
      <c r="A204" s="49">
        <f>'A) Base RI'!A206</f>
        <v>5727</v>
      </c>
      <c r="B204" s="292" t="str">
        <f>'A) Base RI'!B206</f>
        <v>Saint-Cergue</v>
      </c>
      <c r="C204" s="95">
        <f>'B) D RI'!U206</f>
        <v>105125.05141414142</v>
      </c>
      <c r="D204" s="415">
        <f>'E) Fact soc'!G210/C204</f>
        <v>17.146817724793387</v>
      </c>
      <c r="E204" s="136">
        <f>'H) Péréquation directe'!I215/C204</f>
        <v>8.5194087187366261</v>
      </c>
      <c r="F204" s="415">
        <f>+'I) Dépenses thématiques'!U204</f>
        <v>-1.959470542408142</v>
      </c>
      <c r="G204" s="136">
        <f t="shared" si="13"/>
        <v>23.706755901121873</v>
      </c>
      <c r="H204" s="416">
        <f>G204-'C) Prél. conj.'!I204</f>
        <v>20.070280200444355</v>
      </c>
      <c r="I204" s="420">
        <f t="shared" si="14"/>
        <v>0</v>
      </c>
      <c r="J204" s="55">
        <f t="shared" si="15"/>
        <v>0</v>
      </c>
      <c r="K204" s="416">
        <f t="shared" si="16"/>
        <v>20.070280200444355</v>
      </c>
      <c r="L204" s="455"/>
    </row>
    <row r="205" spans="1:12" x14ac:dyDescent="0.25">
      <c r="A205" s="49">
        <f>'A) Base RI'!A207</f>
        <v>5728</v>
      </c>
      <c r="B205" s="292" t="str">
        <f>'A) Base RI'!B207</f>
        <v>Signy-Avenex</v>
      </c>
      <c r="C205" s="95">
        <f>'B) D RI'!U207</f>
        <v>49286.820862068969</v>
      </c>
      <c r="D205" s="415">
        <f>'E) Fact soc'!G211/C205</f>
        <v>23.686606303154591</v>
      </c>
      <c r="E205" s="136">
        <f>'H) Péréquation directe'!I216/C205</f>
        <v>17.702385178611507</v>
      </c>
      <c r="F205" s="415">
        <f>+'I) Dépenses thématiques'!U205</f>
        <v>0</v>
      </c>
      <c r="G205" s="136">
        <f t="shared" si="13"/>
        <v>41.388991481766098</v>
      </c>
      <c r="H205" s="416">
        <f>G205-'C) Prél. conj.'!I205</f>
        <v>38.933759476872687</v>
      </c>
      <c r="I205" s="420">
        <f t="shared" si="14"/>
        <v>0</v>
      </c>
      <c r="J205" s="55">
        <f t="shared" si="15"/>
        <v>0</v>
      </c>
      <c r="K205" s="416">
        <f t="shared" si="16"/>
        <v>38.933759476872687</v>
      </c>
      <c r="L205" s="455"/>
    </row>
    <row r="206" spans="1:12" x14ac:dyDescent="0.25">
      <c r="A206" s="49">
        <f>'A) Base RI'!A208</f>
        <v>5729</v>
      </c>
      <c r="B206" s="292" t="str">
        <f>'A) Base RI'!B208</f>
        <v>Tannay</v>
      </c>
      <c r="C206" s="95">
        <f>'B) D RI'!U208</f>
        <v>130826.66865013774</v>
      </c>
      <c r="D206" s="415">
        <f>'E) Fact soc'!G212/C206</f>
        <v>24.907857444845394</v>
      </c>
      <c r="E206" s="136">
        <f>'H) Péréquation directe'!I217/C206</f>
        <v>16.52847679866602</v>
      </c>
      <c r="F206" s="415">
        <f>+'I) Dépenses thématiques'!U206</f>
        <v>0</v>
      </c>
      <c r="G206" s="136">
        <f t="shared" si="13"/>
        <v>41.436334243511411</v>
      </c>
      <c r="H206" s="416">
        <f>G206-'C) Prél. conj.'!I206</f>
        <v>37.110644834470541</v>
      </c>
      <c r="I206" s="420">
        <f t="shared" si="14"/>
        <v>0</v>
      </c>
      <c r="J206" s="55">
        <f t="shared" si="15"/>
        <v>0</v>
      </c>
      <c r="K206" s="416">
        <f t="shared" si="16"/>
        <v>37.110644834470541</v>
      </c>
      <c r="L206" s="455"/>
    </row>
    <row r="207" spans="1:12" x14ac:dyDescent="0.25">
      <c r="A207" s="49">
        <f>'A) Base RI'!A209</f>
        <v>5730</v>
      </c>
      <c r="B207" s="292" t="str">
        <f>'A) Base RI'!B209</f>
        <v>Trélex</v>
      </c>
      <c r="C207" s="95">
        <f>'B) D RI'!U209</f>
        <v>111625.98756756757</v>
      </c>
      <c r="D207" s="415">
        <f>'E) Fact soc'!G213/C207</f>
        <v>23.098045693826364</v>
      </c>
      <c r="E207" s="136">
        <f>'H) Péréquation directe'!I218/C207</f>
        <v>16.669190408791358</v>
      </c>
      <c r="F207" s="415">
        <f>+'I) Dépenses thématiques'!U207</f>
        <v>0</v>
      </c>
      <c r="G207" s="136">
        <f t="shared" si="13"/>
        <v>39.767236102617723</v>
      </c>
      <c r="H207" s="416">
        <f>G207-'C) Prél. conj.'!I207</f>
        <v>36.114153304553604</v>
      </c>
      <c r="I207" s="420">
        <f t="shared" si="14"/>
        <v>0</v>
      </c>
      <c r="J207" s="55">
        <f t="shared" si="15"/>
        <v>0</v>
      </c>
      <c r="K207" s="416">
        <f t="shared" si="16"/>
        <v>36.114153304553604</v>
      </c>
      <c r="L207" s="455"/>
    </row>
    <row r="208" spans="1:12" x14ac:dyDescent="0.25">
      <c r="A208" s="49">
        <f>'A) Base RI'!A210</f>
        <v>5731</v>
      </c>
      <c r="B208" s="292" t="str">
        <f>'A) Base RI'!B210</f>
        <v>Le Vaud</v>
      </c>
      <c r="C208" s="95">
        <f>'B) D RI'!U210</f>
        <v>63942.206576576558</v>
      </c>
      <c r="D208" s="415">
        <f>'E) Fact soc'!G214/C208</f>
        <v>15.890878576568227</v>
      </c>
      <c r="E208" s="136">
        <f>'H) Péréquation directe'!I219/C208</f>
        <v>14.599545811137416</v>
      </c>
      <c r="F208" s="415">
        <f>+'I) Dépenses thématiques'!U208</f>
        <v>-0.74838057943464664</v>
      </c>
      <c r="G208" s="136">
        <f t="shared" si="13"/>
        <v>29.742043808270999</v>
      </c>
      <c r="H208" s="416">
        <f>G208-'C) Prél. conj.'!I208</f>
        <v>27.361507255818641</v>
      </c>
      <c r="I208" s="420">
        <f t="shared" si="14"/>
        <v>0</v>
      </c>
      <c r="J208" s="55">
        <f t="shared" si="15"/>
        <v>0</v>
      </c>
      <c r="K208" s="416">
        <f t="shared" si="16"/>
        <v>27.361507255818641</v>
      </c>
      <c r="L208" s="455"/>
    </row>
    <row r="209" spans="1:12" x14ac:dyDescent="0.25">
      <c r="A209" s="49">
        <f>'A) Base RI'!A211</f>
        <v>5732</v>
      </c>
      <c r="B209" s="292" t="str">
        <f>'A) Base RI'!B211</f>
        <v>Vich</v>
      </c>
      <c r="C209" s="95">
        <f>'B) D RI'!U211</f>
        <v>71006.972380952371</v>
      </c>
      <c r="D209" s="415">
        <f>'E) Fact soc'!G215/C209</f>
        <v>20.842599563729117</v>
      </c>
      <c r="E209" s="136">
        <f>'H) Péréquation directe'!I220/C209</f>
        <v>16.655071217558067</v>
      </c>
      <c r="F209" s="415">
        <f>+'I) Dépenses thématiques'!U209</f>
        <v>0</v>
      </c>
      <c r="G209" s="136">
        <f t="shared" si="13"/>
        <v>37.497670781287184</v>
      </c>
      <c r="H209" s="416">
        <f>G209-'C) Prél. conj.'!I209</f>
        <v>33.255911487790037</v>
      </c>
      <c r="I209" s="420">
        <f t="shared" si="14"/>
        <v>0</v>
      </c>
      <c r="J209" s="55">
        <f t="shared" si="15"/>
        <v>0</v>
      </c>
      <c r="K209" s="416">
        <f t="shared" si="16"/>
        <v>33.255911487790037</v>
      </c>
      <c r="L209" s="455"/>
    </row>
    <row r="210" spans="1:12" x14ac:dyDescent="0.25">
      <c r="A210" s="49">
        <f>'A) Base RI'!A212</f>
        <v>5741</v>
      </c>
      <c r="B210" s="292" t="str">
        <f>'A) Base RI'!B212</f>
        <v>L'Abergement</v>
      </c>
      <c r="C210" s="95">
        <f>'B) D RI'!U212</f>
        <v>7368.9297325102852</v>
      </c>
      <c r="D210" s="415">
        <f>'E) Fact soc'!G216/C210</f>
        <v>16.937249447128774</v>
      </c>
      <c r="E210" s="136">
        <f>'H) Péréquation directe'!I221/C210</f>
        <v>-2.8701619826282792</v>
      </c>
      <c r="F210" s="415">
        <f>+'I) Dépenses thématiques'!U210</f>
        <v>-14.591769525386161</v>
      </c>
      <c r="G210" s="136">
        <f t="shared" si="13"/>
        <v>-0.52468206088566482</v>
      </c>
      <c r="H210" s="416">
        <f>G210-'C) Prél. conj.'!I210</f>
        <v>-3.9515894838985703</v>
      </c>
      <c r="I210" s="420">
        <f t="shared" si="14"/>
        <v>0</v>
      </c>
      <c r="J210" s="55">
        <f t="shared" si="15"/>
        <v>0</v>
      </c>
      <c r="K210" s="416">
        <f t="shared" si="16"/>
        <v>-3.9515894838985703</v>
      </c>
      <c r="L210" s="455"/>
    </row>
    <row r="211" spans="1:12" x14ac:dyDescent="0.25">
      <c r="A211" s="49">
        <f>'A) Base RI'!A213</f>
        <v>5742</v>
      </c>
      <c r="B211" s="292" t="str">
        <f>'A) Base RI'!B213</f>
        <v>Agiez</v>
      </c>
      <c r="C211" s="95">
        <f>'B) D RI'!U213</f>
        <v>8960.136710526318</v>
      </c>
      <c r="D211" s="415">
        <f>'E) Fact soc'!G217/C211</f>
        <v>15.292134034191372</v>
      </c>
      <c r="E211" s="136">
        <f>'H) Péréquation directe'!I222/C211</f>
        <v>-9.8462147698156031</v>
      </c>
      <c r="F211" s="415">
        <f>+'I) Dépenses thématiques'!U211</f>
        <v>-3.9002560265505788</v>
      </c>
      <c r="G211" s="136">
        <f t="shared" si="13"/>
        <v>1.5456632378251904</v>
      </c>
      <c r="H211" s="416">
        <f>G211-'C) Prél. conj.'!I211</f>
        <v>-0.23612877225031337</v>
      </c>
      <c r="I211" s="420">
        <f t="shared" si="14"/>
        <v>0</v>
      </c>
      <c r="J211" s="55">
        <f t="shared" si="15"/>
        <v>0</v>
      </c>
      <c r="K211" s="416">
        <f t="shared" si="16"/>
        <v>-0.23612877225031337</v>
      </c>
      <c r="L211" s="455"/>
    </row>
    <row r="212" spans="1:12" x14ac:dyDescent="0.25">
      <c r="A212" s="49">
        <f>'A) Base RI'!A214</f>
        <v>5743</v>
      </c>
      <c r="B212" s="292" t="str">
        <f>'A) Base RI'!B214</f>
        <v>Arnex-sur-Orbe</v>
      </c>
      <c r="C212" s="95">
        <f>'B) D RI'!U214</f>
        <v>20549.584577464786</v>
      </c>
      <c r="D212" s="415">
        <f>'E) Fact soc'!G218/C212</f>
        <v>15.118464070351266</v>
      </c>
      <c r="E212" s="136">
        <f>'H) Péréquation directe'!I223/C212</f>
        <v>5.3463716307347537</v>
      </c>
      <c r="F212" s="415">
        <f>+'I) Dépenses thématiques'!U212</f>
        <v>-4.1218104539250477</v>
      </c>
      <c r="G212" s="136">
        <f t="shared" si="13"/>
        <v>16.343025247160973</v>
      </c>
      <c r="H212" s="416">
        <f>G212-'C) Prél. conj.'!I212</f>
        <v>14.734903200925578</v>
      </c>
      <c r="I212" s="420">
        <f t="shared" si="14"/>
        <v>0</v>
      </c>
      <c r="J212" s="55">
        <f t="shared" si="15"/>
        <v>0</v>
      </c>
      <c r="K212" s="416">
        <f t="shared" si="16"/>
        <v>14.734903200925578</v>
      </c>
      <c r="L212" s="455"/>
    </row>
    <row r="213" spans="1:12" x14ac:dyDescent="0.25">
      <c r="A213" s="49">
        <f>'A) Base RI'!A215</f>
        <v>5744</v>
      </c>
      <c r="B213" s="292" t="str">
        <f>'A) Base RI'!B215</f>
        <v>Ballaigues</v>
      </c>
      <c r="C213" s="95">
        <f>'B) D RI'!U215</f>
        <v>40453.358769230777</v>
      </c>
      <c r="D213" s="415">
        <f>'E) Fact soc'!G219/C213</f>
        <v>24.916569072707954</v>
      </c>
      <c r="E213" s="136">
        <f>'H) Péréquation directe'!I224/C213</f>
        <v>8.7521621498508857</v>
      </c>
      <c r="F213" s="415">
        <f>+'I) Dépenses thématiques'!U213</f>
        <v>-9.2416572982328198</v>
      </c>
      <c r="G213" s="136">
        <f t="shared" si="13"/>
        <v>24.42707392432602</v>
      </c>
      <c r="H213" s="416">
        <f>G213-'C) Prél. conj.'!I213</f>
        <v>13.020846875733934</v>
      </c>
      <c r="I213" s="420">
        <f t="shared" si="14"/>
        <v>0</v>
      </c>
      <c r="J213" s="55">
        <f t="shared" si="15"/>
        <v>0</v>
      </c>
      <c r="K213" s="416">
        <f t="shared" si="16"/>
        <v>13.020846875733934</v>
      </c>
      <c r="L213" s="455"/>
    </row>
    <row r="214" spans="1:12" x14ac:dyDescent="0.25">
      <c r="A214" s="49">
        <f>'A) Base RI'!A216</f>
        <v>5745</v>
      </c>
      <c r="B214" s="292" t="str">
        <f>'A) Base RI'!B216</f>
        <v>Baulmes</v>
      </c>
      <c r="C214" s="95">
        <f>'B) D RI'!U216</f>
        <v>26827.589150326792</v>
      </c>
      <c r="D214" s="415">
        <f>'E) Fact soc'!G220/C214</f>
        <v>17.456623570577918</v>
      </c>
      <c r="E214" s="136">
        <f>'H) Péréquation directe'!I225/C214</f>
        <v>-8.2134716757544197</v>
      </c>
      <c r="F214" s="415">
        <f>+'I) Dépenses thématiques'!U214</f>
        <v>-15.579028398465057</v>
      </c>
      <c r="G214" s="136">
        <f t="shared" si="13"/>
        <v>-6.3358765036415594</v>
      </c>
      <c r="H214" s="416">
        <f>G214-'C) Prél. conj.'!I214</f>
        <v>-10.282158050103604</v>
      </c>
      <c r="I214" s="420">
        <f t="shared" si="14"/>
        <v>0</v>
      </c>
      <c r="J214" s="55">
        <f t="shared" si="15"/>
        <v>0</v>
      </c>
      <c r="K214" s="416">
        <f t="shared" si="16"/>
        <v>-10.282158050103604</v>
      </c>
      <c r="L214" s="455"/>
    </row>
    <row r="215" spans="1:12" x14ac:dyDescent="0.25">
      <c r="A215" s="49">
        <f>'A) Base RI'!A217</f>
        <v>5746</v>
      </c>
      <c r="B215" s="292" t="str">
        <f>'A) Base RI'!B217</f>
        <v>Bavois</v>
      </c>
      <c r="C215" s="95">
        <f>'B) D RI'!U217</f>
        <v>30466.611141552505</v>
      </c>
      <c r="D215" s="415">
        <f>'E) Fact soc'!G221/C215</f>
        <v>20.240277921723933</v>
      </c>
      <c r="E215" s="136">
        <f>'H) Péréquation directe'!I226/C215</f>
        <v>2.8984084018712322</v>
      </c>
      <c r="F215" s="415">
        <f>+'I) Dépenses thématiques'!U215</f>
        <v>-5.9675204422901897</v>
      </c>
      <c r="G215" s="136">
        <f t="shared" si="13"/>
        <v>17.171165881304976</v>
      </c>
      <c r="H215" s="416">
        <f>G215-'C) Prél. conj.'!I215</f>
        <v>10.44122998369691</v>
      </c>
      <c r="I215" s="420">
        <f t="shared" si="14"/>
        <v>0</v>
      </c>
      <c r="J215" s="55">
        <f t="shared" si="15"/>
        <v>0</v>
      </c>
      <c r="K215" s="416">
        <f t="shared" si="16"/>
        <v>10.44122998369691</v>
      </c>
      <c r="L215" s="455"/>
    </row>
    <row r="216" spans="1:12" x14ac:dyDescent="0.25">
      <c r="A216" s="49">
        <f>'A) Base RI'!A218</f>
        <v>5747</v>
      </c>
      <c r="B216" s="292" t="str">
        <f>'A) Base RI'!B218</f>
        <v>Bofflens</v>
      </c>
      <c r="C216" s="95">
        <f>'B) D RI'!U218</f>
        <v>5608.7786956521741</v>
      </c>
      <c r="D216" s="415">
        <f>'E) Fact soc'!G222/C216</f>
        <v>17.857785794522059</v>
      </c>
      <c r="E216" s="136">
        <f>'H) Péréquation directe'!I227/C216</f>
        <v>-8.2221126613272563E-2</v>
      </c>
      <c r="F216" s="415">
        <f>+'I) Dépenses thématiques'!U216</f>
        <v>-4.4126946647534133</v>
      </c>
      <c r="G216" s="136">
        <f t="shared" si="13"/>
        <v>13.362870003155372</v>
      </c>
      <c r="H216" s="416">
        <f>G216-'C) Prél. conj.'!I216</f>
        <v>9.0154262327491814</v>
      </c>
      <c r="I216" s="420">
        <f t="shared" si="14"/>
        <v>0</v>
      </c>
      <c r="J216" s="55">
        <f t="shared" si="15"/>
        <v>0</v>
      </c>
      <c r="K216" s="416">
        <f t="shared" si="16"/>
        <v>9.0154262327491814</v>
      </c>
      <c r="L216" s="455"/>
    </row>
    <row r="217" spans="1:12" x14ac:dyDescent="0.25">
      <c r="A217" s="49">
        <f>'A) Base RI'!A219</f>
        <v>5748</v>
      </c>
      <c r="B217" s="292" t="str">
        <f>'A) Base RI'!B219</f>
        <v>Bretonnières</v>
      </c>
      <c r="C217" s="95">
        <f>'B) D RI'!U219</f>
        <v>5789.9884160756492</v>
      </c>
      <c r="D217" s="415">
        <f>'E) Fact soc'!G223/C217</f>
        <v>15.99662074619957</v>
      </c>
      <c r="E217" s="136">
        <f>'H) Péréquation directe'!I228/C217</f>
        <v>-11.094630406225953</v>
      </c>
      <c r="F217" s="415">
        <f>+'I) Dépenses thématiques'!U217</f>
        <v>-8.7100050237527906</v>
      </c>
      <c r="G217" s="136">
        <f t="shared" si="13"/>
        <v>-3.8080146837791737</v>
      </c>
      <c r="H217" s="416">
        <f>G217-'C) Prél. conj.'!I217</f>
        <v>-6.2942934058628754</v>
      </c>
      <c r="I217" s="420">
        <f t="shared" si="14"/>
        <v>0</v>
      </c>
      <c r="J217" s="55">
        <f t="shared" si="15"/>
        <v>0</v>
      </c>
      <c r="K217" s="416">
        <f t="shared" si="16"/>
        <v>-6.2942934058628754</v>
      </c>
      <c r="L217" s="455"/>
    </row>
    <row r="218" spans="1:12" x14ac:dyDescent="0.25">
      <c r="A218" s="49">
        <f>'A) Base RI'!A220</f>
        <v>5749</v>
      </c>
      <c r="B218" s="292" t="str">
        <f>'A) Base RI'!B220</f>
        <v>Chavornay</v>
      </c>
      <c r="C218" s="95">
        <f>'B) D RI'!U220</f>
        <v>140676.80723404256</v>
      </c>
      <c r="D218" s="415">
        <f>'E) Fact soc'!G224/C218</f>
        <v>17.684034699861478</v>
      </c>
      <c r="E218" s="136">
        <f>'H) Péréquation directe'!I229/C218</f>
        <v>-10.413924082049405</v>
      </c>
      <c r="F218" s="415">
        <f>+'I) Dépenses thématiques'!U218</f>
        <v>-4.4201461733184662</v>
      </c>
      <c r="G218" s="136">
        <f t="shared" si="13"/>
        <v>2.8499644444936063</v>
      </c>
      <c r="H218" s="416">
        <f>G218-'C) Prél. conj.'!I218</f>
        <v>-1.3237282312520007</v>
      </c>
      <c r="I218" s="420">
        <f t="shared" si="14"/>
        <v>0</v>
      </c>
      <c r="J218" s="55">
        <f t="shared" si="15"/>
        <v>0</v>
      </c>
      <c r="K218" s="416">
        <f t="shared" si="16"/>
        <v>-1.3237282312520007</v>
      </c>
      <c r="L218" s="455"/>
    </row>
    <row r="219" spans="1:12" x14ac:dyDescent="0.25">
      <c r="A219" s="49">
        <f>'A) Base RI'!A221</f>
        <v>5750</v>
      </c>
      <c r="B219" s="292" t="str">
        <f>'A) Base RI'!B221</f>
        <v>Les Clées</v>
      </c>
      <c r="C219" s="95">
        <f>'B) D RI'!U221</f>
        <v>6037.9437500000004</v>
      </c>
      <c r="D219" s="415">
        <f>'E) Fact soc'!G225/C219</f>
        <v>13.987954125089814</v>
      </c>
      <c r="E219" s="136">
        <f>'H) Péréquation directe'!I230/C219</f>
        <v>2.6947315608935689</v>
      </c>
      <c r="F219" s="415">
        <f>+'I) Dépenses thématiques'!U219</f>
        <v>-6.8775698162971448</v>
      </c>
      <c r="G219" s="136">
        <f t="shared" si="13"/>
        <v>9.8051158696862384</v>
      </c>
      <c r="H219" s="416">
        <f>G219-'C) Prél. conj.'!I219</f>
        <v>9.3275037687122939</v>
      </c>
      <c r="I219" s="420">
        <f t="shared" si="14"/>
        <v>0</v>
      </c>
      <c r="J219" s="55">
        <f t="shared" si="15"/>
        <v>0</v>
      </c>
      <c r="K219" s="416">
        <f t="shared" si="16"/>
        <v>9.3275037687122939</v>
      </c>
      <c r="L219" s="455"/>
    </row>
    <row r="220" spans="1:12" x14ac:dyDescent="0.25">
      <c r="A220" s="49">
        <f>'A) Base RI'!A222</f>
        <v>5752</v>
      </c>
      <c r="B220" s="292" t="str">
        <f>'A) Base RI'!B222</f>
        <v>Croy</v>
      </c>
      <c r="C220" s="95">
        <f>'B) D RI'!U222</f>
        <v>9416.7971235521236</v>
      </c>
      <c r="D220" s="415">
        <f>'E) Fact soc'!G226/C220</f>
        <v>17.13424350062208</v>
      </c>
      <c r="E220" s="136">
        <f>'H) Péréquation directe'!I231/C220</f>
        <v>-8.7090884044159793</v>
      </c>
      <c r="F220" s="415">
        <f>+'I) Dépenses thématiques'!U220</f>
        <v>-56.511063185988334</v>
      </c>
      <c r="G220" s="136">
        <f t="shared" si="13"/>
        <v>-48.085908089782237</v>
      </c>
      <c r="H220" s="416">
        <f>G220-'C) Prél. conj.'!I220</f>
        <v>-51.709809566288449</v>
      </c>
      <c r="I220" s="420">
        <f t="shared" si="14"/>
        <v>0</v>
      </c>
      <c r="J220" s="55">
        <f t="shared" si="15"/>
        <v>0</v>
      </c>
      <c r="K220" s="416">
        <f t="shared" si="16"/>
        <v>-51.709809566288449</v>
      </c>
      <c r="L220" s="455"/>
    </row>
    <row r="221" spans="1:12" x14ac:dyDescent="0.25">
      <c r="A221" s="49">
        <f>'A) Base RI'!A223</f>
        <v>5754</v>
      </c>
      <c r="B221" s="292" t="str">
        <f>'A) Base RI'!B223</f>
        <v>Juriens</v>
      </c>
      <c r="C221" s="95">
        <f>'B) D RI'!U223</f>
        <v>8043.7859493670894</v>
      </c>
      <c r="D221" s="415">
        <f>'E) Fact soc'!G227/C221</f>
        <v>15.027671684157399</v>
      </c>
      <c r="E221" s="136">
        <f>'H) Péréquation directe'!I232/C221</f>
        <v>-11.357507959334169</v>
      </c>
      <c r="F221" s="415">
        <f>+'I) Dépenses thématiques'!U221</f>
        <v>-7.8645733787520431</v>
      </c>
      <c r="G221" s="136">
        <f t="shared" si="13"/>
        <v>-4.1944096539288136</v>
      </c>
      <c r="H221" s="416">
        <f>G221-'C) Prél. conj.'!I221</f>
        <v>-5.7117393139703436</v>
      </c>
      <c r="I221" s="420">
        <f t="shared" si="14"/>
        <v>0</v>
      </c>
      <c r="J221" s="55">
        <f t="shared" si="15"/>
        <v>0</v>
      </c>
      <c r="K221" s="416">
        <f t="shared" si="16"/>
        <v>-5.7117393139703436</v>
      </c>
      <c r="L221" s="455"/>
    </row>
    <row r="222" spans="1:12" x14ac:dyDescent="0.25">
      <c r="A222" s="49">
        <f>'A) Base RI'!A224</f>
        <v>5755</v>
      </c>
      <c r="B222" s="292" t="str">
        <f>'A) Base RI'!B224</f>
        <v>Lignerolle</v>
      </c>
      <c r="C222" s="95">
        <f>'B) D RI'!U224</f>
        <v>9055.2737033666963</v>
      </c>
      <c r="D222" s="415">
        <f>'E) Fact soc'!G228/C222</f>
        <v>29.284121997977341</v>
      </c>
      <c r="E222" s="136">
        <f>'H) Péréquation directe'!I233/C222</f>
        <v>-19.278096403951501</v>
      </c>
      <c r="F222" s="415">
        <f>+'I) Dépenses thématiques'!U222</f>
        <v>-57.651725348531322</v>
      </c>
      <c r="G222" s="136">
        <f t="shared" si="13"/>
        <v>-47.645699754505486</v>
      </c>
      <c r="H222" s="416">
        <f>G222-'C) Prél. conj.'!I222</f>
        <v>-63.419479728366959</v>
      </c>
      <c r="I222" s="420">
        <f t="shared" si="14"/>
        <v>0</v>
      </c>
      <c r="J222" s="55">
        <f t="shared" si="15"/>
        <v>0</v>
      </c>
      <c r="K222" s="416">
        <f t="shared" si="16"/>
        <v>-63.419479728366959</v>
      </c>
      <c r="L222" s="455"/>
    </row>
    <row r="223" spans="1:12" x14ac:dyDescent="0.25">
      <c r="A223" s="49">
        <f>'A) Base RI'!A225</f>
        <v>5756</v>
      </c>
      <c r="B223" s="292" t="str">
        <f>'A) Base RI'!B225</f>
        <v>Montcherand</v>
      </c>
      <c r="C223" s="95">
        <f>'B) D RI'!U225</f>
        <v>15758.308611111112</v>
      </c>
      <c r="D223" s="415">
        <f>'E) Fact soc'!G229/C223</f>
        <v>16.958578528488317</v>
      </c>
      <c r="E223" s="136">
        <f>'H) Péréquation directe'!I234/C223</f>
        <v>3.8116642872866193</v>
      </c>
      <c r="F223" s="415">
        <f>+'I) Dépenses thématiques'!U223</f>
        <v>-4.6583297830310357</v>
      </c>
      <c r="G223" s="136">
        <f t="shared" si="13"/>
        <v>16.1119130327439</v>
      </c>
      <c r="H223" s="416">
        <f>G223-'C) Prél. conj.'!I223</f>
        <v>12.663676528371454</v>
      </c>
      <c r="I223" s="420">
        <f t="shared" si="14"/>
        <v>0</v>
      </c>
      <c r="J223" s="55">
        <f t="shared" si="15"/>
        <v>0</v>
      </c>
      <c r="K223" s="416">
        <f t="shared" si="16"/>
        <v>12.663676528371454</v>
      </c>
      <c r="L223" s="455"/>
    </row>
    <row r="224" spans="1:12" x14ac:dyDescent="0.25">
      <c r="A224" s="49">
        <f>'A) Base RI'!A226</f>
        <v>5757</v>
      </c>
      <c r="B224" s="292" t="str">
        <f>'A) Base RI'!B226</f>
        <v>Orbe</v>
      </c>
      <c r="C224" s="95">
        <f>'B) D RI'!U226</f>
        <v>203783.43483443707</v>
      </c>
      <c r="D224" s="415">
        <f>'E) Fact soc'!G230/C224</f>
        <v>20.76024438345295</v>
      </c>
      <c r="E224" s="136">
        <f>'H) Péréquation directe'!I235/C224</f>
        <v>-11.56424016844125</v>
      </c>
      <c r="F224" s="415">
        <f>+'I) Dépenses thématiques'!U224</f>
        <v>-9.6578943847539271</v>
      </c>
      <c r="G224" s="136">
        <f t="shared" si="13"/>
        <v>-0.46189016974222774</v>
      </c>
      <c r="H224" s="416">
        <f>G224-'C) Prél. conj.'!I224</f>
        <v>-7.7117925290793101</v>
      </c>
      <c r="I224" s="420">
        <f t="shared" si="14"/>
        <v>0</v>
      </c>
      <c r="J224" s="55">
        <f t="shared" si="15"/>
        <v>0</v>
      </c>
      <c r="K224" s="416">
        <f t="shared" si="16"/>
        <v>-7.7117925290793101</v>
      </c>
      <c r="L224" s="455"/>
    </row>
    <row r="225" spans="1:12" x14ac:dyDescent="0.25">
      <c r="A225" s="49">
        <f>'A) Base RI'!A227</f>
        <v>5758</v>
      </c>
      <c r="B225" s="292" t="str">
        <f>'A) Base RI'!B227</f>
        <v>La Praz</v>
      </c>
      <c r="C225" s="95">
        <f>'B) D RI'!U227</f>
        <v>4313.3939759036139</v>
      </c>
      <c r="D225" s="415">
        <f>'E) Fact soc'!G231/C225</f>
        <v>16.383855333876415</v>
      </c>
      <c r="E225" s="136">
        <f>'H) Péréquation directe'!I236/C225</f>
        <v>-12.242246807386673</v>
      </c>
      <c r="F225" s="415">
        <f>+'I) Dépenses thématiques'!U225</f>
        <v>-2.4447895836923776</v>
      </c>
      <c r="G225" s="136">
        <f t="shared" si="13"/>
        <v>1.6968189427973646</v>
      </c>
      <c r="H225" s="416">
        <f>G225-'C) Prél. conj.'!I225</f>
        <v>-1.1766943669631824</v>
      </c>
      <c r="I225" s="420">
        <f t="shared" si="14"/>
        <v>0</v>
      </c>
      <c r="J225" s="55">
        <f t="shared" si="15"/>
        <v>0</v>
      </c>
      <c r="K225" s="416">
        <f t="shared" si="16"/>
        <v>-1.1766943669631824</v>
      </c>
      <c r="L225" s="455"/>
    </row>
    <row r="226" spans="1:12" x14ac:dyDescent="0.25">
      <c r="A226" s="49">
        <f>'A) Base RI'!A228</f>
        <v>5759</v>
      </c>
      <c r="B226" s="292" t="str">
        <f>'A) Base RI'!B228</f>
        <v>Premier</v>
      </c>
      <c r="C226" s="95">
        <f>'B) D RI'!U228</f>
        <v>5307.4840251572332</v>
      </c>
      <c r="D226" s="415">
        <f>'E) Fact soc'!G232/C226</f>
        <v>17.379567989311617</v>
      </c>
      <c r="E226" s="136">
        <f>'H) Péréquation directe'!I237/C226</f>
        <v>-10.741141806129773</v>
      </c>
      <c r="F226" s="415">
        <f>+'I) Dépenses thématiques'!U226</f>
        <v>-10.511709986453683</v>
      </c>
      <c r="G226" s="136">
        <f t="shared" si="13"/>
        <v>-3.8732838032718391</v>
      </c>
      <c r="H226" s="416">
        <f>G226-'C) Prél. conj.'!I226</f>
        <v>-7.7425097684675848</v>
      </c>
      <c r="I226" s="420">
        <f t="shared" si="14"/>
        <v>0</v>
      </c>
      <c r="J226" s="55">
        <f t="shared" si="15"/>
        <v>0</v>
      </c>
      <c r="K226" s="416">
        <f t="shared" si="16"/>
        <v>-7.7425097684675848</v>
      </c>
      <c r="L226" s="455"/>
    </row>
    <row r="227" spans="1:12" x14ac:dyDescent="0.25">
      <c r="A227" s="49">
        <f>'A) Base RI'!A229</f>
        <v>5760</v>
      </c>
      <c r="B227" s="292" t="str">
        <f>'A) Base RI'!B229</f>
        <v>Rances</v>
      </c>
      <c r="C227" s="95">
        <f>'B) D RI'!U229</f>
        <v>12826.018997821348</v>
      </c>
      <c r="D227" s="415">
        <f>'E) Fact soc'!G233/C227</f>
        <v>17.75730010278803</v>
      </c>
      <c r="E227" s="136">
        <f>'H) Péréquation directe'!I238/C227</f>
        <v>-7.5519138086680844</v>
      </c>
      <c r="F227" s="415">
        <f>+'I) Dépenses thématiques'!U227</f>
        <v>-11.976699222946651</v>
      </c>
      <c r="G227" s="136">
        <f t="shared" si="13"/>
        <v>-1.7713129288267062</v>
      </c>
      <c r="H227" s="416">
        <f>G227-'C) Prél. conj.'!I227</f>
        <v>-6.0182710074988686</v>
      </c>
      <c r="I227" s="420">
        <f t="shared" si="14"/>
        <v>0</v>
      </c>
      <c r="J227" s="55">
        <f t="shared" si="15"/>
        <v>0</v>
      </c>
      <c r="K227" s="416">
        <f t="shared" si="16"/>
        <v>-6.0182710074988686</v>
      </c>
      <c r="L227" s="455"/>
    </row>
    <row r="228" spans="1:12" x14ac:dyDescent="0.25">
      <c r="A228" s="49">
        <f>'A) Base RI'!A230</f>
        <v>5761</v>
      </c>
      <c r="B228" s="292" t="str">
        <f>'A) Base RI'!B230</f>
        <v>Romainmôtier-Envy</v>
      </c>
      <c r="C228" s="95">
        <f>'B) D RI'!U230</f>
        <v>12135.004377104378</v>
      </c>
      <c r="D228" s="415">
        <f>'E) Fact soc'!G234/C228</f>
        <v>20.602078238267527</v>
      </c>
      <c r="E228" s="136">
        <f>'H) Péréquation directe'!I239/C228</f>
        <v>-14.733554711163082</v>
      </c>
      <c r="F228" s="415">
        <f>+'I) Dépenses thématiques'!U228</f>
        <v>-16.438681646769535</v>
      </c>
      <c r="G228" s="136">
        <f t="shared" si="13"/>
        <v>-10.57015811966509</v>
      </c>
      <c r="H228" s="416">
        <f>G228-'C) Prél. conj.'!I228</f>
        <v>-17.661894333816747</v>
      </c>
      <c r="I228" s="420">
        <f t="shared" si="14"/>
        <v>0</v>
      </c>
      <c r="J228" s="55">
        <f t="shared" si="15"/>
        <v>0</v>
      </c>
      <c r="K228" s="416">
        <f t="shared" si="16"/>
        <v>-17.661894333816747</v>
      </c>
      <c r="L228" s="455"/>
    </row>
    <row r="229" spans="1:12" x14ac:dyDescent="0.25">
      <c r="A229" s="49">
        <f>'A) Base RI'!A231</f>
        <v>5762</v>
      </c>
      <c r="B229" s="292" t="str">
        <f>'A) Base RI'!B231</f>
        <v>Sergey</v>
      </c>
      <c r="C229" s="95">
        <f>'B) D RI'!U231</f>
        <v>3773.0282051282052</v>
      </c>
      <c r="D229" s="415">
        <f>'E) Fact soc'!G235/C229</f>
        <v>13.51034202411587</v>
      </c>
      <c r="E229" s="136">
        <f>'H) Péréquation directe'!I240/C229</f>
        <v>-6.3778347228205856</v>
      </c>
      <c r="F229" s="415">
        <f>+'I) Dépenses thématiques'!U229</f>
        <v>-7.1466626140602552</v>
      </c>
      <c r="G229" s="136">
        <f t="shared" si="13"/>
        <v>-1.4155312764970951E-2</v>
      </c>
      <c r="H229" s="416">
        <f>G229-'C) Prél. conj.'!I229</f>
        <v>-1.4155312764970951E-2</v>
      </c>
      <c r="I229" s="420">
        <f t="shared" si="14"/>
        <v>0</v>
      </c>
      <c r="J229" s="55">
        <f t="shared" si="15"/>
        <v>0</v>
      </c>
      <c r="K229" s="416">
        <f t="shared" si="16"/>
        <v>-1.4155312764970951E-2</v>
      </c>
      <c r="L229" s="455"/>
    </row>
    <row r="230" spans="1:12" x14ac:dyDescent="0.25">
      <c r="A230" s="49">
        <f>'A) Base RI'!A232</f>
        <v>5763</v>
      </c>
      <c r="B230" s="292" t="str">
        <f>'A) Base RI'!B232</f>
        <v>Valeyres-sous-Rances</v>
      </c>
      <c r="C230" s="95">
        <f>'B) D RI'!U232</f>
        <v>20456.385294117645</v>
      </c>
      <c r="D230" s="415">
        <f>'E) Fact soc'!G236/C230</f>
        <v>14.845193201750467</v>
      </c>
      <c r="E230" s="136">
        <f>'H) Péréquation directe'!I241/C230</f>
        <v>7.420608445388905</v>
      </c>
      <c r="F230" s="415">
        <f>+'I) Dépenses thématiques'!U230</f>
        <v>-5.6434652361530731</v>
      </c>
      <c r="G230" s="136">
        <f t="shared" si="13"/>
        <v>16.6223364109863</v>
      </c>
      <c r="H230" s="416">
        <f>G230-'C) Prél. conj.'!I230</f>
        <v>15.287485233351703</v>
      </c>
      <c r="I230" s="420">
        <f t="shared" si="14"/>
        <v>0</v>
      </c>
      <c r="J230" s="55">
        <f t="shared" si="15"/>
        <v>0</v>
      </c>
      <c r="K230" s="416">
        <f t="shared" si="16"/>
        <v>15.287485233351703</v>
      </c>
      <c r="L230" s="455"/>
    </row>
    <row r="231" spans="1:12" x14ac:dyDescent="0.25">
      <c r="A231" s="49">
        <f>'A) Base RI'!A233</f>
        <v>5764</v>
      </c>
      <c r="B231" s="292" t="str">
        <f>'A) Base RI'!B233</f>
        <v>Vallorbe</v>
      </c>
      <c r="C231" s="95">
        <f>'B) D RI'!U233</f>
        <v>84310.704615384602</v>
      </c>
      <c r="D231" s="415">
        <f>'E) Fact soc'!G237/C231</f>
        <v>23.850437910835829</v>
      </c>
      <c r="E231" s="136">
        <f>'H) Péréquation directe'!I242/C231</f>
        <v>-20.570192191205894</v>
      </c>
      <c r="F231" s="415">
        <f>+'I) Dépenses thématiques'!U231</f>
        <v>-23.983134799672673</v>
      </c>
      <c r="G231" s="136">
        <f t="shared" si="13"/>
        <v>-20.702889080042738</v>
      </c>
      <c r="H231" s="416">
        <f>G231-'C) Prél. conj.'!I231</f>
        <v>-31.042984966762695</v>
      </c>
      <c r="I231" s="420">
        <f t="shared" si="14"/>
        <v>0</v>
      </c>
      <c r="J231" s="55">
        <f t="shared" si="15"/>
        <v>0</v>
      </c>
      <c r="K231" s="416">
        <f t="shared" si="16"/>
        <v>-31.042984966762695</v>
      </c>
      <c r="L231" s="455"/>
    </row>
    <row r="232" spans="1:12" x14ac:dyDescent="0.25">
      <c r="A232" s="49">
        <f>'A) Base RI'!A234</f>
        <v>5765</v>
      </c>
      <c r="B232" s="292" t="str">
        <f>'A) Base RI'!B234</f>
        <v>Vaulion</v>
      </c>
      <c r="C232" s="95">
        <f>'B) D RI'!U234</f>
        <v>11314.597037037036</v>
      </c>
      <c r="D232" s="415">
        <f>'E) Fact soc'!G238/C232</f>
        <v>19.269157365635373</v>
      </c>
      <c r="E232" s="136">
        <f>'H) Péréquation directe'!I243/C232</f>
        <v>-16.762637730058294</v>
      </c>
      <c r="F232" s="415">
        <f>+'I) Dépenses thématiques'!U232</f>
        <v>-13.704285666774867</v>
      </c>
      <c r="G232" s="136">
        <f t="shared" si="13"/>
        <v>-11.197766031197789</v>
      </c>
      <c r="H232" s="416">
        <f>G232-'C) Prél. conj.'!I232</f>
        <v>-16.956581372717292</v>
      </c>
      <c r="I232" s="420">
        <f t="shared" si="14"/>
        <v>0</v>
      </c>
      <c r="J232" s="55">
        <f t="shared" si="15"/>
        <v>0</v>
      </c>
      <c r="K232" s="416">
        <f t="shared" si="16"/>
        <v>-16.956581372717292</v>
      </c>
      <c r="L232" s="455"/>
    </row>
    <row r="233" spans="1:12" x14ac:dyDescent="0.25">
      <c r="A233" s="49">
        <f>'A) Base RI'!A235</f>
        <v>5766</v>
      </c>
      <c r="B233" s="292" t="str">
        <f>'A) Base RI'!B235</f>
        <v>Vuiteboeuf</v>
      </c>
      <c r="C233" s="95">
        <f>'B) D RI'!U235</f>
        <v>15993.559610389608</v>
      </c>
      <c r="D233" s="415">
        <f>'E) Fact soc'!G239/C233</f>
        <v>15.270033155145731</v>
      </c>
      <c r="E233" s="136">
        <f>'H) Péréquation directe'!I244/C233</f>
        <v>-3.4155776329604857</v>
      </c>
      <c r="F233" s="415">
        <f>+'I) Dépenses thématiques'!U233</f>
        <v>-7.0779048001375306</v>
      </c>
      <c r="G233" s="136">
        <f t="shared" si="13"/>
        <v>4.7765507220477135</v>
      </c>
      <c r="H233" s="416">
        <f>G233-'C) Prél. conj.'!I233</f>
        <v>3.0168595910178517</v>
      </c>
      <c r="I233" s="420">
        <f t="shared" si="14"/>
        <v>0</v>
      </c>
      <c r="J233" s="55">
        <f t="shared" si="15"/>
        <v>0</v>
      </c>
      <c r="K233" s="416">
        <f t="shared" si="16"/>
        <v>3.0168595910178517</v>
      </c>
      <c r="L233" s="455"/>
    </row>
    <row r="234" spans="1:12" x14ac:dyDescent="0.25">
      <c r="A234" s="49">
        <f>'A) Base RI'!A236</f>
        <v>5785</v>
      </c>
      <c r="B234" s="292" t="str">
        <f>'A) Base RI'!B236</f>
        <v>Corcelles-le-Jorat</v>
      </c>
      <c r="C234" s="95">
        <f>'B) D RI'!U236</f>
        <v>17506.662467532471</v>
      </c>
      <c r="D234" s="415">
        <f>'E) Fact soc'!G240/C234</f>
        <v>17.303052377853479</v>
      </c>
      <c r="E234" s="136">
        <f>'H) Péréquation directe'!I245/C234</f>
        <v>10.238878709702602</v>
      </c>
      <c r="F234" s="415">
        <f>+'I) Dépenses thématiques'!U234</f>
        <v>-3.7091180837342193</v>
      </c>
      <c r="G234" s="136">
        <f t="shared" si="13"/>
        <v>23.832813003821862</v>
      </c>
      <c r="H234" s="416">
        <f>G234-'C) Prél. conj.'!I234</f>
        <v>20.040102650084254</v>
      </c>
      <c r="I234" s="420">
        <f t="shared" si="14"/>
        <v>0</v>
      </c>
      <c r="J234" s="55">
        <f t="shared" si="15"/>
        <v>0</v>
      </c>
      <c r="K234" s="416">
        <f t="shared" si="16"/>
        <v>20.040102650084254</v>
      </c>
      <c r="L234" s="455"/>
    </row>
    <row r="235" spans="1:12" x14ac:dyDescent="0.25">
      <c r="A235" s="49">
        <f>'A) Base RI'!A237</f>
        <v>5788</v>
      </c>
      <c r="B235" s="292" t="str">
        <f>'A) Base RI'!B237</f>
        <v>Essertes</v>
      </c>
      <c r="C235" s="95">
        <f>'B) D RI'!U237</f>
        <v>16224.893706293702</v>
      </c>
      <c r="D235" s="415">
        <f>'E) Fact soc'!G241/C235</f>
        <v>15.774538983739081</v>
      </c>
      <c r="E235" s="136">
        <f>'H) Péréquation directe'!I246/C235</f>
        <v>13.014454646238775</v>
      </c>
      <c r="F235" s="415">
        <f>+'I) Dépenses thématiques'!U235</f>
        <v>-0.3737705695961131</v>
      </c>
      <c r="G235" s="136">
        <f t="shared" si="13"/>
        <v>28.415223060381742</v>
      </c>
      <c r="H235" s="416">
        <f>G235-'C) Prél. conj.'!I235</f>
        <v>26.151026100758529</v>
      </c>
      <c r="I235" s="420">
        <f t="shared" si="14"/>
        <v>0</v>
      </c>
      <c r="J235" s="55">
        <f t="shared" si="15"/>
        <v>0</v>
      </c>
      <c r="K235" s="416">
        <f t="shared" si="16"/>
        <v>26.151026100758529</v>
      </c>
      <c r="L235" s="455"/>
    </row>
    <row r="236" spans="1:12" x14ac:dyDescent="0.25">
      <c r="A236" s="49">
        <f>'A) Base RI'!A238</f>
        <v>5790</v>
      </c>
      <c r="B236" s="292" t="str">
        <f>'A) Base RI'!B238</f>
        <v>Maracon</v>
      </c>
      <c r="C236" s="95">
        <f>'B) D RI'!U238</f>
        <v>13398.084966442953</v>
      </c>
      <c r="D236" s="415">
        <f>'E) Fact soc'!G242/C236</f>
        <v>15.800346161038854</v>
      </c>
      <c r="E236" s="136">
        <f>'H) Péréquation directe'!I247/C236</f>
        <v>-6.6184548635339846</v>
      </c>
      <c r="F236" s="415">
        <f>+'I) Dépenses thématiques'!U236</f>
        <v>-4.4028113233411812</v>
      </c>
      <c r="G236" s="136">
        <f t="shared" si="13"/>
        <v>4.7790799741636878</v>
      </c>
      <c r="H236" s="416">
        <f>G236-'C) Prél. conj.'!I236</f>
        <v>2.489075837240704</v>
      </c>
      <c r="I236" s="420">
        <f t="shared" si="14"/>
        <v>0</v>
      </c>
      <c r="J236" s="55">
        <f t="shared" si="15"/>
        <v>0</v>
      </c>
      <c r="K236" s="416">
        <f t="shared" si="16"/>
        <v>2.489075837240704</v>
      </c>
      <c r="L236" s="455"/>
    </row>
    <row r="237" spans="1:12" x14ac:dyDescent="0.25">
      <c r="A237" s="49">
        <f>'A) Base RI'!A239</f>
        <v>5792</v>
      </c>
      <c r="B237" s="292" t="str">
        <f>'A) Base RI'!B239</f>
        <v>Montpreveyres</v>
      </c>
      <c r="C237" s="95">
        <f>'B) D RI'!U239</f>
        <v>17609.230799999998</v>
      </c>
      <c r="D237" s="415">
        <f>'E) Fact soc'!G243/C237</f>
        <v>16.68898001436812</v>
      </c>
      <c r="E237" s="136">
        <f>'H) Péréquation directe'!I248/C237</f>
        <v>-3.1780280063450421</v>
      </c>
      <c r="F237" s="415">
        <f>+'I) Dépenses thématiques'!U237</f>
        <v>-10.024038937578126</v>
      </c>
      <c r="G237" s="136">
        <f t="shared" si="13"/>
        <v>3.4869130704449525</v>
      </c>
      <c r="H237" s="416">
        <f>G237-'C) Prél. conj.'!I237</f>
        <v>0.30827508019270322</v>
      </c>
      <c r="I237" s="420">
        <f t="shared" si="14"/>
        <v>0</v>
      </c>
      <c r="J237" s="55">
        <f t="shared" si="15"/>
        <v>0</v>
      </c>
      <c r="K237" s="416">
        <f t="shared" si="16"/>
        <v>0.30827508019270322</v>
      </c>
      <c r="L237" s="455"/>
    </row>
    <row r="238" spans="1:12" x14ac:dyDescent="0.25">
      <c r="A238" s="49">
        <f>'A) Base RI'!A240</f>
        <v>5798</v>
      </c>
      <c r="B238" s="292" t="str">
        <f>'A) Base RI'!B240</f>
        <v>Ropraz</v>
      </c>
      <c r="C238" s="95">
        <f>'B) D RI'!U240</f>
        <v>15760.164903225806</v>
      </c>
      <c r="D238" s="415">
        <f>'E) Fact soc'!G244/C238</f>
        <v>16.114426451658865</v>
      </c>
      <c r="E238" s="136">
        <f>'H) Péréquation directe'!I249/C238</f>
        <v>0.21953519579026326</v>
      </c>
      <c r="F238" s="415">
        <f>+'I) Dépenses thématiques'!U238</f>
        <v>-3.6304036748330075</v>
      </c>
      <c r="G238" s="136">
        <f t="shared" si="13"/>
        <v>12.703557972616121</v>
      </c>
      <c r="H238" s="416">
        <f>G238-'C) Prél. conj.'!I238</f>
        <v>10.099473545073124</v>
      </c>
      <c r="I238" s="420">
        <f t="shared" si="14"/>
        <v>0</v>
      </c>
      <c r="J238" s="55">
        <f t="shared" si="15"/>
        <v>0</v>
      </c>
      <c r="K238" s="416">
        <f t="shared" si="16"/>
        <v>10.099473545073124</v>
      </c>
      <c r="L238" s="455"/>
    </row>
    <row r="239" spans="1:12" x14ac:dyDescent="0.25">
      <c r="A239" s="49">
        <f>'A) Base RI'!A241</f>
        <v>5799</v>
      </c>
      <c r="B239" s="292" t="str">
        <f>'A) Base RI'!B241</f>
        <v>Servion</v>
      </c>
      <c r="C239" s="95">
        <f>'B) D RI'!U241</f>
        <v>69387.22289855071</v>
      </c>
      <c r="D239" s="415">
        <f>'E) Fact soc'!G245/C239</f>
        <v>17.764613814638352</v>
      </c>
      <c r="E239" s="136">
        <f>'H) Péréquation directe'!I250/C239</f>
        <v>3.5660675410128548</v>
      </c>
      <c r="F239" s="415">
        <f>+'I) Dépenses thématiques'!U239</f>
        <v>-4.7415561376440047</v>
      </c>
      <c r="G239" s="136">
        <f t="shared" si="13"/>
        <v>16.589125218007204</v>
      </c>
      <c r="H239" s="416">
        <f>G239-'C) Prél. conj.'!I239</f>
        <v>12.33485342748472</v>
      </c>
      <c r="I239" s="420">
        <f t="shared" si="14"/>
        <v>0</v>
      </c>
      <c r="J239" s="55">
        <f t="shared" si="15"/>
        <v>0</v>
      </c>
      <c r="K239" s="416">
        <f t="shared" si="16"/>
        <v>12.33485342748472</v>
      </c>
      <c r="L239" s="455"/>
    </row>
    <row r="240" spans="1:12" x14ac:dyDescent="0.25">
      <c r="A240" s="49">
        <f>'A) Base RI'!A242</f>
        <v>5803</v>
      </c>
      <c r="B240" s="292" t="str">
        <f>'A) Base RI'!B242</f>
        <v>Vulliens</v>
      </c>
      <c r="C240" s="95">
        <f>'B) D RI'!U242</f>
        <v>18875.933421052636</v>
      </c>
      <c r="D240" s="415">
        <f>'E) Fact soc'!G246/C240</f>
        <v>15.217507666269475</v>
      </c>
      <c r="E240" s="136">
        <f>'H) Péréquation directe'!I251/C240</f>
        <v>1.3374711816878326</v>
      </c>
      <c r="F240" s="415">
        <f>+'I) Dépenses thématiques'!U240</f>
        <v>-4.3452393891374914</v>
      </c>
      <c r="G240" s="136">
        <f t="shared" si="13"/>
        <v>12.209739458819817</v>
      </c>
      <c r="H240" s="416">
        <f>G240-'C) Prél. conj.'!I240</f>
        <v>10.502573816666212</v>
      </c>
      <c r="I240" s="420">
        <f t="shared" si="14"/>
        <v>0</v>
      </c>
      <c r="J240" s="55">
        <f t="shared" si="15"/>
        <v>0</v>
      </c>
      <c r="K240" s="416">
        <f t="shared" si="16"/>
        <v>10.502573816666212</v>
      </c>
      <c r="L240" s="455"/>
    </row>
    <row r="241" spans="1:12" x14ac:dyDescent="0.25">
      <c r="A241" s="49">
        <f>'A) Base RI'!A243</f>
        <v>5804</v>
      </c>
      <c r="B241" s="292" t="str">
        <f>'A) Base RI'!B243</f>
        <v>Jorat-Menthue</v>
      </c>
      <c r="C241" s="95">
        <f>'B) D RI'!U243</f>
        <v>46692.865106382982</v>
      </c>
      <c r="D241" s="415">
        <f>'E) Fact soc'!G247/C241</f>
        <v>17.763763281250302</v>
      </c>
      <c r="E241" s="136">
        <f>'H) Péréquation directe'!I252/C241</f>
        <v>-0.98218194169385653</v>
      </c>
      <c r="F241" s="415">
        <f>+'I) Dépenses thématiques'!U241</f>
        <v>-10.583526185553355</v>
      </c>
      <c r="G241" s="136">
        <f t="shared" si="13"/>
        <v>6.1980551540030913</v>
      </c>
      <c r="H241" s="416">
        <f>G241-'C) Prél. conj.'!I241</f>
        <v>1.9446338968686581</v>
      </c>
      <c r="I241" s="420">
        <f t="shared" si="14"/>
        <v>0</v>
      </c>
      <c r="J241" s="55">
        <f t="shared" si="15"/>
        <v>0</v>
      </c>
      <c r="K241" s="416">
        <f t="shared" si="16"/>
        <v>1.9446338968686581</v>
      </c>
      <c r="L241" s="455"/>
    </row>
    <row r="242" spans="1:12" x14ac:dyDescent="0.25">
      <c r="A242" s="49">
        <f>'A) Base RI'!A244</f>
        <v>5805</v>
      </c>
      <c r="B242" s="292" t="str">
        <f>'A) Base RI'!B244</f>
        <v>Oron</v>
      </c>
      <c r="C242" s="95">
        <f>'B) D RI'!U244</f>
        <v>154727.47061923583</v>
      </c>
      <c r="D242" s="415">
        <f>'E) Fact soc'!G248/C242</f>
        <v>15.816237826406869</v>
      </c>
      <c r="E242" s="136">
        <f>'H) Péréquation directe'!I253/C242</f>
        <v>-9.6603855299323449</v>
      </c>
      <c r="F242" s="415">
        <f>+'I) Dépenses thématiques'!U242</f>
        <v>-5.8178142037867353</v>
      </c>
      <c r="G242" s="136">
        <f t="shared" si="13"/>
        <v>0.33803809268778906</v>
      </c>
      <c r="H242" s="416">
        <f>G242-'C) Prél. conj.'!I242</f>
        <v>-1.9678577096032113</v>
      </c>
      <c r="I242" s="420">
        <f t="shared" si="14"/>
        <v>0</v>
      </c>
      <c r="J242" s="55">
        <f t="shared" si="15"/>
        <v>0</v>
      </c>
      <c r="K242" s="416">
        <f t="shared" si="16"/>
        <v>-1.9678577096032113</v>
      </c>
      <c r="L242" s="455"/>
    </row>
    <row r="243" spans="1:12" x14ac:dyDescent="0.25">
      <c r="A243" s="49">
        <f>'A) Base RI'!A245</f>
        <v>5806</v>
      </c>
      <c r="B243" s="292" t="str">
        <f>'A) Base RI'!B245</f>
        <v>Jorat-Mézières</v>
      </c>
      <c r="C243" s="95">
        <f>'B) D RI'!U245</f>
        <v>91070.268493150696</v>
      </c>
      <c r="D243" s="415">
        <f>'E) Fact soc'!G249/C243</f>
        <v>16.504972264176171</v>
      </c>
      <c r="E243" s="136">
        <f>'H) Péréquation directe'!I254/C243</f>
        <v>-1.8532494941216116</v>
      </c>
      <c r="F243" s="415">
        <f>+'I) Dépenses thématiques'!U243</f>
        <v>-4.5391530724671787</v>
      </c>
      <c r="G243" s="136">
        <f t="shared" si="13"/>
        <v>10.112569697587382</v>
      </c>
      <c r="H243" s="416">
        <f>G243-'C) Prél. conj.'!I243</f>
        <v>7.11793945752708</v>
      </c>
      <c r="I243" s="420">
        <f t="shared" si="14"/>
        <v>0</v>
      </c>
      <c r="J243" s="55">
        <f t="shared" si="15"/>
        <v>0</v>
      </c>
      <c r="K243" s="416">
        <f t="shared" si="16"/>
        <v>7.11793945752708</v>
      </c>
      <c r="L243" s="455"/>
    </row>
    <row r="244" spans="1:12" x14ac:dyDescent="0.25">
      <c r="A244" s="49">
        <f>'A) Base RI'!A246</f>
        <v>5812</v>
      </c>
      <c r="B244" s="292" t="str">
        <f>'A) Base RI'!B246</f>
        <v>Champtauroz</v>
      </c>
      <c r="C244" s="95">
        <f>'B) D RI'!U246</f>
        <v>2503.1327272727272</v>
      </c>
      <c r="D244" s="415">
        <f>'E) Fact soc'!G250/C244</f>
        <v>18.850640145088644</v>
      </c>
      <c r="E244" s="136">
        <f>'H) Péréquation directe'!I255/C244</f>
        <v>-30.098545654337922</v>
      </c>
      <c r="F244" s="415">
        <f>+'I) Dépenses thématiques'!U244</f>
        <v>-11.827660320921494</v>
      </c>
      <c r="G244" s="136">
        <f t="shared" si="13"/>
        <v>-23.075565830170774</v>
      </c>
      <c r="H244" s="416">
        <f>G244-'C) Prél. conj.'!I244</f>
        <v>-28.41586395114355</v>
      </c>
      <c r="I244" s="420">
        <f t="shared" si="14"/>
        <v>0</v>
      </c>
      <c r="J244" s="55">
        <f t="shared" si="15"/>
        <v>0</v>
      </c>
      <c r="K244" s="416">
        <f t="shared" si="16"/>
        <v>-28.41586395114355</v>
      </c>
      <c r="L244" s="455"/>
    </row>
    <row r="245" spans="1:12" x14ac:dyDescent="0.25">
      <c r="A245" s="49">
        <f>'A) Base RI'!A247</f>
        <v>5813</v>
      </c>
      <c r="B245" s="292" t="str">
        <f>'A) Base RI'!B247</f>
        <v>Chevroux</v>
      </c>
      <c r="C245" s="95">
        <f>'B) D RI'!U247</f>
        <v>15179.777080291971</v>
      </c>
      <c r="D245" s="415">
        <f>'E) Fact soc'!G251/C245</f>
        <v>15.262569666149755</v>
      </c>
      <c r="E245" s="136">
        <f>'H) Péréquation directe'!I256/C245</f>
        <v>4.3757949975064685</v>
      </c>
      <c r="F245" s="415">
        <f>+'I) Dépenses thématiques'!U245</f>
        <v>-21.553023195776426</v>
      </c>
      <c r="G245" s="136">
        <f t="shared" si="13"/>
        <v>-1.9146585321202032</v>
      </c>
      <c r="H245" s="416">
        <f>G245-'C) Prél. conj.'!I245</f>
        <v>-3.6668861741540875</v>
      </c>
      <c r="I245" s="420">
        <f t="shared" si="14"/>
        <v>0</v>
      </c>
      <c r="J245" s="55">
        <f t="shared" si="15"/>
        <v>0</v>
      </c>
      <c r="K245" s="416">
        <f t="shared" si="16"/>
        <v>-3.6668861741540875</v>
      </c>
      <c r="L245" s="455"/>
    </row>
    <row r="246" spans="1:12" x14ac:dyDescent="0.25">
      <c r="A246" s="49">
        <f>'A) Base RI'!A248</f>
        <v>5816</v>
      </c>
      <c r="B246" s="292" t="str">
        <f>'A) Base RI'!B248</f>
        <v>Corcelles-près-Payerne</v>
      </c>
      <c r="C246" s="95">
        <f>'B) D RI'!U248</f>
        <v>60528.996913451512</v>
      </c>
      <c r="D246" s="415">
        <f>'E) Fact soc'!G252/C246</f>
        <v>16.449490433503502</v>
      </c>
      <c r="E246" s="136">
        <f>'H) Péréquation directe'!I257/C246</f>
        <v>-13.866157402905012</v>
      </c>
      <c r="F246" s="415">
        <f>+'I) Dépenses thématiques'!U246</f>
        <v>-5.5760013502600323</v>
      </c>
      <c r="G246" s="136">
        <f t="shared" si="13"/>
        <v>-2.9926683196615418</v>
      </c>
      <c r="H246" s="416">
        <f>G246-'C) Prél. conj.'!I246</f>
        <v>-5.9318167290491752</v>
      </c>
      <c r="I246" s="420">
        <f t="shared" si="14"/>
        <v>0</v>
      </c>
      <c r="J246" s="55">
        <f t="shared" si="15"/>
        <v>0</v>
      </c>
      <c r="K246" s="416">
        <f t="shared" si="16"/>
        <v>-5.9318167290491752</v>
      </c>
      <c r="L246" s="455"/>
    </row>
    <row r="247" spans="1:12" x14ac:dyDescent="0.25">
      <c r="A247" s="49">
        <f>'A) Base RI'!A249</f>
        <v>5817</v>
      </c>
      <c r="B247" s="292" t="str">
        <f>'A) Base RI'!B249</f>
        <v>Grandcour</v>
      </c>
      <c r="C247" s="95">
        <f>'B) D RI'!U249</f>
        <v>21854.748299319726</v>
      </c>
      <c r="D247" s="415">
        <f>'E) Fact soc'!G253/C247</f>
        <v>14.759357095172517</v>
      </c>
      <c r="E247" s="136">
        <f>'H) Péréquation directe'!I258/C247</f>
        <v>-10.842889442296931</v>
      </c>
      <c r="F247" s="415">
        <f>+'I) Dépenses thématiques'!U247</f>
        <v>-6.7580828182857262</v>
      </c>
      <c r="G247" s="136">
        <f t="shared" si="13"/>
        <v>-2.8416151654101407</v>
      </c>
      <c r="H247" s="416">
        <f>G247-'C) Prél. conj.'!I247</f>
        <v>-4.0906302364667892</v>
      </c>
      <c r="I247" s="420">
        <f t="shared" si="14"/>
        <v>0</v>
      </c>
      <c r="J247" s="55">
        <f t="shared" si="15"/>
        <v>0</v>
      </c>
      <c r="K247" s="416">
        <f t="shared" si="16"/>
        <v>-4.0906302364667892</v>
      </c>
      <c r="L247" s="455"/>
    </row>
    <row r="248" spans="1:12" x14ac:dyDescent="0.25">
      <c r="A248" s="49">
        <f>'A) Base RI'!A250</f>
        <v>5819</v>
      </c>
      <c r="B248" s="292" t="str">
        <f>'A) Base RI'!B250</f>
        <v>Henniez</v>
      </c>
      <c r="C248" s="95">
        <f>'B) D RI'!U250</f>
        <v>11468.217826086959</v>
      </c>
      <c r="D248" s="415">
        <f>'E) Fact soc'!G254/C248</f>
        <v>15.329008212384155</v>
      </c>
      <c r="E248" s="136">
        <f>'H) Péréquation directe'!I259/C248</f>
        <v>2.2126190092065574</v>
      </c>
      <c r="F248" s="415">
        <f>+'I) Dépenses thématiques'!U248</f>
        <v>-8.8297453518136919</v>
      </c>
      <c r="G248" s="136">
        <f t="shared" si="13"/>
        <v>8.7118818697770202</v>
      </c>
      <c r="H248" s="416">
        <f>G248-'C) Prél. conj.'!I248</f>
        <v>6.8932156815087327</v>
      </c>
      <c r="I248" s="420">
        <f t="shared" si="14"/>
        <v>0</v>
      </c>
      <c r="J248" s="55">
        <f t="shared" si="15"/>
        <v>0</v>
      </c>
      <c r="K248" s="416">
        <f t="shared" si="16"/>
        <v>6.8932156815087327</v>
      </c>
      <c r="L248" s="455"/>
    </row>
    <row r="249" spans="1:12" x14ac:dyDescent="0.25">
      <c r="A249" s="49">
        <f>'A) Base RI'!A251</f>
        <v>5821</v>
      </c>
      <c r="B249" s="292" t="str">
        <f>'A) Base RI'!B251</f>
        <v>Missy</v>
      </c>
      <c r="C249" s="95">
        <f>'B) D RI'!U251</f>
        <v>7872.7337500000012</v>
      </c>
      <c r="D249" s="415">
        <f>'E) Fact soc'!G255/C249</f>
        <v>15.545232382245914</v>
      </c>
      <c r="E249" s="136">
        <f>'H) Péréquation directe'!I260/C249</f>
        <v>-12.663411721593526</v>
      </c>
      <c r="F249" s="415">
        <f>+'I) Dépenses thématiques'!U249</f>
        <v>-2.4584341493829878</v>
      </c>
      <c r="G249" s="136">
        <f t="shared" si="13"/>
        <v>0.42338651126939952</v>
      </c>
      <c r="H249" s="416">
        <f>G249-'C) Prél. conj.'!I249</f>
        <v>-1.6115038468606464</v>
      </c>
      <c r="I249" s="420">
        <f t="shared" si="14"/>
        <v>0</v>
      </c>
      <c r="J249" s="55">
        <f t="shared" si="15"/>
        <v>0</v>
      </c>
      <c r="K249" s="416">
        <f t="shared" si="16"/>
        <v>-1.6115038468606464</v>
      </c>
      <c r="L249" s="455"/>
    </row>
    <row r="250" spans="1:12" x14ac:dyDescent="0.25">
      <c r="A250" s="49">
        <f>'A) Base RI'!A252</f>
        <v>5822</v>
      </c>
      <c r="B250" s="292" t="str">
        <f>'A) Base RI'!B252</f>
        <v>Payerne</v>
      </c>
      <c r="C250" s="95">
        <f>'B) D RI'!U252</f>
        <v>237851.57178082189</v>
      </c>
      <c r="D250" s="415">
        <f>'E) Fact soc'!G256/C250</f>
        <v>16.984683580124166</v>
      </c>
      <c r="E250" s="136">
        <f>'H) Péréquation directe'!I261/C250</f>
        <v>-24.770203153442818</v>
      </c>
      <c r="F250" s="415">
        <f>+'I) Dépenses thématiques'!U250</f>
        <v>-7.1618375550815641</v>
      </c>
      <c r="G250" s="136">
        <f t="shared" si="13"/>
        <v>-14.947357128400217</v>
      </c>
      <c r="H250" s="416">
        <f>G250-'C) Prél. conj.'!I250</f>
        <v>-18.421698684408515</v>
      </c>
      <c r="I250" s="420">
        <f t="shared" si="14"/>
        <v>0</v>
      </c>
      <c r="J250" s="55">
        <f t="shared" si="15"/>
        <v>0</v>
      </c>
      <c r="K250" s="416">
        <f t="shared" si="16"/>
        <v>-18.421698684408515</v>
      </c>
      <c r="L250" s="455"/>
    </row>
    <row r="251" spans="1:12" x14ac:dyDescent="0.25">
      <c r="A251" s="49">
        <f>'A) Base RI'!A253</f>
        <v>5827</v>
      </c>
      <c r="B251" s="292" t="str">
        <f>'A) Base RI'!B253</f>
        <v>Trey</v>
      </c>
      <c r="C251" s="95">
        <f>'B) D RI'!U253</f>
        <v>6163.6291025641031</v>
      </c>
      <c r="D251" s="415">
        <f>'E) Fact soc'!G257/C251</f>
        <v>15.613765962231581</v>
      </c>
      <c r="E251" s="136">
        <f>'H) Péréquation directe'!I262/C251</f>
        <v>-20.111810507540561</v>
      </c>
      <c r="F251" s="415">
        <f>+'I) Dépenses thématiques'!U251</f>
        <v>-8.8563449351465344</v>
      </c>
      <c r="G251" s="136">
        <f t="shared" si="13"/>
        <v>-13.354389480455515</v>
      </c>
      <c r="H251" s="416">
        <f>G251-'C) Prél. conj.'!I251</f>
        <v>-15.457813418571227</v>
      </c>
      <c r="I251" s="420">
        <f t="shared" si="14"/>
        <v>0</v>
      </c>
      <c r="J251" s="55">
        <f t="shared" si="15"/>
        <v>0</v>
      </c>
      <c r="K251" s="416">
        <f t="shared" si="16"/>
        <v>-15.457813418571227</v>
      </c>
      <c r="L251" s="455"/>
    </row>
    <row r="252" spans="1:12" x14ac:dyDescent="0.25">
      <c r="A252" s="49">
        <f>'A) Base RI'!A254</f>
        <v>5828</v>
      </c>
      <c r="B252" s="292" t="str">
        <f>'A) Base RI'!B254</f>
        <v>Treytorrens (Payerne)</v>
      </c>
      <c r="C252" s="95">
        <f>'B) D RI'!U254</f>
        <v>2288.4160317460314</v>
      </c>
      <c r="D252" s="415">
        <f>'E) Fact soc'!G258/C252</f>
        <v>14.832020406910763</v>
      </c>
      <c r="E252" s="136">
        <f>'H) Péréquation directe'!I263/C252</f>
        <v>-26.634407476684004</v>
      </c>
      <c r="F252" s="415">
        <f>+'I) Dépenses thématiques'!U252</f>
        <v>-11.332267134104889</v>
      </c>
      <c r="G252" s="136">
        <f t="shared" si="13"/>
        <v>-23.134654203878128</v>
      </c>
      <c r="H252" s="416">
        <f>G252-'C) Prél. conj.'!I252</f>
        <v>-24.456332586673021</v>
      </c>
      <c r="I252" s="420">
        <f t="shared" si="14"/>
        <v>0</v>
      </c>
      <c r="J252" s="55">
        <f t="shared" si="15"/>
        <v>0</v>
      </c>
      <c r="K252" s="416">
        <f t="shared" si="16"/>
        <v>-24.456332586673021</v>
      </c>
      <c r="L252" s="455"/>
    </row>
    <row r="253" spans="1:12" x14ac:dyDescent="0.25">
      <c r="A253" s="49">
        <f>'A) Base RI'!A255</f>
        <v>5830</v>
      </c>
      <c r="B253" s="292" t="str">
        <f>'A) Base RI'!B255</f>
        <v>Villarzel</v>
      </c>
      <c r="C253" s="95">
        <f>'B) D RI'!U255</f>
        <v>12470.916233766235</v>
      </c>
      <c r="D253" s="415">
        <f>'E) Fact soc'!G259/C253</f>
        <v>16.788912277782959</v>
      </c>
      <c r="E253" s="136">
        <f>'H) Péréquation directe'!I264/C253</f>
        <v>-5.6178186741706897</v>
      </c>
      <c r="F253" s="415">
        <f>+'I) Dépenses thématiques'!U253</f>
        <v>-7.442596907683023</v>
      </c>
      <c r="G253" s="136">
        <f t="shared" si="13"/>
        <v>3.7284966959292474</v>
      </c>
      <c r="H253" s="416">
        <f>G253-'C) Prél. conj.'!I253</f>
        <v>0.44992644226215672</v>
      </c>
      <c r="I253" s="420">
        <f t="shared" si="14"/>
        <v>0</v>
      </c>
      <c r="J253" s="55">
        <f t="shared" si="15"/>
        <v>0</v>
      </c>
      <c r="K253" s="416">
        <f t="shared" si="16"/>
        <v>0.44992644226215672</v>
      </c>
      <c r="L253" s="455"/>
    </row>
    <row r="254" spans="1:12" x14ac:dyDescent="0.25">
      <c r="A254" s="49">
        <f>'A) Base RI'!A256</f>
        <v>5831</v>
      </c>
      <c r="B254" s="292" t="str">
        <f>'A) Base RI'!B256</f>
        <v>Valbroye</v>
      </c>
      <c r="C254" s="95">
        <f>'B) D RI'!U256</f>
        <v>83756.732765957451</v>
      </c>
      <c r="D254" s="415">
        <f>'E) Fact soc'!G260/C254</f>
        <v>16.533897703008464</v>
      </c>
      <c r="E254" s="136">
        <f>'H) Péréquation directe'!I265/C254</f>
        <v>-11.556762995887395</v>
      </c>
      <c r="F254" s="415">
        <f>+'I) Dépenses thématiques'!U254</f>
        <v>-9.4022931339118969</v>
      </c>
      <c r="G254" s="136">
        <f t="shared" si="13"/>
        <v>-4.4251584267908282</v>
      </c>
      <c r="H254" s="416">
        <f>G254-'C) Prél. conj.'!I254</f>
        <v>-7.4487141056834218</v>
      </c>
      <c r="I254" s="420">
        <f t="shared" si="14"/>
        <v>0</v>
      </c>
      <c r="J254" s="55">
        <f t="shared" si="15"/>
        <v>0</v>
      </c>
      <c r="K254" s="416">
        <f t="shared" si="16"/>
        <v>-7.4487141056834218</v>
      </c>
      <c r="L254" s="455"/>
    </row>
    <row r="255" spans="1:12" x14ac:dyDescent="0.25">
      <c r="A255" s="49">
        <f>'A) Base RI'!A257</f>
        <v>5841</v>
      </c>
      <c r="B255" s="292" t="str">
        <f>'A) Base RI'!B257</f>
        <v>Château-d'Oex</v>
      </c>
      <c r="C255" s="95">
        <f>'B) D RI'!U257</f>
        <v>108658.39067484663</v>
      </c>
      <c r="D255" s="415">
        <f>'E) Fact soc'!G261/C255</f>
        <v>21.018035722995986</v>
      </c>
      <c r="E255" s="136">
        <f>'H) Péréquation directe'!I266/C255</f>
        <v>-5.2506488256420187</v>
      </c>
      <c r="F255" s="415">
        <f>+'I) Dépenses thématiques'!U255</f>
        <v>-19.02649572767417</v>
      </c>
      <c r="G255" s="136">
        <f t="shared" si="13"/>
        <v>-3.2591088303202032</v>
      </c>
      <c r="H255" s="416">
        <f>G255-'C) Prél. conj.'!I255</f>
        <v>-10.766802529200319</v>
      </c>
      <c r="I255" s="420">
        <f t="shared" si="14"/>
        <v>0</v>
      </c>
      <c r="J255" s="55">
        <f t="shared" si="15"/>
        <v>0</v>
      </c>
      <c r="K255" s="416">
        <f t="shared" si="16"/>
        <v>-10.766802529200319</v>
      </c>
      <c r="L255" s="455"/>
    </row>
    <row r="256" spans="1:12" x14ac:dyDescent="0.25">
      <c r="A256" s="49">
        <f>'A) Base RI'!A258</f>
        <v>5842</v>
      </c>
      <c r="B256" s="292" t="str">
        <f>'A) Base RI'!B258</f>
        <v>Rossinière</v>
      </c>
      <c r="C256" s="95">
        <f>'B) D RI'!U258</f>
        <v>14509.951028806583</v>
      </c>
      <c r="D256" s="415">
        <f>'E) Fact soc'!G262/C256</f>
        <v>15.998877300927886</v>
      </c>
      <c r="E256" s="136">
        <f>'H) Péréquation directe'!I267/C256</f>
        <v>-6.0279917292402638</v>
      </c>
      <c r="F256" s="415">
        <f>+'I) Dépenses thématiques'!U256</f>
        <v>-26.245146732137655</v>
      </c>
      <c r="G256" s="136">
        <f t="shared" si="13"/>
        <v>-16.274261160450035</v>
      </c>
      <c r="H256" s="416">
        <f>G256-'C) Prél. conj.'!I256</f>
        <v>-18.76279643726205</v>
      </c>
      <c r="I256" s="420">
        <f t="shared" si="14"/>
        <v>0</v>
      </c>
      <c r="J256" s="55">
        <f t="shared" si="15"/>
        <v>0</v>
      </c>
      <c r="K256" s="416">
        <f t="shared" si="16"/>
        <v>-18.76279643726205</v>
      </c>
      <c r="L256" s="455"/>
    </row>
    <row r="257" spans="1:13" x14ac:dyDescent="0.25">
      <c r="A257" s="49">
        <f>'A) Base RI'!A259</f>
        <v>5843</v>
      </c>
      <c r="B257" s="292" t="str">
        <f>'A) Base RI'!B259</f>
        <v>Rougemont</v>
      </c>
      <c r="C257" s="95">
        <f>'B) D RI'!U259</f>
        <v>100468.99797297297</v>
      </c>
      <c r="D257" s="415">
        <f>'E) Fact soc'!G263/C257</f>
        <v>36.334498585391344</v>
      </c>
      <c r="E257" s="136">
        <f>'H) Péréquation directe'!I268/C257</f>
        <v>18.098970784626339</v>
      </c>
      <c r="F257" s="415">
        <f>+'I) Dépenses thématiques'!U257</f>
        <v>-0.70442637619617499</v>
      </c>
      <c r="G257" s="136">
        <f t="shared" si="13"/>
        <v>53.729042993821508</v>
      </c>
      <c r="H257" s="416">
        <f>G257-'C) Prél. conj.'!I257</f>
        <v>47.390616585196341</v>
      </c>
      <c r="I257" s="420">
        <f t="shared" si="14"/>
        <v>0</v>
      </c>
      <c r="J257" s="55">
        <f t="shared" si="15"/>
        <v>0</v>
      </c>
      <c r="K257" s="416">
        <f t="shared" si="16"/>
        <v>47.390616585196341</v>
      </c>
      <c r="L257" s="455"/>
    </row>
    <row r="258" spans="1:13" x14ac:dyDescent="0.25">
      <c r="A258" s="49">
        <f>'A) Base RI'!A260</f>
        <v>5851</v>
      </c>
      <c r="B258" s="292" t="str">
        <f>'A) Base RI'!B260</f>
        <v>Allaman</v>
      </c>
      <c r="C258" s="95">
        <f>'B) D RI'!U260</f>
        <v>24314.213954545452</v>
      </c>
      <c r="D258" s="415">
        <f>'E) Fact soc'!G264/C258</f>
        <v>15.892567698651819</v>
      </c>
      <c r="E258" s="136">
        <f>'H) Péréquation directe'!I269/C258</f>
        <v>16.904898889737193</v>
      </c>
      <c r="F258" s="415">
        <f>+'I) Dépenses thématiques'!U258</f>
        <v>0</v>
      </c>
      <c r="G258" s="136">
        <f t="shared" si="13"/>
        <v>32.797466588389014</v>
      </c>
      <c r="H258" s="416">
        <f>G258-'C) Prél. conj.'!I258</f>
        <v>31.883611834888086</v>
      </c>
      <c r="I258" s="420">
        <f t="shared" si="14"/>
        <v>0</v>
      </c>
      <c r="J258" s="55">
        <f t="shared" si="15"/>
        <v>0</v>
      </c>
      <c r="K258" s="416">
        <f t="shared" si="16"/>
        <v>31.883611834888086</v>
      </c>
      <c r="L258" s="455"/>
    </row>
    <row r="259" spans="1:13" x14ac:dyDescent="0.25">
      <c r="A259" s="49">
        <f>'A) Base RI'!A261</f>
        <v>5852</v>
      </c>
      <c r="B259" s="292" t="str">
        <f>'A) Base RI'!B261</f>
        <v>Bursinel</v>
      </c>
      <c r="C259" s="95">
        <f>'B) D RI'!U261</f>
        <v>40706.215623409669</v>
      </c>
      <c r="D259" s="415">
        <f>'E) Fact soc'!G265/C259</f>
        <v>22.808280633963843</v>
      </c>
      <c r="E259" s="136">
        <f>'H) Péréquation directe'!I270/C259</f>
        <v>17.668423374959335</v>
      </c>
      <c r="F259" s="415">
        <f>+'I) Dépenses thématiques'!U259</f>
        <v>0</v>
      </c>
      <c r="G259" s="136">
        <f t="shared" si="13"/>
        <v>40.476704008923178</v>
      </c>
      <c r="H259" s="416">
        <f>G259-'C) Prél. conj.'!I259</f>
        <v>39.492044187661151</v>
      </c>
      <c r="I259" s="420">
        <f t="shared" si="14"/>
        <v>0</v>
      </c>
      <c r="J259" s="55">
        <f t="shared" si="15"/>
        <v>0</v>
      </c>
      <c r="K259" s="416">
        <f t="shared" si="16"/>
        <v>39.492044187661151</v>
      </c>
      <c r="L259" s="455"/>
    </row>
    <row r="260" spans="1:13" x14ac:dyDescent="0.25">
      <c r="A260" s="49">
        <f>'A) Base RI'!A262</f>
        <v>5853</v>
      </c>
      <c r="B260" s="292" t="str">
        <f>'A) Base RI'!B262</f>
        <v>Bursins</v>
      </c>
      <c r="C260" s="95">
        <f>'B) D RI'!U262</f>
        <v>42015.881830985905</v>
      </c>
      <c r="D260" s="415">
        <f>'E) Fact soc'!G266/C260</f>
        <v>100.40551721216612</v>
      </c>
      <c r="E260" s="136">
        <f>'H) Péréquation directe'!I271/C260</f>
        <v>16.882826758116511</v>
      </c>
      <c r="F260" s="415">
        <f>+'I) Dépenses thématiques'!U260</f>
        <v>-0.10480176625766292</v>
      </c>
      <c r="G260" s="136">
        <f t="shared" si="13"/>
        <v>117.18354220402496</v>
      </c>
      <c r="H260" s="416">
        <f>G260-'C) Prél. conj.'!I260</f>
        <v>31.904179761665318</v>
      </c>
      <c r="I260" s="420">
        <f t="shared" si="14"/>
        <v>0</v>
      </c>
      <c r="J260" s="55">
        <f t="shared" si="15"/>
        <v>0</v>
      </c>
      <c r="K260" s="416">
        <f t="shared" si="16"/>
        <v>31.904179761665318</v>
      </c>
      <c r="L260" s="455"/>
    </row>
    <row r="261" spans="1:13" x14ac:dyDescent="0.25">
      <c r="A261" s="49">
        <f>'A) Base RI'!A263</f>
        <v>5854</v>
      </c>
      <c r="B261" s="292" t="str">
        <f>'A) Base RI'!B263</f>
        <v>Burtigny</v>
      </c>
      <c r="C261" s="95">
        <f>'B) D RI'!U263</f>
        <v>10782.893958333336</v>
      </c>
      <c r="D261" s="415">
        <f>'E) Fact soc'!G267/C261</f>
        <v>19.112645564652325</v>
      </c>
      <c r="E261" s="136">
        <f>'H) Péréquation directe'!I272/C261</f>
        <v>-6.1452248078679901</v>
      </c>
      <c r="F261" s="415">
        <f>+'I) Dépenses thématiques'!U261</f>
        <v>-3.4058079327459434</v>
      </c>
      <c r="G261" s="136">
        <f t="shared" si="13"/>
        <v>9.5616128240383915</v>
      </c>
      <c r="H261" s="416">
        <f>G261-'C) Prél. conj.'!I261</f>
        <v>3.9593092835019359</v>
      </c>
      <c r="I261" s="420">
        <f t="shared" si="14"/>
        <v>0</v>
      </c>
      <c r="J261" s="55">
        <f t="shared" si="15"/>
        <v>0</v>
      </c>
      <c r="K261" s="416">
        <f t="shared" si="16"/>
        <v>3.9593092835019359</v>
      </c>
      <c r="L261" s="455"/>
    </row>
    <row r="262" spans="1:13" x14ac:dyDescent="0.25">
      <c r="A262" s="49">
        <f>'A) Base RI'!A264</f>
        <v>5855</v>
      </c>
      <c r="B262" s="292" t="str">
        <f>'A) Base RI'!B264</f>
        <v>Dully</v>
      </c>
      <c r="C262" s="95">
        <f>'B) D RI'!U264</f>
        <v>98158.514897959176</v>
      </c>
      <c r="D262" s="415">
        <f>'E) Fact soc'!G268/C262</f>
        <v>31.022541877730916</v>
      </c>
      <c r="E262" s="136">
        <f>'H) Péréquation directe'!I273/C262</f>
        <v>18.370753105111785</v>
      </c>
      <c r="F262" s="415">
        <f>+'I) Dépenses thématiques'!U262</f>
        <v>0</v>
      </c>
      <c r="G262" s="136">
        <f t="shared" ref="G262:G313" si="17">SUM(D262:F262)</f>
        <v>49.393294982842704</v>
      </c>
      <c r="H262" s="416">
        <f>G262-'C) Prél. conj.'!I262</f>
        <v>46.633366154644506</v>
      </c>
      <c r="I262" s="420">
        <f t="shared" ref="I262:I313" si="18">IF(H262&gt;I$4,I$4-H262,0)</f>
        <v>0</v>
      </c>
      <c r="J262" s="55">
        <f t="shared" ref="J262:J313" si="19">I262*C262</f>
        <v>0</v>
      </c>
      <c r="K262" s="416">
        <f t="shared" ref="K262:K313" si="20">H262+I262</f>
        <v>46.633366154644506</v>
      </c>
      <c r="L262" s="455"/>
      <c r="M262" s="411"/>
    </row>
    <row r="263" spans="1:13" x14ac:dyDescent="0.25">
      <c r="A263" s="49">
        <f>'A) Base RI'!A265</f>
        <v>5856</v>
      </c>
      <c r="B263" s="292" t="str">
        <f>'A) Base RI'!B265</f>
        <v>Essertines-sur-Rolle</v>
      </c>
      <c r="C263" s="95">
        <f>'B) D RI'!U265</f>
        <v>35711.648536726432</v>
      </c>
      <c r="D263" s="415">
        <f>'E) Fact soc'!G269/C263</f>
        <v>17.450825873641048</v>
      </c>
      <c r="E263" s="136">
        <f>'H) Péréquation directe'!I274/C263</f>
        <v>16.594698870036467</v>
      </c>
      <c r="F263" s="415">
        <f>+'I) Dépenses thématiques'!U263</f>
        <v>0</v>
      </c>
      <c r="G263" s="136">
        <f t="shared" si="17"/>
        <v>34.045524743677518</v>
      </c>
      <c r="H263" s="416">
        <f>G263-'C) Prél. conj.'!I263</f>
        <v>30.129742898541267</v>
      </c>
      <c r="I263" s="420">
        <f t="shared" si="18"/>
        <v>0</v>
      </c>
      <c r="J263" s="55">
        <f t="shared" si="19"/>
        <v>0</v>
      </c>
      <c r="K263" s="416">
        <f t="shared" si="20"/>
        <v>30.129742898541267</v>
      </c>
      <c r="L263" s="455"/>
    </row>
    <row r="264" spans="1:13" x14ac:dyDescent="0.25">
      <c r="A264" s="49">
        <f>'A) Base RI'!A266</f>
        <v>5857</v>
      </c>
      <c r="B264" s="292" t="str">
        <f>'A) Base RI'!B266</f>
        <v>Gilly</v>
      </c>
      <c r="C264" s="95">
        <f>'B) D RI'!U266</f>
        <v>82128.423720930223</v>
      </c>
      <c r="D264" s="415">
        <f>'E) Fact soc'!G270/C264</f>
        <v>17.314583586889263</v>
      </c>
      <c r="E264" s="136">
        <f>'H) Péréquation directe'!I275/C264</f>
        <v>15.844993702372973</v>
      </c>
      <c r="F264" s="415">
        <f>+'I) Dépenses thématiques'!U264</f>
        <v>0</v>
      </c>
      <c r="G264" s="136">
        <f t="shared" si="17"/>
        <v>33.159577289262238</v>
      </c>
      <c r="H264" s="416">
        <f>G264-'C) Prél. conj.'!I264</f>
        <v>31.451070250617583</v>
      </c>
      <c r="I264" s="420">
        <f t="shared" si="18"/>
        <v>0</v>
      </c>
      <c r="J264" s="55">
        <f t="shared" si="19"/>
        <v>0</v>
      </c>
      <c r="K264" s="416">
        <f t="shared" si="20"/>
        <v>31.451070250617583</v>
      </c>
      <c r="L264" s="455"/>
    </row>
    <row r="265" spans="1:13" x14ac:dyDescent="0.25">
      <c r="A265" s="49">
        <f>'A) Base RI'!A267</f>
        <v>5858</v>
      </c>
      <c r="B265" s="292" t="str">
        <f>'A) Base RI'!B267</f>
        <v>Luins</v>
      </c>
      <c r="C265" s="95">
        <f>'B) D RI'!U267</f>
        <v>40290.677378917375</v>
      </c>
      <c r="D265" s="415">
        <f>'E) Fact soc'!G271/C265</f>
        <v>18.660225654815818</v>
      </c>
      <c r="E265" s="136">
        <f>'H) Péréquation directe'!I276/C265</f>
        <v>17.259080176789141</v>
      </c>
      <c r="F265" s="415">
        <f>+'I) Dépenses thématiques'!U265</f>
        <v>0</v>
      </c>
      <c r="G265" s="136">
        <f t="shared" si="17"/>
        <v>35.919305831604959</v>
      </c>
      <c r="H265" s="416">
        <f>G265-'C) Prél. conj.'!I265</f>
        <v>34.465819099444843</v>
      </c>
      <c r="I265" s="420">
        <f t="shared" si="18"/>
        <v>0</v>
      </c>
      <c r="J265" s="55">
        <f t="shared" si="19"/>
        <v>0</v>
      </c>
      <c r="K265" s="416">
        <f t="shared" si="20"/>
        <v>34.465819099444843</v>
      </c>
      <c r="L265" s="455"/>
    </row>
    <row r="266" spans="1:13" x14ac:dyDescent="0.25">
      <c r="A266" s="49">
        <f>'A) Base RI'!A268</f>
        <v>5859</v>
      </c>
      <c r="B266" s="292" t="str">
        <f>'A) Base RI'!B268</f>
        <v>Mont-sur-Rolle</v>
      </c>
      <c r="C266" s="95">
        <f>'B) D RI'!U268</f>
        <v>146465.78251968499</v>
      </c>
      <c r="D266" s="415">
        <f>'E) Fact soc'!G272/C266</f>
        <v>17.627474243257545</v>
      </c>
      <c r="E266" s="136">
        <f>'H) Péréquation directe'!I277/C266</f>
        <v>14.415785382630055</v>
      </c>
      <c r="F266" s="415">
        <f>+'I) Dépenses thématiques'!U266</f>
        <v>0</v>
      </c>
      <c r="G266" s="136">
        <f t="shared" si="17"/>
        <v>32.0432596258876</v>
      </c>
      <c r="H266" s="416">
        <f>G266-'C) Prél. conj.'!I266</f>
        <v>29.574449957312609</v>
      </c>
      <c r="I266" s="420">
        <f t="shared" si="18"/>
        <v>0</v>
      </c>
      <c r="J266" s="55">
        <f t="shared" si="19"/>
        <v>0</v>
      </c>
      <c r="K266" s="416">
        <f t="shared" si="20"/>
        <v>29.574449957312609</v>
      </c>
      <c r="L266" s="455"/>
    </row>
    <row r="267" spans="1:13" x14ac:dyDescent="0.25">
      <c r="A267" s="49">
        <f>'A) Base RI'!A269</f>
        <v>5860</v>
      </c>
      <c r="B267" s="292" t="str">
        <f>'A) Base RI'!B269</f>
        <v>Perroy</v>
      </c>
      <c r="C267" s="95">
        <f>'B) D RI'!U269</f>
        <v>187175.54426035503</v>
      </c>
      <c r="D267" s="415">
        <f>'E) Fact soc'!G273/C267</f>
        <v>30.742186823125213</v>
      </c>
      <c r="E267" s="136">
        <f>'H) Péréquation directe'!I278/C267</f>
        <v>17.540782267670544</v>
      </c>
      <c r="F267" s="415">
        <f>+'I) Dépenses thématiques'!U267</f>
        <v>0</v>
      </c>
      <c r="G267" s="136">
        <f t="shared" si="17"/>
        <v>48.28296909079576</v>
      </c>
      <c r="H267" s="416">
        <f>G267-'C) Prél. conj.'!I267</f>
        <v>44.989398168183655</v>
      </c>
      <c r="I267" s="420">
        <f t="shared" si="18"/>
        <v>0</v>
      </c>
      <c r="J267" s="55">
        <f t="shared" si="19"/>
        <v>0</v>
      </c>
      <c r="K267" s="416">
        <f t="shared" si="20"/>
        <v>44.989398168183655</v>
      </c>
      <c r="L267" s="455"/>
    </row>
    <row r="268" spans="1:13" x14ac:dyDescent="0.25">
      <c r="A268" s="49">
        <f>'A) Base RI'!A270</f>
        <v>5861</v>
      </c>
      <c r="B268" s="292" t="str">
        <f>'A) Base RI'!B270</f>
        <v>Rolle</v>
      </c>
      <c r="C268" s="95">
        <f>'B) D RI'!U270</f>
        <v>1938335.8673949579</v>
      </c>
      <c r="D268" s="415">
        <f>'E) Fact soc'!G274/C268</f>
        <v>40.768698915252486</v>
      </c>
      <c r="E268" s="136">
        <f>'H) Péréquation directe'!I279/C268</f>
        <v>17.843512733085777</v>
      </c>
      <c r="F268" s="415">
        <f>+'I) Dépenses thématiques'!U268</f>
        <v>0</v>
      </c>
      <c r="G268" s="136">
        <f t="shared" si="17"/>
        <v>58.61221164833826</v>
      </c>
      <c r="H268" s="416">
        <f>G268-'C) Prél. conj.'!I268</f>
        <v>58.076767715499699</v>
      </c>
      <c r="I268" s="420">
        <f t="shared" si="18"/>
        <v>-10.076767715499699</v>
      </c>
      <c r="J268" s="55">
        <f t="shared" si="19"/>
        <v>-19532160.290360618</v>
      </c>
      <c r="K268" s="416">
        <f t="shared" si="20"/>
        <v>48</v>
      </c>
      <c r="L268" s="455"/>
    </row>
    <row r="269" spans="1:13" x14ac:dyDescent="0.25">
      <c r="A269" s="49">
        <f>'A) Base RI'!A271</f>
        <v>5862</v>
      </c>
      <c r="B269" s="292" t="str">
        <f>'A) Base RI'!B271</f>
        <v>Tartegnin</v>
      </c>
      <c r="C269" s="95">
        <f>'B) D RI'!U271</f>
        <v>8096.4381012658214</v>
      </c>
      <c r="D269" s="415">
        <f>'E) Fact soc'!G275/C269</f>
        <v>13.796813058784483</v>
      </c>
      <c r="E269" s="136">
        <f>'H) Péréquation directe'!I280/C269</f>
        <v>5.4322059408758978</v>
      </c>
      <c r="F269" s="415">
        <f>+'I) Dépenses thématiques'!U269</f>
        <v>0</v>
      </c>
      <c r="G269" s="136">
        <f t="shared" si="17"/>
        <v>19.229018999660383</v>
      </c>
      <c r="H269" s="416">
        <f>G269-'C) Prél. conj.'!I269</f>
        <v>18.942547964991771</v>
      </c>
      <c r="I269" s="420">
        <f t="shared" si="18"/>
        <v>0</v>
      </c>
      <c r="J269" s="55">
        <f t="shared" si="19"/>
        <v>0</v>
      </c>
      <c r="K269" s="416">
        <f t="shared" si="20"/>
        <v>18.942547964991771</v>
      </c>
      <c r="L269" s="455"/>
    </row>
    <row r="270" spans="1:13" x14ac:dyDescent="0.25">
      <c r="A270" s="49">
        <f>'A) Base RI'!A272</f>
        <v>5863</v>
      </c>
      <c r="B270" s="292" t="str">
        <f>'A) Base RI'!B272</f>
        <v>Vinzel</v>
      </c>
      <c r="C270" s="95">
        <f>'B) D RI'!U272</f>
        <v>21933.69492537314</v>
      </c>
      <c r="D270" s="415">
        <f>'E) Fact soc'!G276/C270</f>
        <v>18.20155584464398</v>
      </c>
      <c r="E270" s="136">
        <f>'H) Péréquation directe'!I281/C270</f>
        <v>16.987589613647433</v>
      </c>
      <c r="F270" s="415">
        <f>+'I) Dépenses thématiques'!U270</f>
        <v>0</v>
      </c>
      <c r="G270" s="136">
        <f t="shared" si="17"/>
        <v>35.189145458291414</v>
      </c>
      <c r="H270" s="416">
        <f>G270-'C) Prél. conj.'!I270</f>
        <v>32.568071571944287</v>
      </c>
      <c r="I270" s="420">
        <f t="shared" si="18"/>
        <v>0</v>
      </c>
      <c r="J270" s="55">
        <f t="shared" si="19"/>
        <v>0</v>
      </c>
      <c r="K270" s="416">
        <f t="shared" si="20"/>
        <v>32.568071571944287</v>
      </c>
      <c r="L270" s="455"/>
    </row>
    <row r="271" spans="1:13" x14ac:dyDescent="0.25">
      <c r="A271" s="49">
        <f>'A) Base RI'!A273</f>
        <v>5871</v>
      </c>
      <c r="B271" s="292" t="str">
        <f>'A) Base RI'!B273</f>
        <v>L'Abbaye</v>
      </c>
      <c r="C271" s="95">
        <f>'B) D RI'!U273</f>
        <v>49513.521273852508</v>
      </c>
      <c r="D271" s="415">
        <f>'E) Fact soc'!G277/C271</f>
        <v>20.791529581066801</v>
      </c>
      <c r="E271" s="136">
        <f>'H) Péréquation directe'!I282/C271</f>
        <v>2.8925799776259473</v>
      </c>
      <c r="F271" s="415">
        <f>+'I) Dépenses thématiques'!U271</f>
        <v>-7.0605081877200186</v>
      </c>
      <c r="G271" s="136">
        <f t="shared" si="17"/>
        <v>16.623601370972729</v>
      </c>
      <c r="H271" s="416">
        <f>G271-'C) Prél. conj.'!I271</f>
        <v>9.3424138140217998</v>
      </c>
      <c r="I271" s="420">
        <f t="shared" si="18"/>
        <v>0</v>
      </c>
      <c r="J271" s="55">
        <f t="shared" si="19"/>
        <v>0</v>
      </c>
      <c r="K271" s="416">
        <f t="shared" si="20"/>
        <v>9.3424138140217998</v>
      </c>
      <c r="L271" s="455"/>
    </row>
    <row r="272" spans="1:13" x14ac:dyDescent="0.25">
      <c r="A272" s="49">
        <f>'A) Base RI'!A274</f>
        <v>5872</v>
      </c>
      <c r="B272" s="292" t="str">
        <f>'A) Base RI'!B274</f>
        <v>Le Chenit</v>
      </c>
      <c r="C272" s="95">
        <f>'B) D RI'!U274</f>
        <v>236042.78222554145</v>
      </c>
      <c r="D272" s="415">
        <f>'E) Fact soc'!G278/C272</f>
        <v>30.462511467604831</v>
      </c>
      <c r="E272" s="136">
        <f>'H) Péréquation directe'!I283/C272</f>
        <v>12.335105505534008</v>
      </c>
      <c r="F272" s="415">
        <f>+'I) Dépenses thématiques'!U272</f>
        <v>-6.461235355717502</v>
      </c>
      <c r="G272" s="136">
        <f t="shared" si="17"/>
        <v>36.336381617421338</v>
      </c>
      <c r="H272" s="416">
        <f>G272-'C) Prél. conj.'!I272</f>
        <v>20.204697758680695</v>
      </c>
      <c r="I272" s="420">
        <f t="shared" si="18"/>
        <v>0</v>
      </c>
      <c r="J272" s="55">
        <f t="shared" si="19"/>
        <v>0</v>
      </c>
      <c r="K272" s="416">
        <f t="shared" si="20"/>
        <v>20.204697758680695</v>
      </c>
      <c r="L272" s="455"/>
    </row>
    <row r="273" spans="1:12" x14ac:dyDescent="0.25">
      <c r="A273" s="49">
        <f>'A) Base RI'!A275</f>
        <v>5873</v>
      </c>
      <c r="B273" s="292" t="str">
        <f>'A) Base RI'!B275</f>
        <v>Le Lieu</v>
      </c>
      <c r="C273" s="95">
        <f>'B) D RI'!U275</f>
        <v>30440.408392857149</v>
      </c>
      <c r="D273" s="415">
        <f>'E) Fact soc'!G279/C273</f>
        <v>25.671955633967066</v>
      </c>
      <c r="E273" s="136">
        <f>'H) Péréquation directe'!I284/C273</f>
        <v>7.5813939181263859</v>
      </c>
      <c r="F273" s="415">
        <f>+'I) Dépenses thématiques'!U273</f>
        <v>-22.770160781116793</v>
      </c>
      <c r="G273" s="136">
        <f t="shared" si="17"/>
        <v>10.48318877097666</v>
      </c>
      <c r="H273" s="416">
        <f>G273-'C) Prél. conj.'!I273</f>
        <v>-1.6784248388745322</v>
      </c>
      <c r="I273" s="420">
        <f t="shared" si="18"/>
        <v>0</v>
      </c>
      <c r="J273" s="55">
        <f t="shared" si="19"/>
        <v>0</v>
      </c>
      <c r="K273" s="416">
        <f t="shared" si="20"/>
        <v>-1.6784248388745322</v>
      </c>
      <c r="L273" s="455"/>
    </row>
    <row r="274" spans="1:12" x14ac:dyDescent="0.25">
      <c r="A274" s="49">
        <f>'A) Base RI'!A276</f>
        <v>5881</v>
      </c>
      <c r="B274" s="292" t="str">
        <f>'A) Base RI'!B276</f>
        <v>Blonay</v>
      </c>
      <c r="C274" s="95">
        <f>'B) D RI'!U276</f>
        <v>363266.43007299263</v>
      </c>
      <c r="D274" s="415">
        <f>'E) Fact soc'!G280/C274</f>
        <v>21.071436820334455</v>
      </c>
      <c r="E274" s="136">
        <f>'H) Péréquation directe'!I285/C274</f>
        <v>12.189975845803662</v>
      </c>
      <c r="F274" s="415">
        <f>+'I) Dépenses thématiques'!U274</f>
        <v>-1.9582778316850251</v>
      </c>
      <c r="G274" s="136">
        <f t="shared" si="17"/>
        <v>31.30313483445309</v>
      </c>
      <c r="H274" s="416">
        <f>G274-'C) Prél. conj.'!I274</f>
        <v>26.227486460807569</v>
      </c>
      <c r="I274" s="420">
        <f t="shared" si="18"/>
        <v>0</v>
      </c>
      <c r="J274" s="55">
        <f t="shared" si="19"/>
        <v>0</v>
      </c>
      <c r="K274" s="416">
        <f t="shared" si="20"/>
        <v>26.227486460807569</v>
      </c>
      <c r="L274" s="455"/>
    </row>
    <row r="275" spans="1:12" x14ac:dyDescent="0.25">
      <c r="A275" s="49">
        <f>'A) Base RI'!A277</f>
        <v>5882</v>
      </c>
      <c r="B275" s="292" t="str">
        <f>'A) Base RI'!B277</f>
        <v>Chardonne</v>
      </c>
      <c r="C275" s="95">
        <f>'B) D RI'!U277</f>
        <v>179032.37397058826</v>
      </c>
      <c r="D275" s="415">
        <f>'E) Fact soc'!G281/C275</f>
        <v>19.272475813415713</v>
      </c>
      <c r="E275" s="136">
        <f>'H) Péréquation directe'!I286/C275</f>
        <v>14.335386580088743</v>
      </c>
      <c r="F275" s="415">
        <f>+'I) Dépenses thématiques'!U275</f>
        <v>-2.1469790499433183</v>
      </c>
      <c r="G275" s="136">
        <f t="shared" si="17"/>
        <v>31.460883343561136</v>
      </c>
      <c r="H275" s="416">
        <f>G275-'C) Prél. conj.'!I275</f>
        <v>27.990433858810004</v>
      </c>
      <c r="I275" s="420">
        <f t="shared" si="18"/>
        <v>0</v>
      </c>
      <c r="J275" s="55">
        <f t="shared" si="19"/>
        <v>0</v>
      </c>
      <c r="K275" s="416">
        <f t="shared" si="20"/>
        <v>27.990433858810004</v>
      </c>
      <c r="L275" s="455"/>
    </row>
    <row r="276" spans="1:12" x14ac:dyDescent="0.25">
      <c r="A276" s="49">
        <f>'A) Base RI'!A278</f>
        <v>5883</v>
      </c>
      <c r="B276" s="292" t="str">
        <f>'A) Base RI'!B278</f>
        <v>Corseaux</v>
      </c>
      <c r="C276" s="95">
        <f>'B) D RI'!U278</f>
        <v>167893.40074074076</v>
      </c>
      <c r="D276" s="415">
        <f>'E) Fact soc'!G282/C276</f>
        <v>22.024615478605256</v>
      </c>
      <c r="E276" s="136">
        <f>'H) Péréquation directe'!I287/C276</f>
        <v>15.714527320685457</v>
      </c>
      <c r="F276" s="415">
        <f>+'I) Dépenses thématiques'!U276</f>
        <v>0</v>
      </c>
      <c r="G276" s="136">
        <f t="shared" si="17"/>
        <v>37.739142799290711</v>
      </c>
      <c r="H276" s="416">
        <f>G276-'C) Prél. conj.'!I276</f>
        <v>35.190050946294797</v>
      </c>
      <c r="I276" s="420">
        <f t="shared" si="18"/>
        <v>0</v>
      </c>
      <c r="J276" s="55">
        <f t="shared" si="19"/>
        <v>0</v>
      </c>
      <c r="K276" s="416">
        <f t="shared" si="20"/>
        <v>35.190050946294797</v>
      </c>
      <c r="L276" s="455"/>
    </row>
    <row r="277" spans="1:12" x14ac:dyDescent="0.25">
      <c r="A277" s="49">
        <f>'A) Base RI'!A279</f>
        <v>5884</v>
      </c>
      <c r="B277" s="292" t="str">
        <f>'A) Base RI'!B279</f>
        <v>Corsier-sur-Vevey</v>
      </c>
      <c r="C277" s="95">
        <f>'B) D RI'!U279</f>
        <v>122170.7416919192</v>
      </c>
      <c r="D277" s="415">
        <f>'E) Fact soc'!G283/C277</f>
        <v>16.825116039495249</v>
      </c>
      <c r="E277" s="136">
        <f>'H) Péréquation directe'!I288/C277</f>
        <v>4.6710791094128226</v>
      </c>
      <c r="F277" s="415">
        <f>+'I) Dépenses thématiques'!U277</f>
        <v>-10.792420767759783</v>
      </c>
      <c r="G277" s="136">
        <f t="shared" si="17"/>
        <v>10.703774381148289</v>
      </c>
      <c r="H277" s="416">
        <f>G277-'C) Prél. conj.'!I277</f>
        <v>7.3890003657689096</v>
      </c>
      <c r="I277" s="420">
        <f t="shared" si="18"/>
        <v>0</v>
      </c>
      <c r="J277" s="55">
        <f t="shared" si="19"/>
        <v>0</v>
      </c>
      <c r="K277" s="416">
        <f t="shared" si="20"/>
        <v>7.3890003657689096</v>
      </c>
      <c r="L277" s="455"/>
    </row>
    <row r="278" spans="1:12" x14ac:dyDescent="0.25">
      <c r="A278" s="49">
        <f>'A) Base RI'!A280</f>
        <v>5885</v>
      </c>
      <c r="B278" s="292" t="str">
        <f>'A) Base RI'!B280</f>
        <v>Jongny</v>
      </c>
      <c r="C278" s="95">
        <f>'B) D RI'!U280</f>
        <v>85101.213069544348</v>
      </c>
      <c r="D278" s="415">
        <f>'E) Fact soc'!G284/C278</f>
        <v>18.2607643909631</v>
      </c>
      <c r="E278" s="136">
        <f>'H) Péréquation directe'!I289/C278</f>
        <v>14.973660953617591</v>
      </c>
      <c r="F278" s="415">
        <f>+'I) Dépenses thématiques'!U278</f>
        <v>-0.86551318043542291</v>
      </c>
      <c r="G278" s="136">
        <f t="shared" si="17"/>
        <v>32.368912164145272</v>
      </c>
      <c r="H278" s="416">
        <f>G278-'C) Prél. conj.'!I278</f>
        <v>28.3793680348207</v>
      </c>
      <c r="I278" s="420">
        <f t="shared" si="18"/>
        <v>0</v>
      </c>
      <c r="J278" s="55">
        <f t="shared" si="19"/>
        <v>0</v>
      </c>
      <c r="K278" s="416">
        <f t="shared" si="20"/>
        <v>28.3793680348207</v>
      </c>
      <c r="L278" s="455"/>
    </row>
    <row r="279" spans="1:12" x14ac:dyDescent="0.25">
      <c r="A279" s="49">
        <f>'A) Base RI'!A281</f>
        <v>5886</v>
      </c>
      <c r="B279" s="292" t="str">
        <f>'A) Base RI'!B281</f>
        <v>Montreux</v>
      </c>
      <c r="C279" s="95">
        <f>'B) D RI'!U281</f>
        <v>1097075.3945128203</v>
      </c>
      <c r="D279" s="415">
        <f>'E) Fact soc'!G285/C279</f>
        <v>23.579132068309054</v>
      </c>
      <c r="E279" s="136">
        <f>'H) Péréquation directe'!I290/C279</f>
        <v>-2.8223817822738586</v>
      </c>
      <c r="F279" s="415">
        <f>+'I) Dépenses thématiques'!U279</f>
        <v>-5.7642531850299044</v>
      </c>
      <c r="G279" s="136">
        <f t="shared" si="17"/>
        <v>14.992497101005291</v>
      </c>
      <c r="H279" s="416">
        <f>G279-'C) Prél. conj.'!I279</f>
        <v>4.9237070568121037</v>
      </c>
      <c r="I279" s="420">
        <f t="shared" si="18"/>
        <v>0</v>
      </c>
      <c r="J279" s="55">
        <f t="shared" si="19"/>
        <v>0</v>
      </c>
      <c r="K279" s="416">
        <f t="shared" si="20"/>
        <v>4.9237070568121037</v>
      </c>
      <c r="L279" s="455"/>
    </row>
    <row r="280" spans="1:12" x14ac:dyDescent="0.25">
      <c r="A280" s="49">
        <f>'A) Base RI'!A282</f>
        <v>5888</v>
      </c>
      <c r="B280" s="292" t="str">
        <f>'A) Base RI'!B282</f>
        <v>Saint-Légier-La Chiésaz</v>
      </c>
      <c r="C280" s="95">
        <f>'B) D RI'!U282</f>
        <v>325586.52158150851</v>
      </c>
      <c r="D280" s="415">
        <f>'E) Fact soc'!G286/C280</f>
        <v>19.352952072677059</v>
      </c>
      <c r="E280" s="136">
        <f>'H) Péréquation directe'!I291/C280</f>
        <v>12.649673282072435</v>
      </c>
      <c r="F280" s="415">
        <f>+'I) Dépenses thématiques'!U280</f>
        <v>-3.6668209529243074</v>
      </c>
      <c r="G280" s="136">
        <f t="shared" si="17"/>
        <v>28.33580440182519</v>
      </c>
      <c r="H280" s="416">
        <f>G280-'C) Prél. conj.'!I280</f>
        <v>25.135430826965326</v>
      </c>
      <c r="I280" s="420">
        <f t="shared" si="18"/>
        <v>0</v>
      </c>
      <c r="J280" s="55">
        <f t="shared" si="19"/>
        <v>0</v>
      </c>
      <c r="K280" s="416">
        <f t="shared" si="20"/>
        <v>25.135430826965326</v>
      </c>
      <c r="L280" s="455"/>
    </row>
    <row r="281" spans="1:12" x14ac:dyDescent="0.25">
      <c r="A281" s="49">
        <f>'A) Base RI'!A283</f>
        <v>5889</v>
      </c>
      <c r="B281" s="292" t="str">
        <f>'A) Base RI'!B283</f>
        <v>La Tour-de-Peilz</v>
      </c>
      <c r="C281" s="95">
        <f>'B) D RI'!U283</f>
        <v>675962.70015625004</v>
      </c>
      <c r="D281" s="415">
        <f>'E) Fact soc'!G287/C281</f>
        <v>17.805409123546365</v>
      </c>
      <c r="E281" s="136">
        <f>'H) Péréquation directe'!I292/C281</f>
        <v>9.0928301464686374</v>
      </c>
      <c r="F281" s="415">
        <f>+'I) Dépenses thématiques'!U281</f>
        <v>-0.20387633671302291</v>
      </c>
      <c r="G281" s="136">
        <f t="shared" si="17"/>
        <v>26.694362933301981</v>
      </c>
      <c r="H281" s="416">
        <f>G281-'C) Prél. conj.'!I281</f>
        <v>24.173435026176183</v>
      </c>
      <c r="I281" s="420">
        <f t="shared" si="18"/>
        <v>0</v>
      </c>
      <c r="J281" s="55">
        <f t="shared" si="19"/>
        <v>0</v>
      </c>
      <c r="K281" s="416">
        <f t="shared" si="20"/>
        <v>24.173435026176183</v>
      </c>
      <c r="L281" s="455"/>
    </row>
    <row r="282" spans="1:12" x14ac:dyDescent="0.25">
      <c r="A282" s="49">
        <f>'A) Base RI'!A284</f>
        <v>5890</v>
      </c>
      <c r="B282" s="292" t="str">
        <f>'A) Base RI'!B284</f>
        <v>Vevey</v>
      </c>
      <c r="C282" s="95">
        <f>'B) D RI'!U284</f>
        <v>862625.86017897108</v>
      </c>
      <c r="D282" s="415">
        <f>'E) Fact soc'!G288/C282</f>
        <v>17.441762685787651</v>
      </c>
      <c r="E282" s="136">
        <f>'H) Péréquation directe'!I293/C282</f>
        <v>-0.1753852859631152</v>
      </c>
      <c r="F282" s="415">
        <f>+'I) Dépenses thématiques'!U282</f>
        <v>-4.3086791858466249</v>
      </c>
      <c r="G282" s="136">
        <f t="shared" si="17"/>
        <v>12.95769821397791</v>
      </c>
      <c r="H282" s="416">
        <f>G282-'C) Prél. conj.'!I282</f>
        <v>9.0262775523061283</v>
      </c>
      <c r="I282" s="420">
        <f t="shared" si="18"/>
        <v>0</v>
      </c>
      <c r="J282" s="55">
        <f t="shared" si="19"/>
        <v>0</v>
      </c>
      <c r="K282" s="416">
        <f t="shared" si="20"/>
        <v>9.0262775523061283</v>
      </c>
      <c r="L282" s="455"/>
    </row>
    <row r="283" spans="1:12" x14ac:dyDescent="0.25">
      <c r="A283" s="49">
        <f>'A) Base RI'!A285</f>
        <v>5891</v>
      </c>
      <c r="B283" s="292" t="str">
        <f>'A) Base RI'!B285</f>
        <v>Veytaux</v>
      </c>
      <c r="C283" s="95">
        <f>'B) D RI'!U285</f>
        <v>43950.38565947242</v>
      </c>
      <c r="D283" s="415">
        <f>'E) Fact soc'!G289/C283</f>
        <v>17.091130853123136</v>
      </c>
      <c r="E283" s="136">
        <f>'H) Péréquation directe'!I294/C283</f>
        <v>15.541205293370526</v>
      </c>
      <c r="F283" s="415">
        <f>+'I) Dépenses thématiques'!U283</f>
        <v>-10.401965533151799</v>
      </c>
      <c r="G283" s="136">
        <f t="shared" si="17"/>
        <v>22.230370613341865</v>
      </c>
      <c r="H283" s="416">
        <f>G283-'C) Prél. conj.'!I283</f>
        <v>18.649581784334597</v>
      </c>
      <c r="I283" s="420">
        <f t="shared" si="18"/>
        <v>0</v>
      </c>
      <c r="J283" s="55">
        <f t="shared" si="19"/>
        <v>0</v>
      </c>
      <c r="K283" s="416">
        <f t="shared" si="20"/>
        <v>18.649581784334597</v>
      </c>
      <c r="L283" s="455"/>
    </row>
    <row r="284" spans="1:12" x14ac:dyDescent="0.25">
      <c r="A284" s="49">
        <f>'A) Base RI'!A286</f>
        <v>5902</v>
      </c>
      <c r="B284" s="292" t="str">
        <f>'A) Base RI'!B286</f>
        <v>Belmont-sur-Yverdon</v>
      </c>
      <c r="C284" s="95">
        <f>'B) D RI'!U286</f>
        <v>11719.310285714289</v>
      </c>
      <c r="D284" s="415">
        <f>'E) Fact soc'!G290/C284</f>
        <v>20.70105102878523</v>
      </c>
      <c r="E284" s="136">
        <f>'H) Péréquation directe'!I295/C284</f>
        <v>2.6350384523752886</v>
      </c>
      <c r="F284" s="415">
        <f>+'I) Dépenses thématiques'!U284</f>
        <v>-0.37481022164493016</v>
      </c>
      <c r="G284" s="136">
        <f t="shared" si="17"/>
        <v>22.961279259515585</v>
      </c>
      <c r="H284" s="416">
        <f>G284-'C) Prél. conj.'!I284</f>
        <v>15.770570254846225</v>
      </c>
      <c r="I284" s="420">
        <f t="shared" si="18"/>
        <v>0</v>
      </c>
      <c r="J284" s="55">
        <f t="shared" si="19"/>
        <v>0</v>
      </c>
      <c r="K284" s="416">
        <f t="shared" si="20"/>
        <v>15.770570254846225</v>
      </c>
      <c r="L284" s="455"/>
    </row>
    <row r="285" spans="1:12" x14ac:dyDescent="0.25">
      <c r="A285" s="49">
        <f>'A) Base RI'!A287</f>
        <v>5903</v>
      </c>
      <c r="B285" s="292" t="str">
        <f>'A) Base RI'!B287</f>
        <v>Bioley-Magnoux</v>
      </c>
      <c r="C285" s="95">
        <f>'B) D RI'!U287</f>
        <v>5017.2132738095233</v>
      </c>
      <c r="D285" s="415">
        <f>'E) Fact soc'!G291/C285</f>
        <v>15.692724833544691</v>
      </c>
      <c r="E285" s="136">
        <f>'H) Péréquation directe'!I296/C285</f>
        <v>-11.648545152175139</v>
      </c>
      <c r="F285" s="415">
        <f>+'I) Dépenses thématiques'!U285</f>
        <v>-27.711012630766632</v>
      </c>
      <c r="G285" s="136">
        <f t="shared" si="17"/>
        <v>-23.666832949397079</v>
      </c>
      <c r="H285" s="416">
        <f>G285-'C) Prél. conj.'!I285</f>
        <v>-25.849215758825899</v>
      </c>
      <c r="I285" s="420">
        <f t="shared" si="18"/>
        <v>0</v>
      </c>
      <c r="J285" s="55">
        <f t="shared" si="19"/>
        <v>0</v>
      </c>
      <c r="K285" s="416">
        <f t="shared" si="20"/>
        <v>-25.849215758825899</v>
      </c>
      <c r="L285" s="455"/>
    </row>
    <row r="286" spans="1:12" x14ac:dyDescent="0.25">
      <c r="A286" s="49">
        <f>'A) Base RI'!A288</f>
        <v>5904</v>
      </c>
      <c r="B286" s="292" t="str">
        <f>'A) Base RI'!B288</f>
        <v>Chamblon</v>
      </c>
      <c r="C286" s="95">
        <f>'B) D RI'!U288</f>
        <v>21694.056363636359</v>
      </c>
      <c r="D286" s="415">
        <f>'E) Fact soc'!G292/C286</f>
        <v>15.651860844813386</v>
      </c>
      <c r="E286" s="136">
        <f>'H) Péréquation directe'!I297/C286</f>
        <v>11.753708927239517</v>
      </c>
      <c r="F286" s="415">
        <f>+'I) Dépenses thématiques'!U286</f>
        <v>0</v>
      </c>
      <c r="G286" s="136">
        <f t="shared" si="17"/>
        <v>27.405569772052903</v>
      </c>
      <c r="H286" s="416">
        <f>G286-'C) Prél. conj.'!I286</f>
        <v>25.264050951355387</v>
      </c>
      <c r="I286" s="420">
        <f t="shared" si="18"/>
        <v>0</v>
      </c>
      <c r="J286" s="55">
        <f t="shared" si="19"/>
        <v>0</v>
      </c>
      <c r="K286" s="416">
        <f t="shared" si="20"/>
        <v>25.264050951355387</v>
      </c>
      <c r="L286" s="455"/>
    </row>
    <row r="287" spans="1:12" x14ac:dyDescent="0.25">
      <c r="A287" s="49">
        <f>'A) Base RI'!A289</f>
        <v>5905</v>
      </c>
      <c r="B287" s="292" t="str">
        <f>'A) Base RI'!B289</f>
        <v>Champvent</v>
      </c>
      <c r="C287" s="95">
        <f>'B) D RI'!U289</f>
        <v>21673.362816901412</v>
      </c>
      <c r="D287" s="415">
        <f>'E) Fact soc'!G293/C287</f>
        <v>16.81017212451119</v>
      </c>
      <c r="E287" s="136">
        <f>'H) Péréquation directe'!I298/C287</f>
        <v>4.1219176090481469</v>
      </c>
      <c r="F287" s="415">
        <f>+'I) Dépenses thématiques'!U287</f>
        <v>-4.0963681477872518</v>
      </c>
      <c r="G287" s="136">
        <f t="shared" si="17"/>
        <v>16.835721585772085</v>
      </c>
      <c r="H287" s="416">
        <f>G287-'C) Prél. conj.'!I287</f>
        <v>13.535891485376762</v>
      </c>
      <c r="I287" s="420">
        <f t="shared" si="18"/>
        <v>0</v>
      </c>
      <c r="J287" s="55">
        <f t="shared" si="19"/>
        <v>0</v>
      </c>
      <c r="K287" s="416">
        <f t="shared" si="20"/>
        <v>13.535891485376762</v>
      </c>
      <c r="L287" s="455"/>
    </row>
    <row r="288" spans="1:12" x14ac:dyDescent="0.25">
      <c r="A288" s="49">
        <f>'A) Base RI'!A290</f>
        <v>5907</v>
      </c>
      <c r="B288" s="292" t="str">
        <f>'A) Base RI'!B290</f>
        <v>Chavannes-le-Chêne</v>
      </c>
      <c r="C288" s="95">
        <f>'B) D RI'!U290</f>
        <v>9891.0456000000013</v>
      </c>
      <c r="D288" s="415">
        <f>'E) Fact soc'!G294/C288</f>
        <v>15.345209209441556</v>
      </c>
      <c r="E288" s="136">
        <f>'H) Péréquation directe'!I299/C288</f>
        <v>2.0609593821917915</v>
      </c>
      <c r="F288" s="415">
        <f>+'I) Dépenses thématiques'!U288</f>
        <v>-4.9006928448494858</v>
      </c>
      <c r="G288" s="136">
        <f t="shared" si="17"/>
        <v>12.50547574678386</v>
      </c>
      <c r="H288" s="416">
        <f>G288-'C) Prél. conj.'!I288</f>
        <v>10.670608561458176</v>
      </c>
      <c r="I288" s="420">
        <f t="shared" si="18"/>
        <v>0</v>
      </c>
      <c r="J288" s="55">
        <f t="shared" si="19"/>
        <v>0</v>
      </c>
      <c r="K288" s="416">
        <f t="shared" si="20"/>
        <v>10.670608561458176</v>
      </c>
      <c r="L288" s="455"/>
    </row>
    <row r="289" spans="1:12" x14ac:dyDescent="0.25">
      <c r="A289" s="49">
        <f>'A) Base RI'!A291</f>
        <v>5908</v>
      </c>
      <c r="B289" s="292" t="str">
        <f>'A) Base RI'!B291</f>
        <v>Chêne-Pâquier</v>
      </c>
      <c r="C289" s="95">
        <f>'B) D RI'!U291</f>
        <v>6502.4863291139245</v>
      </c>
      <c r="D289" s="415">
        <f>'E) Fact soc'!G295/C289</f>
        <v>14.390252370775478</v>
      </c>
      <c r="E289" s="136">
        <f>'H) Péréquation directe'!I300/C289</f>
        <v>14.747326316457364</v>
      </c>
      <c r="F289" s="415">
        <f>+'I) Dépenses thématiques'!U289</f>
        <v>-1.0345481578399942</v>
      </c>
      <c r="G289" s="136">
        <f t="shared" si="17"/>
        <v>28.10303052939285</v>
      </c>
      <c r="H289" s="416">
        <f>G289-'C) Prél. conj.'!I289</f>
        <v>27.22312018273324</v>
      </c>
      <c r="I289" s="420">
        <f t="shared" si="18"/>
        <v>0</v>
      </c>
      <c r="J289" s="55">
        <f t="shared" si="19"/>
        <v>0</v>
      </c>
      <c r="K289" s="416">
        <f t="shared" si="20"/>
        <v>27.22312018273324</v>
      </c>
      <c r="L289" s="455"/>
    </row>
    <row r="290" spans="1:12" x14ac:dyDescent="0.25">
      <c r="A290" s="49">
        <f>'A) Base RI'!A292</f>
        <v>5909</v>
      </c>
      <c r="B290" s="292" t="str">
        <f>'A) Base RI'!B292</f>
        <v>Cheseaux-Noréaz</v>
      </c>
      <c r="C290" s="95">
        <f>'B) D RI'!U292</f>
        <v>39259.116417910453</v>
      </c>
      <c r="D290" s="415">
        <f>'E) Fact soc'!G296/C290</f>
        <v>15.951577742525034</v>
      </c>
      <c r="E290" s="136">
        <f>'H) Péréquation directe'!I301/C290</f>
        <v>16.823707428733716</v>
      </c>
      <c r="F290" s="415">
        <f>+'I) Dépenses thématiques'!U290</f>
        <v>-0.72205016513323872</v>
      </c>
      <c r="G290" s="136">
        <f t="shared" si="17"/>
        <v>32.053235006125512</v>
      </c>
      <c r="H290" s="416">
        <f>G290-'C) Prél. conj.'!I290</f>
        <v>30.829025717042434</v>
      </c>
      <c r="I290" s="420">
        <f t="shared" si="18"/>
        <v>0</v>
      </c>
      <c r="J290" s="55">
        <f t="shared" si="19"/>
        <v>0</v>
      </c>
      <c r="K290" s="416">
        <f t="shared" si="20"/>
        <v>30.829025717042434</v>
      </c>
      <c r="L290" s="455"/>
    </row>
    <row r="291" spans="1:12" x14ac:dyDescent="0.25">
      <c r="A291" s="49">
        <f>'A) Base RI'!A293</f>
        <v>5910</v>
      </c>
      <c r="B291" s="292" t="str">
        <f>'A) Base RI'!B293</f>
        <v>Cronay</v>
      </c>
      <c r="C291" s="95">
        <f>'B) D RI'!U293</f>
        <v>9976.0020779220758</v>
      </c>
      <c r="D291" s="415">
        <f>'E) Fact soc'!G297/C291</f>
        <v>12.993789906368782</v>
      </c>
      <c r="E291" s="136">
        <f>'H) Péréquation directe'!I302/C291</f>
        <v>-7.0724525470034765</v>
      </c>
      <c r="F291" s="415">
        <f>+'I) Dépenses thématiques'!U291</f>
        <v>-10.057033387760054</v>
      </c>
      <c r="G291" s="136">
        <f t="shared" si="17"/>
        <v>-4.1356960283947481</v>
      </c>
      <c r="H291" s="416">
        <f>G291-'C) Prél. conj.'!I291</f>
        <v>-3.6191439106476597</v>
      </c>
      <c r="I291" s="420">
        <f t="shared" si="18"/>
        <v>0</v>
      </c>
      <c r="J291" s="55">
        <f t="shared" si="19"/>
        <v>0</v>
      </c>
      <c r="K291" s="416">
        <f t="shared" si="20"/>
        <v>-3.6191439106476597</v>
      </c>
      <c r="L291" s="455"/>
    </row>
    <row r="292" spans="1:12" x14ac:dyDescent="0.25">
      <c r="A292" s="49">
        <f>'A) Base RI'!A294</f>
        <v>5911</v>
      </c>
      <c r="B292" s="292" t="str">
        <f>'A) Base RI'!B294</f>
        <v>Cuarny</v>
      </c>
      <c r="C292" s="95">
        <f>'B) D RI'!U294</f>
        <v>6939.4670129870128</v>
      </c>
      <c r="D292" s="415">
        <f>'E) Fact soc'!G298/C292</f>
        <v>13.6545605927937</v>
      </c>
      <c r="E292" s="136">
        <f>'H) Péréquation directe'!I303/C292</f>
        <v>0.13296711986236681</v>
      </c>
      <c r="F292" s="415">
        <f>+'I) Dépenses thématiques'!U292</f>
        <v>-1.2277380447796657</v>
      </c>
      <c r="G292" s="136">
        <f t="shared" si="17"/>
        <v>12.559789667876402</v>
      </c>
      <c r="H292" s="416">
        <f>G292-'C) Prél. conj.'!I292</f>
        <v>12.415571099198573</v>
      </c>
      <c r="I292" s="420">
        <f t="shared" si="18"/>
        <v>0</v>
      </c>
      <c r="J292" s="55">
        <f t="shared" si="19"/>
        <v>0</v>
      </c>
      <c r="K292" s="416">
        <f t="shared" si="20"/>
        <v>12.415571099198573</v>
      </c>
      <c r="L292" s="455"/>
    </row>
    <row r="293" spans="1:12" x14ac:dyDescent="0.25">
      <c r="A293" s="49">
        <f>'A) Base RI'!A295</f>
        <v>5912</v>
      </c>
      <c r="B293" s="292" t="str">
        <f>'A) Base RI'!B295</f>
        <v>Démoret</v>
      </c>
      <c r="C293" s="95">
        <f>'B) D RI'!U295</f>
        <v>4070.6311111111104</v>
      </c>
      <c r="D293" s="415">
        <f>'E) Fact soc'!G299/C293</f>
        <v>16.305714458857082</v>
      </c>
      <c r="E293" s="136">
        <f>'H) Péréquation directe'!I304/C293</f>
        <v>-8.5412205283884397</v>
      </c>
      <c r="F293" s="415">
        <f>+'I) Dépenses thématiques'!U293</f>
        <v>-2.6803034637271654</v>
      </c>
      <c r="G293" s="136">
        <f t="shared" si="17"/>
        <v>5.084190466741477</v>
      </c>
      <c r="H293" s="416">
        <f>G293-'C) Prél. conj.'!I293</f>
        <v>2.2888180320002625</v>
      </c>
      <c r="I293" s="420">
        <f t="shared" si="18"/>
        <v>0</v>
      </c>
      <c r="J293" s="55">
        <f t="shared" si="19"/>
        <v>0</v>
      </c>
      <c r="K293" s="416">
        <f t="shared" si="20"/>
        <v>2.2888180320002625</v>
      </c>
      <c r="L293" s="455"/>
    </row>
    <row r="294" spans="1:12" x14ac:dyDescent="0.25">
      <c r="A294" s="49">
        <f>'A) Base RI'!A296</f>
        <v>5913</v>
      </c>
      <c r="B294" s="292" t="str">
        <f>'A) Base RI'!B296</f>
        <v>Donneloye</v>
      </c>
      <c r="C294" s="95">
        <f>'B) D RI'!U296</f>
        <v>19880.828493150682</v>
      </c>
      <c r="D294" s="415">
        <f>'E) Fact soc'!G300/C294</f>
        <v>15.827268605715291</v>
      </c>
      <c r="E294" s="136">
        <f>'H) Péréquation directe'!I305/C294</f>
        <v>-7.5701181621100639</v>
      </c>
      <c r="F294" s="415">
        <f>+'I) Dépenses thématiques'!U294</f>
        <v>-2.1595758791453044</v>
      </c>
      <c r="G294" s="136">
        <f t="shared" si="17"/>
        <v>6.0975745644599222</v>
      </c>
      <c r="H294" s="416">
        <f>G294-'C) Prél. conj.'!I294</f>
        <v>3.7806479828605002</v>
      </c>
      <c r="I294" s="420">
        <f t="shared" si="18"/>
        <v>0</v>
      </c>
      <c r="J294" s="55">
        <f t="shared" si="19"/>
        <v>0</v>
      </c>
      <c r="K294" s="416">
        <f t="shared" si="20"/>
        <v>3.7806479828605002</v>
      </c>
      <c r="L294" s="455"/>
    </row>
    <row r="295" spans="1:12" x14ac:dyDescent="0.25">
      <c r="A295" s="49">
        <f>'A) Base RI'!A297</f>
        <v>5914</v>
      </c>
      <c r="B295" s="292" t="str">
        <f>'A) Base RI'!B297</f>
        <v>Ependes</v>
      </c>
      <c r="C295" s="95">
        <f>'B) D RI'!U297</f>
        <v>10662.074965986394</v>
      </c>
      <c r="D295" s="415">
        <f>'E) Fact soc'!G301/C295</f>
        <v>15.788207737635839</v>
      </c>
      <c r="E295" s="136">
        <f>'H) Péréquation directe'!I306/C295</f>
        <v>-1.6669096499591061</v>
      </c>
      <c r="F295" s="415">
        <f>+'I) Dépenses thématiques'!U295</f>
        <v>-6.0592093176691586</v>
      </c>
      <c r="G295" s="136">
        <f t="shared" si="17"/>
        <v>8.0620887700075734</v>
      </c>
      <c r="H295" s="416">
        <f>G295-'C) Prél. conj.'!I295</f>
        <v>5.7842230564876047</v>
      </c>
      <c r="I295" s="420">
        <f t="shared" si="18"/>
        <v>0</v>
      </c>
      <c r="J295" s="55">
        <f t="shared" si="19"/>
        <v>0</v>
      </c>
      <c r="K295" s="416">
        <f t="shared" si="20"/>
        <v>5.7842230564876047</v>
      </c>
      <c r="L295" s="455"/>
    </row>
    <row r="296" spans="1:12" x14ac:dyDescent="0.25">
      <c r="A296" s="49">
        <f>'A) Base RI'!A298</f>
        <v>5919</v>
      </c>
      <c r="B296" s="292" t="str">
        <f>'A) Base RI'!B298</f>
        <v>Mathod</v>
      </c>
      <c r="C296" s="95">
        <f>'B) D RI'!U298</f>
        <v>21565.598078703704</v>
      </c>
      <c r="D296" s="415">
        <f>'E) Fact soc'!G302/C296</f>
        <v>19.84080893265088</v>
      </c>
      <c r="E296" s="136">
        <f>'H) Péréquation directe'!I307/C296</f>
        <v>5.9767453783239297</v>
      </c>
      <c r="F296" s="415">
        <f>+'I) Dépenses thématiques'!U296</f>
        <v>-9.6747913397224536</v>
      </c>
      <c r="G296" s="136">
        <f t="shared" si="17"/>
        <v>16.142762971252356</v>
      </c>
      <c r="H296" s="416">
        <f>G296-'C) Prél. conj.'!I296</f>
        <v>9.8122960627173459</v>
      </c>
      <c r="I296" s="420">
        <f t="shared" si="18"/>
        <v>0</v>
      </c>
      <c r="J296" s="55">
        <f t="shared" si="19"/>
        <v>0</v>
      </c>
      <c r="K296" s="416">
        <f t="shared" si="20"/>
        <v>9.8122960627173459</v>
      </c>
      <c r="L296" s="455"/>
    </row>
    <row r="297" spans="1:12" x14ac:dyDescent="0.25">
      <c r="A297" s="49">
        <f>'A) Base RI'!A299</f>
        <v>5921</v>
      </c>
      <c r="B297" s="292" t="str">
        <f>'A) Base RI'!B299</f>
        <v>Molondin</v>
      </c>
      <c r="C297" s="95">
        <f>'B) D RI'!U299</f>
        <v>5675.8933333333334</v>
      </c>
      <c r="D297" s="415">
        <f>'E) Fact soc'!G303/C297</f>
        <v>15.615087356421855</v>
      </c>
      <c r="E297" s="136">
        <f>'H) Péréquation directe'!I308/C297</f>
        <v>-16.313461005005699</v>
      </c>
      <c r="F297" s="415">
        <f>+'I) Dépenses thématiques'!U297</f>
        <v>-11.331490255865742</v>
      </c>
      <c r="G297" s="136">
        <f t="shared" si="17"/>
        <v>-12.029863904449586</v>
      </c>
      <c r="H297" s="416">
        <f>G297-'C) Prél. conj.'!I297</f>
        <v>-14.134609236755573</v>
      </c>
      <c r="I297" s="420">
        <f t="shared" si="18"/>
        <v>0</v>
      </c>
      <c r="J297" s="55">
        <f t="shared" si="19"/>
        <v>0</v>
      </c>
      <c r="K297" s="416">
        <f t="shared" si="20"/>
        <v>-14.134609236755573</v>
      </c>
      <c r="L297" s="455"/>
    </row>
    <row r="298" spans="1:12" x14ac:dyDescent="0.25">
      <c r="A298" s="49">
        <f>'A) Base RI'!A300</f>
        <v>5922</v>
      </c>
      <c r="B298" s="292" t="str">
        <f>'A) Base RI'!B300</f>
        <v>Montagny-près-Yverdon</v>
      </c>
      <c r="C298" s="95">
        <f>'B) D RI'!U300</f>
        <v>33326.398149606292</v>
      </c>
      <c r="D298" s="415">
        <f>'E) Fact soc'!G304/C298</f>
        <v>17.872057303020597</v>
      </c>
      <c r="E298" s="136">
        <f>'H) Péréquation directe'!I309/C298</f>
        <v>15.366444168284332</v>
      </c>
      <c r="F298" s="415">
        <f>+'I) Dépenses thématiques'!U298</f>
        <v>-4.753997428438991</v>
      </c>
      <c r="G298" s="136">
        <f t="shared" si="17"/>
        <v>28.484504042865936</v>
      </c>
      <c r="H298" s="416">
        <f>G298-'C) Prél. conj.'!I298</f>
        <v>24.122788763961207</v>
      </c>
      <c r="I298" s="420">
        <f t="shared" si="18"/>
        <v>0</v>
      </c>
      <c r="J298" s="55">
        <f t="shared" si="19"/>
        <v>0</v>
      </c>
      <c r="K298" s="416">
        <f t="shared" si="20"/>
        <v>24.122788763961207</v>
      </c>
      <c r="L298" s="455"/>
    </row>
    <row r="299" spans="1:12" x14ac:dyDescent="0.25">
      <c r="A299" s="49">
        <f>'A) Base RI'!A301</f>
        <v>5923</v>
      </c>
      <c r="B299" s="292" t="str">
        <f>'A) Base RI'!B301</f>
        <v>Oppens</v>
      </c>
      <c r="C299" s="95">
        <f>'B) D RI'!U301</f>
        <v>4799.240617283951</v>
      </c>
      <c r="D299" s="415">
        <f>'E) Fact soc'!G305/C299</f>
        <v>16.863192252556075</v>
      </c>
      <c r="E299" s="136">
        <f>'H) Péréquation directe'!I310/C299</f>
        <v>-12.810361707432701</v>
      </c>
      <c r="F299" s="415">
        <f>+'I) Dépenses thématiques'!U299</f>
        <v>-12.308015068176037</v>
      </c>
      <c r="G299" s="136">
        <f t="shared" si="17"/>
        <v>-8.2551845230526624</v>
      </c>
      <c r="H299" s="416">
        <f>G299-'C) Prél. conj.'!I299</f>
        <v>-11.608034751492866</v>
      </c>
      <c r="I299" s="420">
        <f t="shared" si="18"/>
        <v>0</v>
      </c>
      <c r="J299" s="55">
        <f t="shared" si="19"/>
        <v>0</v>
      </c>
      <c r="K299" s="416">
        <f t="shared" si="20"/>
        <v>-11.608034751492866</v>
      </c>
      <c r="L299" s="455"/>
    </row>
    <row r="300" spans="1:12" x14ac:dyDescent="0.25">
      <c r="A300" s="49">
        <f>'A) Base RI'!A302</f>
        <v>5924</v>
      </c>
      <c r="B300" s="292" t="str">
        <f>'A) Base RI'!B302</f>
        <v>Orges</v>
      </c>
      <c r="C300" s="95">
        <f>'B) D RI'!U302</f>
        <v>12525.425270270271</v>
      </c>
      <c r="D300" s="415">
        <f>'E) Fact soc'!G306/C300</f>
        <v>20.652419284544866</v>
      </c>
      <c r="E300" s="136">
        <f>'H) Péréquation directe'!I311/C300</f>
        <v>8.758292329834374</v>
      </c>
      <c r="F300" s="415">
        <f>+'I) Dépenses thématiques'!U300</f>
        <v>0</v>
      </c>
      <c r="G300" s="136">
        <f t="shared" si="17"/>
        <v>29.410711614379238</v>
      </c>
      <c r="H300" s="416">
        <f>G300-'C) Prél. conj.'!I300</f>
        <v>22.268634353950244</v>
      </c>
      <c r="I300" s="420">
        <f t="shared" si="18"/>
        <v>0</v>
      </c>
      <c r="J300" s="55">
        <f t="shared" si="19"/>
        <v>0</v>
      </c>
      <c r="K300" s="416">
        <f t="shared" si="20"/>
        <v>22.268634353950244</v>
      </c>
      <c r="L300" s="455"/>
    </row>
    <row r="301" spans="1:12" x14ac:dyDescent="0.25">
      <c r="A301" s="49">
        <f>'A) Base RI'!A303</f>
        <v>5925</v>
      </c>
      <c r="B301" s="292" t="str">
        <f>'A) Base RI'!B303</f>
        <v>Orzens</v>
      </c>
      <c r="C301" s="95">
        <f>'B) D RI'!U303</f>
        <v>5879.4616455696196</v>
      </c>
      <c r="D301" s="415">
        <f>'E) Fact soc'!G307/C301</f>
        <v>25.158167816398109</v>
      </c>
      <c r="E301" s="136">
        <f>'H) Péréquation directe'!I312/C301</f>
        <v>-1.2691564829666233</v>
      </c>
      <c r="F301" s="415">
        <f>+'I) Dépenses thématiques'!U301</f>
        <v>-1.9564093765409127</v>
      </c>
      <c r="G301" s="136">
        <f t="shared" si="17"/>
        <v>21.932601956890576</v>
      </c>
      <c r="H301" s="416">
        <f>G301-'C) Prél. conj.'!I301</f>
        <v>10.284776164608333</v>
      </c>
      <c r="I301" s="420">
        <f t="shared" si="18"/>
        <v>0</v>
      </c>
      <c r="J301" s="55">
        <f t="shared" si="19"/>
        <v>0</v>
      </c>
      <c r="K301" s="416">
        <f t="shared" si="20"/>
        <v>10.284776164608333</v>
      </c>
      <c r="L301" s="455"/>
    </row>
    <row r="302" spans="1:12" x14ac:dyDescent="0.25">
      <c r="A302" s="49">
        <f>'A) Base RI'!A304</f>
        <v>5926</v>
      </c>
      <c r="B302" s="292" t="str">
        <f>'A) Base RI'!B304</f>
        <v>Pomy</v>
      </c>
      <c r="C302" s="95">
        <f>'B) D RI'!U304</f>
        <v>27363.186197183099</v>
      </c>
      <c r="D302" s="415">
        <f>'E) Fact soc'!G308/C302</f>
        <v>16.760871014382232</v>
      </c>
      <c r="E302" s="136">
        <f>'H) Péréquation directe'!I313/C302</f>
        <v>7.1608225109251888</v>
      </c>
      <c r="F302" s="415">
        <f>+'I) Dépenses thématiques'!U302</f>
        <v>-0.54591570811120949</v>
      </c>
      <c r="G302" s="136">
        <f t="shared" si="17"/>
        <v>23.375777817196212</v>
      </c>
      <c r="H302" s="416">
        <f>G302-'C) Prél. conj.'!I302</f>
        <v>20.125248826929852</v>
      </c>
      <c r="I302" s="420">
        <f t="shared" si="18"/>
        <v>0</v>
      </c>
      <c r="J302" s="55">
        <f t="shared" si="19"/>
        <v>0</v>
      </c>
      <c r="K302" s="416">
        <f t="shared" si="20"/>
        <v>20.125248826929852</v>
      </c>
      <c r="L302" s="455"/>
    </row>
    <row r="303" spans="1:12" x14ac:dyDescent="0.25">
      <c r="A303" s="49">
        <f>'A) Base RI'!A305</f>
        <v>5928</v>
      </c>
      <c r="B303" s="292" t="str">
        <f>'A) Base RI'!B305</f>
        <v>Rovray</v>
      </c>
      <c r="C303" s="95">
        <f>'B) D RI'!U305</f>
        <v>5563.4060139860139</v>
      </c>
      <c r="D303" s="415">
        <f>'E) Fact soc'!G309/C303</f>
        <v>14.227186164193766</v>
      </c>
      <c r="E303" s="136">
        <f>'H) Péréquation directe'!I314/C303</f>
        <v>-1.0994934167234311</v>
      </c>
      <c r="F303" s="415">
        <f>+'I) Dépenses thématiques'!U303</f>
        <v>0</v>
      </c>
      <c r="G303" s="136">
        <f t="shared" si="17"/>
        <v>13.127692747470334</v>
      </c>
      <c r="H303" s="416">
        <f>G303-'C) Prél. conj.'!I303</f>
        <v>12.410848607392438</v>
      </c>
      <c r="I303" s="420">
        <f t="shared" si="18"/>
        <v>0</v>
      </c>
      <c r="J303" s="55">
        <f t="shared" si="19"/>
        <v>0</v>
      </c>
      <c r="K303" s="416">
        <f t="shared" si="20"/>
        <v>12.410848607392438</v>
      </c>
      <c r="L303" s="455"/>
    </row>
    <row r="304" spans="1:12" x14ac:dyDescent="0.25">
      <c r="A304" s="49">
        <f>'A) Base RI'!A306</f>
        <v>5929</v>
      </c>
      <c r="B304" s="292" t="str">
        <f>'A) Base RI'!B306</f>
        <v>Suchy</v>
      </c>
      <c r="C304" s="95">
        <f>'B) D RI'!U306</f>
        <v>19827.403178571429</v>
      </c>
      <c r="D304" s="415">
        <f>'E) Fact soc'!G310/C304</f>
        <v>15.931963986788816</v>
      </c>
      <c r="E304" s="136">
        <f>'H) Péréquation directe'!I315/C304</f>
        <v>3.3899145284343701</v>
      </c>
      <c r="F304" s="415">
        <f>+'I) Dépenses thématiques'!U304</f>
        <v>-0.69856337167948668</v>
      </c>
      <c r="G304" s="136">
        <f t="shared" si="17"/>
        <v>18.623315143543699</v>
      </c>
      <c r="H304" s="416">
        <f>G304-'C) Prél. conj.'!I304</f>
        <v>16.201693180870752</v>
      </c>
      <c r="I304" s="420">
        <f t="shared" si="18"/>
        <v>0</v>
      </c>
      <c r="J304" s="55">
        <f t="shared" si="19"/>
        <v>0</v>
      </c>
      <c r="K304" s="416">
        <f t="shared" si="20"/>
        <v>16.201693180870752</v>
      </c>
      <c r="L304" s="455"/>
    </row>
    <row r="305" spans="1:14" x14ac:dyDescent="0.25">
      <c r="A305" s="49">
        <f>'A) Base RI'!A307</f>
        <v>5930</v>
      </c>
      <c r="B305" s="292" t="str">
        <f>'A) Base RI'!B307</f>
        <v>Suscévaz</v>
      </c>
      <c r="C305" s="95">
        <f>'B) D RI'!U307</f>
        <v>5769.1548611111102</v>
      </c>
      <c r="D305" s="415">
        <f>'E) Fact soc'!G311/C305</f>
        <v>13.947120904326876</v>
      </c>
      <c r="E305" s="136">
        <f>'H) Péréquation directe'!I316/C305</f>
        <v>0.1522062018867264</v>
      </c>
      <c r="F305" s="415">
        <f>+'I) Dépenses thématiques'!U305</f>
        <v>-5.9796374890265938</v>
      </c>
      <c r="G305" s="136">
        <f t="shared" si="17"/>
        <v>8.1196896171870083</v>
      </c>
      <c r="H305" s="416">
        <f>G305-'C) Prél. conj.'!I305</f>
        <v>7.6829107369760008</v>
      </c>
      <c r="I305" s="420">
        <f t="shared" si="18"/>
        <v>0</v>
      </c>
      <c r="J305" s="55">
        <f t="shared" si="19"/>
        <v>0</v>
      </c>
      <c r="K305" s="416">
        <f t="shared" si="20"/>
        <v>7.6829107369760008</v>
      </c>
      <c r="L305" s="455"/>
    </row>
    <row r="306" spans="1:14" x14ac:dyDescent="0.25">
      <c r="A306" s="49">
        <f>'A) Base RI'!A308</f>
        <v>5931</v>
      </c>
      <c r="B306" s="292" t="str">
        <f>'A) Base RI'!B308</f>
        <v>Treycovagnes</v>
      </c>
      <c r="C306" s="95">
        <f>'B) D RI'!U308</f>
        <v>15383.603066666663</v>
      </c>
      <c r="D306" s="415">
        <f>'E) Fact soc'!G312/C306</f>
        <v>16.617142153635594</v>
      </c>
      <c r="E306" s="136">
        <f>'H) Péréquation directe'!I317/C306</f>
        <v>3.5503629241882799</v>
      </c>
      <c r="F306" s="415">
        <f>+'I) Dépenses thématiques'!U306</f>
        <v>-2.0760664105538607</v>
      </c>
      <c r="G306" s="136">
        <f t="shared" si="17"/>
        <v>18.091438667270015</v>
      </c>
      <c r="H306" s="416">
        <f>G306-'C) Prél. conj.'!I306</f>
        <v>14.984638537750293</v>
      </c>
      <c r="I306" s="420">
        <f t="shared" si="18"/>
        <v>0</v>
      </c>
      <c r="J306" s="55">
        <f t="shared" si="19"/>
        <v>0</v>
      </c>
      <c r="K306" s="416">
        <f t="shared" si="20"/>
        <v>14.984638537750293</v>
      </c>
      <c r="L306" s="455"/>
    </row>
    <row r="307" spans="1:14" x14ac:dyDescent="0.25">
      <c r="A307" s="49">
        <f>'A) Base RI'!A309</f>
        <v>5932</v>
      </c>
      <c r="B307" s="292" t="str">
        <f>'A) Base RI'!B309</f>
        <v>Ursins</v>
      </c>
      <c r="C307" s="95">
        <f>'B) D RI'!U309</f>
        <v>6819.4023999999999</v>
      </c>
      <c r="D307" s="415">
        <f>'E) Fact soc'!G313/C307</f>
        <v>13.51034202411587</v>
      </c>
      <c r="E307" s="136">
        <f>'H) Péréquation directe'!I318/C307</f>
        <v>-0.53498703138751347</v>
      </c>
      <c r="F307" s="415">
        <f>+'I) Dépenses thématiques'!U307</f>
        <v>-3.1668388127381952</v>
      </c>
      <c r="G307" s="136">
        <f t="shared" si="17"/>
        <v>9.8085161799901606</v>
      </c>
      <c r="H307" s="416">
        <f>G307-'C) Prél. conj.'!I307</f>
        <v>9.8085161799901606</v>
      </c>
      <c r="I307" s="420">
        <f t="shared" si="18"/>
        <v>0</v>
      </c>
      <c r="J307" s="55">
        <f t="shared" si="19"/>
        <v>0</v>
      </c>
      <c r="K307" s="416">
        <f t="shared" si="20"/>
        <v>9.8085161799901606</v>
      </c>
      <c r="L307" s="455"/>
    </row>
    <row r="308" spans="1:14" x14ac:dyDescent="0.25">
      <c r="A308" s="49">
        <f>'A) Base RI'!A310</f>
        <v>5933</v>
      </c>
      <c r="B308" s="292" t="str">
        <f>'A) Base RI'!B310</f>
        <v>Valeyres-sous-Montagny</v>
      </c>
      <c r="C308" s="95">
        <f>'B) D RI'!U310</f>
        <v>22572.377872340428</v>
      </c>
      <c r="D308" s="415">
        <f>'E) Fact soc'!G314/C308</f>
        <v>15.141883025612559</v>
      </c>
      <c r="E308" s="136">
        <f>'H) Péréquation directe'!I319/C308</f>
        <v>4.7994275508681108</v>
      </c>
      <c r="F308" s="415">
        <f>+'I) Dépenses thématiques'!U308</f>
        <v>-8.2678698638411134</v>
      </c>
      <c r="G308" s="136">
        <f t="shared" si="17"/>
        <v>11.673440712639557</v>
      </c>
      <c r="H308" s="416">
        <f>G308-'C) Prél. conj.'!I308</f>
        <v>10.041899711142868</v>
      </c>
      <c r="I308" s="420">
        <f t="shared" si="18"/>
        <v>0</v>
      </c>
      <c r="J308" s="55">
        <f t="shared" si="19"/>
        <v>0</v>
      </c>
      <c r="K308" s="416">
        <f t="shared" si="20"/>
        <v>10.041899711142868</v>
      </c>
      <c r="L308" s="455"/>
    </row>
    <row r="309" spans="1:14" x14ac:dyDescent="0.25">
      <c r="A309" s="49">
        <f>'A) Base RI'!A311</f>
        <v>5934</v>
      </c>
      <c r="B309" s="292" t="str">
        <f>'A) Base RI'!B311</f>
        <v>Valeyres-sous-Ursins</v>
      </c>
      <c r="C309" s="95">
        <f>'B) D RI'!U311</f>
        <v>7577.3788607594925</v>
      </c>
      <c r="D309" s="415">
        <f>'E) Fact soc'!G315/C309</f>
        <v>15.869111504755056</v>
      </c>
      <c r="E309" s="136">
        <f>'H) Péréquation directe'!I320/C309</f>
        <v>1.8986585683964052</v>
      </c>
      <c r="F309" s="415">
        <f>+'I) Dépenses thématiques'!U309</f>
        <v>-0.73913631050368411</v>
      </c>
      <c r="G309" s="136">
        <f t="shared" si="17"/>
        <v>17.028633762647775</v>
      </c>
      <c r="H309" s="416">
        <f>G309-'C) Prél. conj.'!I309</f>
        <v>14.669864282008591</v>
      </c>
      <c r="I309" s="420">
        <f t="shared" si="18"/>
        <v>0</v>
      </c>
      <c r="J309" s="55">
        <f t="shared" si="19"/>
        <v>0</v>
      </c>
      <c r="K309" s="416">
        <f t="shared" si="20"/>
        <v>14.669864282008591</v>
      </c>
      <c r="L309" s="455"/>
    </row>
    <row r="310" spans="1:14" x14ac:dyDescent="0.25">
      <c r="A310" s="49">
        <f>'A) Base RI'!A312</f>
        <v>5935</v>
      </c>
      <c r="B310" s="292" t="str">
        <f>'A) Base RI'!B312</f>
        <v>Villars-Epeney</v>
      </c>
      <c r="C310" s="95">
        <f>'B) D RI'!U312</f>
        <v>3928.2205000000004</v>
      </c>
      <c r="D310" s="415">
        <f>'E) Fact soc'!G316/C310</f>
        <v>17.181629061083374</v>
      </c>
      <c r="E310" s="136">
        <f>'H) Péréquation directe'!I321/C310</f>
        <v>12.531231148724331</v>
      </c>
      <c r="F310" s="415">
        <f>+'I) Dépenses thématiques'!U310</f>
        <v>-1.3068473689295188</v>
      </c>
      <c r="G310" s="136">
        <f t="shared" si="17"/>
        <v>28.406012840878187</v>
      </c>
      <c r="H310" s="416">
        <f>G310-'C) Prél. conj.'!I310</f>
        <v>24.734725803910685</v>
      </c>
      <c r="I310" s="420">
        <f t="shared" si="18"/>
        <v>0</v>
      </c>
      <c r="J310" s="55">
        <f t="shared" si="19"/>
        <v>0</v>
      </c>
      <c r="K310" s="416">
        <f t="shared" si="20"/>
        <v>24.734725803910685</v>
      </c>
      <c r="L310" s="455"/>
    </row>
    <row r="311" spans="1:14" x14ac:dyDescent="0.25">
      <c r="A311" s="49">
        <f>'A) Base RI'!A313</f>
        <v>5937</v>
      </c>
      <c r="B311" s="292" t="str">
        <f>'A) Base RI'!B313</f>
        <v>Vugelles-La Mothe</v>
      </c>
      <c r="C311" s="95">
        <f>'B) D RI'!U313</f>
        <v>3187.6957755102044</v>
      </c>
      <c r="D311" s="415">
        <f>'E) Fact soc'!G317/C311</f>
        <v>16.031559720529721</v>
      </c>
      <c r="E311" s="136">
        <f>'H) Péréquation directe'!I322/C311</f>
        <v>-7.5401976686329082</v>
      </c>
      <c r="F311" s="415">
        <f>+'I) Dépenses thématiques'!U311</f>
        <v>-7.3623096958020842</v>
      </c>
      <c r="G311" s="136">
        <f t="shared" si="17"/>
        <v>1.1290523560947285</v>
      </c>
      <c r="H311" s="416">
        <f>G311-'C) Prél. conj.'!I311</f>
        <v>-1.3921653403191221</v>
      </c>
      <c r="I311" s="420">
        <f t="shared" si="18"/>
        <v>0</v>
      </c>
      <c r="J311" s="55">
        <f t="shared" si="19"/>
        <v>0</v>
      </c>
      <c r="K311" s="416">
        <f t="shared" si="20"/>
        <v>-1.3921653403191221</v>
      </c>
      <c r="L311" s="455"/>
    </row>
    <row r="312" spans="1:14" x14ac:dyDescent="0.25">
      <c r="A312" s="49">
        <f>'A) Base RI'!A314</f>
        <v>5938</v>
      </c>
      <c r="B312" s="292" t="str">
        <f>'A) Base RI'!B314</f>
        <v>Yverdon-les-Bains</v>
      </c>
      <c r="C312" s="95">
        <f>'B) D RI'!U314</f>
        <v>796551.402</v>
      </c>
      <c r="D312" s="415">
        <f>'E) Fact soc'!G318/C312</f>
        <v>17.769783664016465</v>
      </c>
      <c r="E312" s="136">
        <f>'H) Péréquation directe'!I323/C312</f>
        <v>-30.945682107725151</v>
      </c>
      <c r="F312" s="415">
        <f>+'I) Dépenses thématiques'!U312</f>
        <v>-13.785001897467</v>
      </c>
      <c r="G312" s="136">
        <f t="shared" si="17"/>
        <v>-26.960900341175687</v>
      </c>
      <c r="H312" s="416">
        <f>G312-'C) Prél. conj.'!I312</f>
        <v>-31.220341981076285</v>
      </c>
      <c r="I312" s="420">
        <f t="shared" si="18"/>
        <v>0</v>
      </c>
      <c r="J312" s="55">
        <f t="shared" si="19"/>
        <v>0</v>
      </c>
      <c r="K312" s="416">
        <f t="shared" si="20"/>
        <v>-31.220341981076285</v>
      </c>
      <c r="L312" s="455"/>
    </row>
    <row r="313" spans="1:14" x14ac:dyDescent="0.25">
      <c r="A313" s="49">
        <f>'A) Base RI'!A315</f>
        <v>5939</v>
      </c>
      <c r="B313" s="292" t="str">
        <f>'A) Base RI'!B315</f>
        <v>Yvonand</v>
      </c>
      <c r="C313" s="95">
        <f>'B) D RI'!U315</f>
        <v>92890.042937062928</v>
      </c>
      <c r="D313" s="415">
        <f>'E) Fact soc'!G319/C313</f>
        <v>17.384217507668076</v>
      </c>
      <c r="E313" s="136">
        <f>'H) Péréquation directe'!I324/C313</f>
        <v>-8.5039771213890898</v>
      </c>
      <c r="F313" s="415">
        <f>+'I) Dépenses thématiques'!U313</f>
        <v>-6.3547522588053349</v>
      </c>
      <c r="G313" s="480">
        <f t="shared" si="17"/>
        <v>2.5254881274736514</v>
      </c>
      <c r="H313" s="416">
        <f>G313-'C) Prél. conj.'!I313</f>
        <v>-1.3483873560785566</v>
      </c>
      <c r="I313" s="420">
        <f t="shared" si="18"/>
        <v>0</v>
      </c>
      <c r="J313" s="55">
        <f t="shared" si="19"/>
        <v>0</v>
      </c>
      <c r="K313" s="416">
        <f t="shared" si="20"/>
        <v>-1.3483873560785566</v>
      </c>
      <c r="L313" s="455"/>
    </row>
    <row r="314" spans="1:14" x14ac:dyDescent="0.25">
      <c r="A314" s="30"/>
      <c r="B314" s="298">
        <f>COUNTA(B5:B313)</f>
        <v>309</v>
      </c>
      <c r="C314" s="97">
        <f>SUM(C5:C313)</f>
        <v>39272473.833379671</v>
      </c>
      <c r="D314" s="109">
        <f>('E) Fact soc'!G320-'E) Fact soc'!D320)/C314</f>
        <v>17.368955728228929</v>
      </c>
      <c r="E314" s="109">
        <f>'H) Péréquation directe'!I325/C314</f>
        <v>4.4628637289509108</v>
      </c>
      <c r="F314" s="305">
        <f>'I) Dépenses thématiques'!U314</f>
        <v>-4.0791039654430508</v>
      </c>
      <c r="G314" s="109">
        <f>SUM(D314:F314)</f>
        <v>17.75271549173679</v>
      </c>
      <c r="H314" s="408">
        <f>G314-('C) Prél. conj.'!H314/'J) Plafonnement effort'!C314)</f>
        <v>13.62383409409539</v>
      </c>
      <c r="I314" s="306"/>
      <c r="J314" s="37">
        <f>SUM(J5:J313)</f>
        <v>-21696675.101369523</v>
      </c>
      <c r="K314" s="19">
        <f>G314+I314</f>
        <v>17.75271549173679</v>
      </c>
      <c r="M314" s="12"/>
      <c r="N314" s="12"/>
    </row>
    <row r="315" spans="1:14" x14ac:dyDescent="0.25">
      <c r="J315" s="6"/>
    </row>
    <row r="318" spans="1:14" x14ac:dyDescent="0.25">
      <c r="G318" s="28"/>
      <c r="H318" s="411"/>
      <c r="I318" s="28"/>
      <c r="J318" s="28"/>
    </row>
    <row r="320" spans="1:14" x14ac:dyDescent="0.25">
      <c r="J320" s="28"/>
    </row>
  </sheetData>
  <mergeCells count="10">
    <mergeCell ref="C3:C4"/>
    <mergeCell ref="B3:B4"/>
    <mergeCell ref="A3:A4"/>
    <mergeCell ref="K3:K4"/>
    <mergeCell ref="J3:J4"/>
    <mergeCell ref="G3:G4"/>
    <mergeCell ref="F3:F4"/>
    <mergeCell ref="E3:E4"/>
    <mergeCell ref="D3:D4"/>
    <mergeCell ref="H3:H4"/>
  </mergeCells>
  <phoneticPr fontId="0" type="noConversion"/>
  <printOptions horizontalCentered="1"/>
  <pageMargins left="0" right="0" top="0" bottom="0" header="0.51181102362204722" footer="0.51181102362204722"/>
  <pageSetup paperSize="9" scale="64" orientation="portrait" horizontalDpi="4294967292" verticalDpi="4294967292"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4">
    <tabColor rgb="FF00B050"/>
  </sheetPr>
  <dimension ref="A1:Y316"/>
  <sheetViews>
    <sheetView workbookViewId="0">
      <pane ySplit="4" topLeftCell="A5" activePane="bottomLeft" state="frozen"/>
      <selection pane="bottomLeft" activeCell="A3" sqref="A3:A4"/>
    </sheetView>
  </sheetViews>
  <sheetFormatPr baseColWidth="10" defaultColWidth="10.75" defaultRowHeight="15" x14ac:dyDescent="0.25"/>
  <cols>
    <col min="1" max="1" width="7.25" style="13" customWidth="1"/>
    <col min="2" max="2" width="18" style="13" customWidth="1"/>
    <col min="3" max="4" width="9.25" style="13" customWidth="1"/>
    <col min="5" max="5" width="11.625" style="13" customWidth="1"/>
    <col min="6" max="6" width="11" style="13" customWidth="1"/>
    <col min="7" max="7" width="10.375" style="13" customWidth="1"/>
    <col min="8" max="8" width="12.25" style="13" customWidth="1"/>
    <col min="9" max="9" width="10" style="13" customWidth="1"/>
    <col min="10" max="10" width="12.875" style="13" customWidth="1"/>
    <col min="11" max="14" width="12.125" style="13" customWidth="1"/>
    <col min="15" max="17" width="8.125" style="13" customWidth="1"/>
    <col min="18" max="16384" width="10.75" style="13"/>
  </cols>
  <sheetData>
    <row r="1" spans="1:25" s="43" customFormat="1" ht="20.25" customHeight="1" x14ac:dyDescent="0.25">
      <c r="A1" s="51" t="s">
        <v>0</v>
      </c>
      <c r="B1" s="42"/>
      <c r="C1" s="68"/>
      <c r="D1" s="68"/>
      <c r="E1" s="68"/>
      <c r="F1" s="68"/>
      <c r="G1" s="68"/>
      <c r="H1" s="68"/>
      <c r="I1" s="68"/>
      <c r="J1" s="68"/>
      <c r="L1" s="56"/>
      <c r="N1" s="13"/>
      <c r="O1" s="13"/>
      <c r="P1" s="13"/>
      <c r="Q1" s="13"/>
      <c r="R1" s="13"/>
      <c r="Y1" s="13"/>
    </row>
    <row r="3" spans="1:25" ht="45" customHeight="1" x14ac:dyDescent="0.25">
      <c r="A3" s="572" t="s">
        <v>46</v>
      </c>
      <c r="B3" s="572" t="s">
        <v>96</v>
      </c>
      <c r="C3" s="572" t="s">
        <v>369</v>
      </c>
      <c r="D3" s="572" t="s">
        <v>93</v>
      </c>
      <c r="E3" s="572" t="s">
        <v>327</v>
      </c>
      <c r="F3" s="572" t="s">
        <v>367</v>
      </c>
      <c r="G3" s="572" t="s">
        <v>368</v>
      </c>
      <c r="H3" s="572" t="s">
        <v>409</v>
      </c>
      <c r="I3" s="112" t="s">
        <v>146</v>
      </c>
      <c r="J3" s="572" t="s">
        <v>455</v>
      </c>
    </row>
    <row r="4" spans="1:25" x14ac:dyDescent="0.25">
      <c r="A4" s="573"/>
      <c r="B4" s="574"/>
      <c r="C4" s="573"/>
      <c r="D4" s="574"/>
      <c r="E4" s="573"/>
      <c r="F4" s="574"/>
      <c r="G4" s="573"/>
      <c r="H4" s="574"/>
      <c r="I4" s="383">
        <f>Paramètres!B47</f>
        <v>-8</v>
      </c>
      <c r="J4" s="573"/>
    </row>
    <row r="5" spans="1:25" x14ac:dyDescent="0.25">
      <c r="A5" s="46">
        <f>'A) Base RI'!A7</f>
        <v>5401</v>
      </c>
      <c r="B5" s="292" t="str">
        <f>'A) Base RI'!B7</f>
        <v>Aigle</v>
      </c>
      <c r="C5" s="94">
        <f>'B) D RI'!U7</f>
        <v>284723.80196969694</v>
      </c>
      <c r="D5" s="110">
        <f>'E) Fact soc'!G11/C5</f>
        <v>17.361857185172592</v>
      </c>
      <c r="E5" s="135">
        <f>'H) Péréquation directe'!I16/C5</f>
        <v>-13.67239276751719</v>
      </c>
      <c r="F5" s="110">
        <f>+'I) Dépenses thématiques'!U5</f>
        <v>-11.085737528330974</v>
      </c>
      <c r="G5" s="135">
        <f>SUM(D5:F5)</f>
        <v>-7.3962731106755708</v>
      </c>
      <c r="H5" s="110">
        <f>G5-F5</f>
        <v>3.6894644176554028</v>
      </c>
      <c r="I5" s="135">
        <f>IF(H5&lt;I$4,H5-I$4,0)</f>
        <v>0</v>
      </c>
      <c r="J5" s="100">
        <f t="shared" ref="J5" si="0">-I5*C5</f>
        <v>0</v>
      </c>
      <c r="K5" s="36"/>
    </row>
    <row r="6" spans="1:25" x14ac:dyDescent="0.25">
      <c r="A6" s="49">
        <f>'A) Base RI'!A8</f>
        <v>5402</v>
      </c>
      <c r="B6" s="292" t="str">
        <f>'A) Base RI'!B8</f>
        <v>Bex</v>
      </c>
      <c r="C6" s="95">
        <f>'B) D RI'!U8</f>
        <v>179259.20338028169</v>
      </c>
      <c r="D6" s="110">
        <f>'E) Fact soc'!G12/C6</f>
        <v>16.960250080931583</v>
      </c>
      <c r="E6" s="136">
        <f>'H) Péréquation directe'!I17/C6</f>
        <v>-22.641997792447128</v>
      </c>
      <c r="F6" s="415">
        <f>+'I) Dépenses thématiques'!U6</f>
        <v>-11.457341316116871</v>
      </c>
      <c r="G6" s="136">
        <f t="shared" ref="G6:G69" si="1">SUM(D6:F6)</f>
        <v>-17.139089027632416</v>
      </c>
      <c r="H6" s="110">
        <f t="shared" ref="H6:H69" si="2">G6-F6</f>
        <v>-5.6817477115155448</v>
      </c>
      <c r="I6" s="136">
        <f t="shared" ref="I6:I69" si="3">IF(H6&lt;I$4,H6-I$4,0)</f>
        <v>0</v>
      </c>
      <c r="J6" s="55">
        <f t="shared" ref="J6:J69" si="4">-I6*C6</f>
        <v>0</v>
      </c>
      <c r="K6" s="36"/>
    </row>
    <row r="7" spans="1:25" x14ac:dyDescent="0.25">
      <c r="A7" s="49">
        <f>'A) Base RI'!A9</f>
        <v>5403</v>
      </c>
      <c r="B7" s="292" t="str">
        <f>'A) Base RI'!B9</f>
        <v>Chessel</v>
      </c>
      <c r="C7" s="95">
        <f>'B) D RI'!U9</f>
        <v>10797.740270270273</v>
      </c>
      <c r="D7" s="110">
        <f>'E) Fact soc'!G13/C7</f>
        <v>18.950051493857522</v>
      </c>
      <c r="E7" s="136">
        <f>'H) Péréquation directe'!I18/C7</f>
        <v>-7.4807150076409759</v>
      </c>
      <c r="F7" s="415">
        <f>+'I) Dépenses thématiques'!U7</f>
        <v>-1.4922801227253759</v>
      </c>
      <c r="G7" s="136">
        <f t="shared" si="1"/>
        <v>9.9770563634911706</v>
      </c>
      <c r="H7" s="110">
        <f t="shared" si="2"/>
        <v>11.469336486216546</v>
      </c>
      <c r="I7" s="136">
        <f t="shared" si="3"/>
        <v>0</v>
      </c>
      <c r="J7" s="55">
        <f t="shared" si="4"/>
        <v>0</v>
      </c>
      <c r="K7" s="36"/>
    </row>
    <row r="8" spans="1:25" x14ac:dyDescent="0.25">
      <c r="A8" s="49">
        <f>'A) Base RI'!A10</f>
        <v>5404</v>
      </c>
      <c r="B8" s="292" t="str">
        <f>'A) Base RI'!B10</f>
        <v>Corbeyrier</v>
      </c>
      <c r="C8" s="95">
        <f>'B) D RI'!U10</f>
        <v>11267.87027027027</v>
      </c>
      <c r="D8" s="110">
        <f>'E) Fact soc'!G14/C8</f>
        <v>18.871403924108002</v>
      </c>
      <c r="E8" s="136">
        <f>'H) Péréquation directe'!I19/C8</f>
        <v>-5.5572845083180704</v>
      </c>
      <c r="F8" s="415">
        <f>+'I) Dépenses thématiques'!U8</f>
        <v>-11.761195549555875</v>
      </c>
      <c r="G8" s="136">
        <f t="shared" si="1"/>
        <v>1.5529238662340568</v>
      </c>
      <c r="H8" s="110">
        <f t="shared" si="2"/>
        <v>13.314119415789932</v>
      </c>
      <c r="I8" s="136">
        <f t="shared" si="3"/>
        <v>0</v>
      </c>
      <c r="J8" s="55">
        <f t="shared" si="4"/>
        <v>0</v>
      </c>
      <c r="K8" s="36"/>
    </row>
    <row r="9" spans="1:25" x14ac:dyDescent="0.25">
      <c r="A9" s="49">
        <f>'A) Base RI'!A11</f>
        <v>5405</v>
      </c>
      <c r="B9" s="292" t="str">
        <f>'A) Base RI'!B11</f>
        <v>Gryon</v>
      </c>
      <c r="C9" s="95">
        <f>'B) D RI'!U11</f>
        <v>68185.794013605453</v>
      </c>
      <c r="D9" s="110">
        <f>'E) Fact soc'!G15/C9</f>
        <v>20.100503864423668</v>
      </c>
      <c r="E9" s="136">
        <f>'H) Péréquation directe'!I20/C9</f>
        <v>15.420900559347908</v>
      </c>
      <c r="F9" s="415">
        <f>+'I) Dépenses thématiques'!U9</f>
        <v>-12.587992093295885</v>
      </c>
      <c r="G9" s="136">
        <f t="shared" si="1"/>
        <v>22.933412330475694</v>
      </c>
      <c r="H9" s="110">
        <f t="shared" si="2"/>
        <v>35.521404423771578</v>
      </c>
      <c r="I9" s="136">
        <f t="shared" si="3"/>
        <v>0</v>
      </c>
      <c r="J9" s="55">
        <f t="shared" si="4"/>
        <v>0</v>
      </c>
      <c r="K9" s="36"/>
    </row>
    <row r="10" spans="1:25" x14ac:dyDescent="0.25">
      <c r="A10" s="49">
        <f>'A) Base RI'!A12</f>
        <v>5406</v>
      </c>
      <c r="B10" s="292" t="str">
        <f>'A) Base RI'!B12</f>
        <v>Lavey-Morcles</v>
      </c>
      <c r="C10" s="95">
        <f>'B) D RI'!U12</f>
        <v>21842.545067240455</v>
      </c>
      <c r="D10" s="110">
        <f>'E) Fact soc'!G16/C10</f>
        <v>18.328299806784432</v>
      </c>
      <c r="E10" s="136">
        <f>'H) Péréquation directe'!I21/C10</f>
        <v>-8.3831786594515663</v>
      </c>
      <c r="F10" s="415">
        <f>+'I) Dépenses thématiques'!U10</f>
        <v>-8.072757558851821</v>
      </c>
      <c r="G10" s="136">
        <f t="shared" si="1"/>
        <v>1.8723635884810452</v>
      </c>
      <c r="H10" s="110">
        <f t="shared" si="2"/>
        <v>9.9451211473328662</v>
      </c>
      <c r="I10" s="136">
        <f t="shared" si="3"/>
        <v>0</v>
      </c>
      <c r="J10" s="55">
        <f t="shared" si="4"/>
        <v>0</v>
      </c>
      <c r="K10" s="36"/>
    </row>
    <row r="11" spans="1:25" x14ac:dyDescent="0.25">
      <c r="A11" s="49">
        <f>'A) Base RI'!A13</f>
        <v>5407</v>
      </c>
      <c r="B11" s="292" t="str">
        <f>'A) Base RI'!B13</f>
        <v>Leysin</v>
      </c>
      <c r="C11" s="95">
        <f>'B) D RI'!U13</f>
        <v>90822.200982905983</v>
      </c>
      <c r="D11" s="110">
        <f>'E) Fact soc'!G17/C11</f>
        <v>17.850439222092714</v>
      </c>
      <c r="E11" s="136">
        <f>'H) Péréquation directe'!I22/C11</f>
        <v>-16.14754031191654</v>
      </c>
      <c r="F11" s="415">
        <f>+'I) Dépenses thématiques'!U11</f>
        <v>-18.905959939118446</v>
      </c>
      <c r="G11" s="136">
        <f t="shared" si="1"/>
        <v>-17.203061028942273</v>
      </c>
      <c r="H11" s="110">
        <f t="shared" si="2"/>
        <v>1.7028989101761738</v>
      </c>
      <c r="I11" s="136">
        <f t="shared" si="3"/>
        <v>0</v>
      </c>
      <c r="J11" s="55">
        <f t="shared" si="4"/>
        <v>0</v>
      </c>
      <c r="K11" s="36"/>
      <c r="L11" s="28"/>
    </row>
    <row r="12" spans="1:25" x14ac:dyDescent="0.25">
      <c r="A12" s="49">
        <f>'A) Base RI'!A14</f>
        <v>5408</v>
      </c>
      <c r="B12" s="292" t="str">
        <f>'A) Base RI'!B14</f>
        <v>Noville</v>
      </c>
      <c r="C12" s="95">
        <f>'B) D RI'!U14</f>
        <v>43840.045520169842</v>
      </c>
      <c r="D12" s="110">
        <f>'E) Fact soc'!G18/C12</f>
        <v>17.022596246779905</v>
      </c>
      <c r="E12" s="136">
        <f>'H) Péréquation directe'!I23/C12</f>
        <v>7.9299568373890965</v>
      </c>
      <c r="F12" s="415">
        <f>+'I) Dépenses thématiques'!U12</f>
        <v>-2.4266784278293656</v>
      </c>
      <c r="G12" s="136">
        <f t="shared" si="1"/>
        <v>22.525874656339635</v>
      </c>
      <c r="H12" s="110">
        <f t="shared" si="2"/>
        <v>24.952553084169001</v>
      </c>
      <c r="I12" s="136">
        <f t="shared" si="3"/>
        <v>0</v>
      </c>
      <c r="J12" s="55">
        <f t="shared" si="4"/>
        <v>0</v>
      </c>
      <c r="K12" s="36"/>
    </row>
    <row r="13" spans="1:25" x14ac:dyDescent="0.25">
      <c r="A13" s="49">
        <f>'A) Base RI'!A15</f>
        <v>5409</v>
      </c>
      <c r="B13" s="292" t="str">
        <f>'A) Base RI'!B15</f>
        <v>Ollon</v>
      </c>
      <c r="C13" s="95">
        <f>'B) D RI'!U15</f>
        <v>389186.78990950214</v>
      </c>
      <c r="D13" s="110">
        <f>'E) Fact soc'!G19/C13</f>
        <v>18.752876312079884</v>
      </c>
      <c r="E13" s="136">
        <f>'H) Péréquation directe'!I24/C13</f>
        <v>10.484426326596184</v>
      </c>
      <c r="F13" s="415">
        <f>+'I) Dépenses thématiques'!U13</f>
        <v>-7.1324162075396469</v>
      </c>
      <c r="G13" s="136">
        <f t="shared" si="1"/>
        <v>22.104886431136421</v>
      </c>
      <c r="H13" s="110">
        <f t="shared" si="2"/>
        <v>29.23730263867607</v>
      </c>
      <c r="I13" s="136">
        <f t="shared" si="3"/>
        <v>0</v>
      </c>
      <c r="J13" s="55">
        <f t="shared" si="4"/>
        <v>0</v>
      </c>
      <c r="K13" s="36"/>
    </row>
    <row r="14" spans="1:25" x14ac:dyDescent="0.25">
      <c r="A14" s="49">
        <f>'A) Base RI'!A16</f>
        <v>5410</v>
      </c>
      <c r="B14" s="292" t="str">
        <f>'A) Base RI'!B16</f>
        <v>Ormont-Dessous</v>
      </c>
      <c r="C14" s="95">
        <f>'B) D RI'!U16</f>
        <v>39522.545108225109</v>
      </c>
      <c r="D14" s="110">
        <f>'E) Fact soc'!G20/C14</f>
        <v>19.066590853706025</v>
      </c>
      <c r="E14" s="136">
        <f>'H) Péréquation directe'!I25/C14</f>
        <v>4.022797545015603</v>
      </c>
      <c r="F14" s="415">
        <f>+'I) Dépenses thématiques'!U14</f>
        <v>-20.278282138077422</v>
      </c>
      <c r="G14" s="136">
        <f t="shared" si="1"/>
        <v>2.8111062606442054</v>
      </c>
      <c r="H14" s="110">
        <f t="shared" si="2"/>
        <v>23.089388398721628</v>
      </c>
      <c r="I14" s="136">
        <f t="shared" si="3"/>
        <v>0</v>
      </c>
      <c r="J14" s="55">
        <f t="shared" si="4"/>
        <v>0</v>
      </c>
      <c r="K14" s="36"/>
    </row>
    <row r="15" spans="1:25" x14ac:dyDescent="0.25">
      <c r="A15" s="49">
        <f>'A) Base RI'!A17</f>
        <v>5411</v>
      </c>
      <c r="B15" s="292" t="str">
        <f>'A) Base RI'!B17</f>
        <v>Ormont-Dessus</v>
      </c>
      <c r="C15" s="95">
        <f>'B) D RI'!U17</f>
        <v>68049.385526315804</v>
      </c>
      <c r="D15" s="110">
        <f>'E) Fact soc'!G21/C15</f>
        <v>20.31849482985778</v>
      </c>
      <c r="E15" s="136">
        <f>'H) Péréquation directe'!I26/C15</f>
        <v>14.090298583540635</v>
      </c>
      <c r="F15" s="415">
        <f>+'I) Dépenses thématiques'!U15</f>
        <v>-13.643846899077722</v>
      </c>
      <c r="G15" s="136">
        <f t="shared" si="1"/>
        <v>20.764946514320691</v>
      </c>
      <c r="H15" s="110">
        <f t="shared" si="2"/>
        <v>34.408793413398413</v>
      </c>
      <c r="I15" s="136">
        <f t="shared" si="3"/>
        <v>0</v>
      </c>
      <c r="J15" s="55">
        <f t="shared" si="4"/>
        <v>0</v>
      </c>
      <c r="K15" s="36"/>
    </row>
    <row r="16" spans="1:25" x14ac:dyDescent="0.25">
      <c r="A16" s="49">
        <f>'A) Base RI'!A18</f>
        <v>5412</v>
      </c>
      <c r="B16" s="292" t="str">
        <f>'A) Base RI'!B18</f>
        <v>Rennaz</v>
      </c>
      <c r="C16" s="95">
        <f>'B) D RI'!U18</f>
        <v>24274.281449275361</v>
      </c>
      <c r="D16" s="110">
        <f>'E) Fact soc'!G22/C16</f>
        <v>25.99170426888973</v>
      </c>
      <c r="E16" s="136">
        <f>'H) Péréquation directe'!I27/C16</f>
        <v>2.742453820307739E-2</v>
      </c>
      <c r="F16" s="415">
        <f>+'I) Dépenses thématiques'!U16</f>
        <v>-3.6676616114644682</v>
      </c>
      <c r="G16" s="136">
        <f t="shared" si="1"/>
        <v>22.351467195628341</v>
      </c>
      <c r="H16" s="110">
        <f t="shared" si="2"/>
        <v>26.019128807092809</v>
      </c>
      <c r="I16" s="136">
        <f t="shared" si="3"/>
        <v>0</v>
      </c>
      <c r="J16" s="55">
        <f t="shared" si="4"/>
        <v>0</v>
      </c>
      <c r="K16" s="36"/>
    </row>
    <row r="17" spans="1:11" x14ac:dyDescent="0.25">
      <c r="A17" s="49">
        <f>'A) Base RI'!A19</f>
        <v>5413</v>
      </c>
      <c r="B17" s="292" t="str">
        <f>'A) Base RI'!B19</f>
        <v>Roche</v>
      </c>
      <c r="C17" s="95">
        <f>'B) D RI'!U19</f>
        <v>48007.468357843129</v>
      </c>
      <c r="D17" s="110">
        <f>'E) Fact soc'!G23/C17</f>
        <v>18.151252337054725</v>
      </c>
      <c r="E17" s="136">
        <f>'H) Péréquation directe'!I28/C17</f>
        <v>-5.9157453575717636</v>
      </c>
      <c r="F17" s="415">
        <f>+'I) Dépenses thématiques'!U17</f>
        <v>0</v>
      </c>
      <c r="G17" s="136">
        <f t="shared" si="1"/>
        <v>12.235506979482961</v>
      </c>
      <c r="H17" s="110">
        <f t="shared" si="2"/>
        <v>12.235506979482961</v>
      </c>
      <c r="I17" s="136">
        <f t="shared" si="3"/>
        <v>0</v>
      </c>
      <c r="J17" s="55">
        <f t="shared" si="4"/>
        <v>0</v>
      </c>
      <c r="K17" s="36"/>
    </row>
    <row r="18" spans="1:11" x14ac:dyDescent="0.25">
      <c r="A18" s="49">
        <f>'A) Base RI'!A20</f>
        <v>5414</v>
      </c>
      <c r="B18" s="292" t="str">
        <f>'A) Base RI'!B20</f>
        <v>Villeneuve</v>
      </c>
      <c r="C18" s="95">
        <f>'B) D RI'!U20</f>
        <v>159468.65911111108</v>
      </c>
      <c r="D18" s="110">
        <f>'E) Fact soc'!G24/C18</f>
        <v>19.029008794787181</v>
      </c>
      <c r="E18" s="136">
        <f>'H) Péréquation directe'!I29/C18</f>
        <v>-9.2619555073601987</v>
      </c>
      <c r="F18" s="415">
        <f>+'I) Dépenses thématiques'!U18</f>
        <v>-15.30774802150396</v>
      </c>
      <c r="G18" s="136">
        <f t="shared" si="1"/>
        <v>-5.5406947340769772</v>
      </c>
      <c r="H18" s="110">
        <f t="shared" si="2"/>
        <v>9.7670532874269824</v>
      </c>
      <c r="I18" s="136">
        <f t="shared" si="3"/>
        <v>0</v>
      </c>
      <c r="J18" s="55">
        <f t="shared" si="4"/>
        <v>0</v>
      </c>
      <c r="K18" s="36"/>
    </row>
    <row r="19" spans="1:11" x14ac:dyDescent="0.25">
      <c r="A19" s="49">
        <f>'A) Base RI'!A21</f>
        <v>5415</v>
      </c>
      <c r="B19" s="292" t="str">
        <f>'A) Base RI'!B21</f>
        <v>Yvorne</v>
      </c>
      <c r="C19" s="95">
        <f>'B) D RI'!U21</f>
        <v>38155.020093240091</v>
      </c>
      <c r="D19" s="110">
        <f>'E) Fact soc'!G25/C19</f>
        <v>18.314440267336956</v>
      </c>
      <c r="E19" s="136">
        <f>'H) Péréquation directe'!I30/C19</f>
        <v>8.0814846827935281</v>
      </c>
      <c r="F19" s="415">
        <f>+'I) Dépenses thématiques'!U19</f>
        <v>-4.6630263576286524</v>
      </c>
      <c r="G19" s="136">
        <f t="shared" si="1"/>
        <v>21.732898592501833</v>
      </c>
      <c r="H19" s="110">
        <f t="shared" si="2"/>
        <v>26.395924950130485</v>
      </c>
      <c r="I19" s="136">
        <f t="shared" si="3"/>
        <v>0</v>
      </c>
      <c r="J19" s="55">
        <f t="shared" si="4"/>
        <v>0</v>
      </c>
      <c r="K19" s="36"/>
    </row>
    <row r="20" spans="1:11" x14ac:dyDescent="0.25">
      <c r="A20" s="49">
        <f>'A) Base RI'!A22</f>
        <v>5421</v>
      </c>
      <c r="B20" s="292" t="str">
        <f>'A) Base RI'!B22</f>
        <v>Apples</v>
      </c>
      <c r="C20" s="95">
        <f>'B) D RI'!U22</f>
        <v>66313.601621621623</v>
      </c>
      <c r="D20" s="110">
        <f>'E) Fact soc'!G26/C20</f>
        <v>15.052420157399732</v>
      </c>
      <c r="E20" s="136">
        <f>'H) Péréquation directe'!I31/C20</f>
        <v>13.619756615021025</v>
      </c>
      <c r="F20" s="415">
        <f>+'I) Dépenses thématiques'!U20</f>
        <v>-7.6566440044589772</v>
      </c>
      <c r="G20" s="136">
        <f t="shared" si="1"/>
        <v>21.01553276796178</v>
      </c>
      <c r="H20" s="110">
        <f t="shared" si="2"/>
        <v>28.672176772420755</v>
      </c>
      <c r="I20" s="136">
        <f t="shared" si="3"/>
        <v>0</v>
      </c>
      <c r="J20" s="55">
        <f t="shared" si="4"/>
        <v>0</v>
      </c>
      <c r="K20" s="36"/>
    </row>
    <row r="21" spans="1:11" x14ac:dyDescent="0.25">
      <c r="A21" s="49">
        <f>'A) Base RI'!A23</f>
        <v>5422</v>
      </c>
      <c r="B21" s="292" t="str">
        <f>'A) Base RI'!B23</f>
        <v>Aubonne</v>
      </c>
      <c r="C21" s="95">
        <f>'B) D RI'!U23</f>
        <v>242388.1994160584</v>
      </c>
      <c r="D21" s="110">
        <f>'E) Fact soc'!G27/C21</f>
        <v>23.57347840509285</v>
      </c>
      <c r="E21" s="136">
        <f>'H) Péréquation directe'!I32/C21</f>
        <v>15.29467057321018</v>
      </c>
      <c r="F21" s="415">
        <f>+'I) Dépenses thématiques'!U21</f>
        <v>0</v>
      </c>
      <c r="G21" s="136">
        <f t="shared" si="1"/>
        <v>38.868148978303026</v>
      </c>
      <c r="H21" s="110">
        <f t="shared" si="2"/>
        <v>38.868148978303026</v>
      </c>
      <c r="I21" s="136">
        <f t="shared" si="3"/>
        <v>0</v>
      </c>
      <c r="J21" s="55">
        <f t="shared" si="4"/>
        <v>0</v>
      </c>
      <c r="K21" s="36"/>
    </row>
    <row r="22" spans="1:11" x14ac:dyDescent="0.25">
      <c r="A22" s="49">
        <f>'A) Base RI'!A24</f>
        <v>5423</v>
      </c>
      <c r="B22" s="292" t="str">
        <f>'A) Base RI'!B24</f>
        <v>Ballens</v>
      </c>
      <c r="C22" s="95">
        <f>'B) D RI'!U24</f>
        <v>17114.745479452053</v>
      </c>
      <c r="D22" s="110">
        <f>'E) Fact soc'!G28/C22</f>
        <v>15.777688041419445</v>
      </c>
      <c r="E22" s="136">
        <f>'H) Péréquation directe'!I33/C22</f>
        <v>2.6545955056294273</v>
      </c>
      <c r="F22" s="415">
        <f>+'I) Dépenses thématiques'!U22</f>
        <v>-8.1591174219535869</v>
      </c>
      <c r="G22" s="136">
        <f t="shared" si="1"/>
        <v>10.273166125095285</v>
      </c>
      <c r="H22" s="110">
        <f t="shared" si="2"/>
        <v>18.432283547048872</v>
      </c>
      <c r="I22" s="136">
        <f t="shared" si="3"/>
        <v>0</v>
      </c>
      <c r="J22" s="55">
        <f t="shared" si="4"/>
        <v>0</v>
      </c>
      <c r="K22" s="36"/>
    </row>
    <row r="23" spans="1:11" x14ac:dyDescent="0.25">
      <c r="A23" s="49">
        <f>'A) Base RI'!A25</f>
        <v>5424</v>
      </c>
      <c r="B23" s="292" t="str">
        <f>'A) Base RI'!B25</f>
        <v>Berolle</v>
      </c>
      <c r="C23" s="95">
        <f>'B) D RI'!U25</f>
        <v>9114.9769536423846</v>
      </c>
      <c r="D23" s="110">
        <f>'E) Fact soc'!G29/C23</f>
        <v>15.919492383100039</v>
      </c>
      <c r="E23" s="136">
        <f>'H) Péréquation directe'!I34/C23</f>
        <v>-5.2652166735943147E-2</v>
      </c>
      <c r="F23" s="415">
        <f>+'I) Dépenses thématiques'!U23</f>
        <v>-5.1095727959613395</v>
      </c>
      <c r="G23" s="136">
        <f t="shared" si="1"/>
        <v>10.757267420402757</v>
      </c>
      <c r="H23" s="110">
        <f t="shared" si="2"/>
        <v>15.866840216364096</v>
      </c>
      <c r="I23" s="136">
        <f t="shared" si="3"/>
        <v>0</v>
      </c>
      <c r="J23" s="55">
        <f t="shared" si="4"/>
        <v>0</v>
      </c>
      <c r="K23" s="36"/>
    </row>
    <row r="24" spans="1:11" x14ac:dyDescent="0.25">
      <c r="A24" s="49">
        <f>'A) Base RI'!A26</f>
        <v>5425</v>
      </c>
      <c r="B24" s="292" t="str">
        <f>'A) Base RI'!B26</f>
        <v>Bière</v>
      </c>
      <c r="C24" s="95">
        <f>'B) D RI'!U26</f>
        <v>40211.969135432286</v>
      </c>
      <c r="D24" s="110">
        <f>'E) Fact soc'!G30/C24</f>
        <v>17.081165788463124</v>
      </c>
      <c r="E24" s="136">
        <f>'H) Péréquation directe'!I35/C24</f>
        <v>-7.4592981013929478</v>
      </c>
      <c r="F24" s="415">
        <f>+'I) Dépenses thématiques'!U24</f>
        <v>-14.816190829383197</v>
      </c>
      <c r="G24" s="136">
        <f t="shared" si="1"/>
        <v>-5.1943231423130207</v>
      </c>
      <c r="H24" s="110">
        <f t="shared" si="2"/>
        <v>9.6218676870701767</v>
      </c>
      <c r="I24" s="136">
        <f t="shared" si="3"/>
        <v>0</v>
      </c>
      <c r="J24" s="55">
        <f t="shared" si="4"/>
        <v>0</v>
      </c>
      <c r="K24" s="36"/>
    </row>
    <row r="25" spans="1:11" x14ac:dyDescent="0.25">
      <c r="A25" s="49">
        <f>'A) Base RI'!A27</f>
        <v>5426</v>
      </c>
      <c r="B25" s="292" t="str">
        <f>'A) Base RI'!B27</f>
        <v>Bougy-Villars</v>
      </c>
      <c r="C25" s="95">
        <f>'B) D RI'!U27</f>
        <v>55602.775012919898</v>
      </c>
      <c r="D25" s="110">
        <f>'E) Fact soc'!G31/C25</f>
        <v>30.497940631578494</v>
      </c>
      <c r="E25" s="136">
        <f>'H) Péréquation directe'!I36/C25</f>
        <v>18.100335448406334</v>
      </c>
      <c r="F25" s="415">
        <f>+'I) Dépenses thématiques'!U25</f>
        <v>0</v>
      </c>
      <c r="G25" s="136">
        <f t="shared" si="1"/>
        <v>48.598276079984828</v>
      </c>
      <c r="H25" s="110">
        <f t="shared" si="2"/>
        <v>48.598276079984828</v>
      </c>
      <c r="I25" s="136">
        <f t="shared" si="3"/>
        <v>0</v>
      </c>
      <c r="J25" s="55">
        <f t="shared" si="4"/>
        <v>0</v>
      </c>
      <c r="K25" s="36"/>
    </row>
    <row r="26" spans="1:11" x14ac:dyDescent="0.25">
      <c r="A26" s="49">
        <f>'A) Base RI'!A28</f>
        <v>5427</v>
      </c>
      <c r="B26" s="292" t="str">
        <f>'A) Base RI'!B28</f>
        <v>Féchy</v>
      </c>
      <c r="C26" s="95">
        <f>'B) D RI'!U28</f>
        <v>77020.028293269235</v>
      </c>
      <c r="D26" s="110">
        <f>'E) Fact soc'!G32/C26</f>
        <v>24.091731249451254</v>
      </c>
      <c r="E26" s="136">
        <f>'H) Péréquation directe'!I37/C26</f>
        <v>17.765046963898762</v>
      </c>
      <c r="F26" s="415">
        <f>+'I) Dépenses thématiques'!U26</f>
        <v>0</v>
      </c>
      <c r="G26" s="136">
        <f t="shared" si="1"/>
        <v>41.856778213350012</v>
      </c>
      <c r="H26" s="110">
        <f t="shared" si="2"/>
        <v>41.856778213350012</v>
      </c>
      <c r="I26" s="136">
        <f t="shared" si="3"/>
        <v>0</v>
      </c>
      <c r="J26" s="55">
        <f t="shared" si="4"/>
        <v>0</v>
      </c>
      <c r="K26" s="36"/>
    </row>
    <row r="27" spans="1:11" x14ac:dyDescent="0.25">
      <c r="A27" s="49">
        <f>'A) Base RI'!A29</f>
        <v>5428</v>
      </c>
      <c r="B27" s="292" t="str">
        <f>'A) Base RI'!B29</f>
        <v>Gimel</v>
      </c>
      <c r="C27" s="95">
        <f>'B) D RI'!U29</f>
        <v>70193.222975391502</v>
      </c>
      <c r="D27" s="110">
        <f>'E) Fact soc'!G33/C27</f>
        <v>20.530103535462139</v>
      </c>
      <c r="E27" s="136">
        <f>'H) Péréquation directe'!I38/C27</f>
        <v>-2.0525771427638144</v>
      </c>
      <c r="F27" s="415">
        <f>+'I) Dépenses thématiques'!U27</f>
        <v>-3.5768623276370795</v>
      </c>
      <c r="G27" s="136">
        <f t="shared" si="1"/>
        <v>14.900664065061243</v>
      </c>
      <c r="H27" s="110">
        <f t="shared" si="2"/>
        <v>18.477526392698323</v>
      </c>
      <c r="I27" s="136">
        <f t="shared" si="3"/>
        <v>0</v>
      </c>
      <c r="J27" s="55">
        <f t="shared" si="4"/>
        <v>0</v>
      </c>
      <c r="K27" s="36"/>
    </row>
    <row r="28" spans="1:11" x14ac:dyDescent="0.25">
      <c r="A28" s="49">
        <f>'A) Base RI'!A30</f>
        <v>5429</v>
      </c>
      <c r="B28" s="292" t="str">
        <f>'A) Base RI'!B30</f>
        <v>Longirod</v>
      </c>
      <c r="C28" s="95">
        <f>'B) D RI'!U30</f>
        <v>16140.77393548387</v>
      </c>
      <c r="D28" s="110">
        <f>'E) Fact soc'!G34/C28</f>
        <v>16.402505075688936</v>
      </c>
      <c r="E28" s="136">
        <f>'H) Péréquation directe'!I39/C28</f>
        <v>3.9407656340692823</v>
      </c>
      <c r="F28" s="415">
        <f>+'I) Dépenses thématiques'!U28</f>
        <v>-7.6038191493204019</v>
      </c>
      <c r="G28" s="136">
        <f t="shared" si="1"/>
        <v>12.739451560437818</v>
      </c>
      <c r="H28" s="110">
        <f t="shared" si="2"/>
        <v>20.343270709758219</v>
      </c>
      <c r="I28" s="136">
        <f t="shared" si="3"/>
        <v>0</v>
      </c>
      <c r="J28" s="55">
        <f t="shared" si="4"/>
        <v>0</v>
      </c>
      <c r="K28" s="36"/>
    </row>
    <row r="29" spans="1:11" x14ac:dyDescent="0.25">
      <c r="A29" s="49">
        <f>'A) Base RI'!A31</f>
        <v>5430</v>
      </c>
      <c r="B29" s="292" t="str">
        <f>'A) Base RI'!B31</f>
        <v>Marchissy</v>
      </c>
      <c r="C29" s="95">
        <f>'B) D RI'!U31</f>
        <v>14848.450709677421</v>
      </c>
      <c r="D29" s="110">
        <f>'E) Fact soc'!G35/C29</f>
        <v>16.47073943253714</v>
      </c>
      <c r="E29" s="136">
        <f>'H) Péréquation directe'!I40/C29</f>
        <v>1.6433381373181433</v>
      </c>
      <c r="F29" s="415">
        <f>+'I) Dépenses thématiques'!U29</f>
        <v>-24.783794949720523</v>
      </c>
      <c r="G29" s="136">
        <f t="shared" si="1"/>
        <v>-6.66971737986524</v>
      </c>
      <c r="H29" s="110">
        <f t="shared" si="2"/>
        <v>18.114077569855283</v>
      </c>
      <c r="I29" s="136">
        <f t="shared" si="3"/>
        <v>0</v>
      </c>
      <c r="J29" s="55">
        <f t="shared" si="4"/>
        <v>0</v>
      </c>
      <c r="K29" s="36"/>
    </row>
    <row r="30" spans="1:11" x14ac:dyDescent="0.25">
      <c r="A30" s="49">
        <f>'A) Base RI'!A32</f>
        <v>5431</v>
      </c>
      <c r="B30" s="292" t="str">
        <f>'A) Base RI'!B32</f>
        <v>Mollens</v>
      </c>
      <c r="C30" s="95">
        <f>'B) D RI'!U32</f>
        <v>9333.4747297297308</v>
      </c>
      <c r="D30" s="110">
        <f>'E) Fact soc'!G36/C30</f>
        <v>22.794856367308324</v>
      </c>
      <c r="E30" s="136">
        <f>'H) Péréquation directe'!I41/C30</f>
        <v>-0.66714981382791094</v>
      </c>
      <c r="F30" s="415">
        <f>+'I) Dépenses thématiques'!U30</f>
        <v>-7.9457327224661389</v>
      </c>
      <c r="G30" s="136">
        <f t="shared" si="1"/>
        <v>14.181973831014272</v>
      </c>
      <c r="H30" s="110">
        <f t="shared" si="2"/>
        <v>22.127706553480412</v>
      </c>
      <c r="I30" s="136">
        <f t="shared" si="3"/>
        <v>0</v>
      </c>
      <c r="J30" s="55">
        <f t="shared" si="4"/>
        <v>0</v>
      </c>
      <c r="K30" s="36"/>
    </row>
    <row r="31" spans="1:11" x14ac:dyDescent="0.25">
      <c r="A31" s="49">
        <f>'A) Base RI'!A33</f>
        <v>5432</v>
      </c>
      <c r="B31" s="292" t="str">
        <f>'A) Base RI'!B33</f>
        <v>Montherod</v>
      </c>
      <c r="C31" s="95">
        <f>'B) D RI'!U33</f>
        <v>16429.509999999998</v>
      </c>
      <c r="D31" s="110">
        <f>'E) Fact soc'!G37/C31</f>
        <v>17.179066471771339</v>
      </c>
      <c r="E31" s="136">
        <f>'H) Péréquation directe'!I42/C31</f>
        <v>3.1799099171955603</v>
      </c>
      <c r="F31" s="415">
        <f>+'I) Dépenses thématiques'!U31</f>
        <v>-2.2509307946493848</v>
      </c>
      <c r="G31" s="136">
        <f t="shared" si="1"/>
        <v>18.108045594317513</v>
      </c>
      <c r="H31" s="110">
        <f t="shared" si="2"/>
        <v>20.358976388966898</v>
      </c>
      <c r="I31" s="136">
        <f t="shared" si="3"/>
        <v>0</v>
      </c>
      <c r="J31" s="55">
        <f t="shared" si="4"/>
        <v>0</v>
      </c>
      <c r="K31" s="36"/>
    </row>
    <row r="32" spans="1:11" x14ac:dyDescent="0.25">
      <c r="A32" s="49">
        <f>'A) Base RI'!A34</f>
        <v>5434</v>
      </c>
      <c r="B32" s="292" t="str">
        <f>'A) Base RI'!B34</f>
        <v>Saint-George</v>
      </c>
      <c r="C32" s="95">
        <f>'B) D RI'!U34</f>
        <v>40796.774220623498</v>
      </c>
      <c r="D32" s="110">
        <f>'E) Fact soc'!G38/C32</f>
        <v>16.330150261352568</v>
      </c>
      <c r="E32" s="136">
        <f>'H) Péréquation directe'!I43/C32</f>
        <v>10.29967130748493</v>
      </c>
      <c r="F32" s="415">
        <f>+'I) Dépenses thématiques'!U32</f>
        <v>-1.3470959502173223</v>
      </c>
      <c r="G32" s="136">
        <f t="shared" si="1"/>
        <v>25.282725618620177</v>
      </c>
      <c r="H32" s="110">
        <f t="shared" si="2"/>
        <v>26.6298215688375</v>
      </c>
      <c r="I32" s="136">
        <f t="shared" si="3"/>
        <v>0</v>
      </c>
      <c r="J32" s="55">
        <f t="shared" si="4"/>
        <v>0</v>
      </c>
      <c r="K32" s="36"/>
    </row>
    <row r="33" spans="1:11" x14ac:dyDescent="0.25">
      <c r="A33" s="49">
        <f>'A) Base RI'!A35</f>
        <v>5435</v>
      </c>
      <c r="B33" s="292" t="str">
        <f>'A) Base RI'!B35</f>
        <v>Saint-Livres</v>
      </c>
      <c r="C33" s="95">
        <f>'B) D RI'!U35</f>
        <v>26346.510144927532</v>
      </c>
      <c r="D33" s="110">
        <f>'E) Fact soc'!G39/C33</f>
        <v>16.156288854133564</v>
      </c>
      <c r="E33" s="136">
        <f>'H) Péréquation directe'!I44/C33</f>
        <v>11.19858488782257</v>
      </c>
      <c r="F33" s="415">
        <f>+'I) Dépenses thématiques'!U33</f>
        <v>-1.5368900437931676</v>
      </c>
      <c r="G33" s="136">
        <f t="shared" si="1"/>
        <v>25.817983698162966</v>
      </c>
      <c r="H33" s="110">
        <f t="shared" si="2"/>
        <v>27.354873741956133</v>
      </c>
      <c r="I33" s="136">
        <f t="shared" si="3"/>
        <v>0</v>
      </c>
      <c r="J33" s="55">
        <f t="shared" si="4"/>
        <v>0</v>
      </c>
      <c r="K33" s="36"/>
    </row>
    <row r="34" spans="1:11" x14ac:dyDescent="0.25">
      <c r="A34" s="49">
        <f>'A) Base RI'!A36</f>
        <v>5436</v>
      </c>
      <c r="B34" s="292" t="str">
        <f>'A) Base RI'!B36</f>
        <v>Saint-Oyens</v>
      </c>
      <c r="C34" s="95">
        <f>'B) D RI'!U36</f>
        <v>16755.63848765432</v>
      </c>
      <c r="D34" s="110">
        <f>'E) Fact soc'!G40/C34</f>
        <v>15.355167574796951</v>
      </c>
      <c r="E34" s="136">
        <f>'H) Péréquation directe'!I45/C34</f>
        <v>7.1899762566209482</v>
      </c>
      <c r="F34" s="415">
        <f>+'I) Dépenses thématiques'!U34</f>
        <v>0</v>
      </c>
      <c r="G34" s="136">
        <f t="shared" si="1"/>
        <v>22.545143831417899</v>
      </c>
      <c r="H34" s="110">
        <f t="shared" si="2"/>
        <v>22.545143831417899</v>
      </c>
      <c r="I34" s="136">
        <f t="shared" si="3"/>
        <v>0</v>
      </c>
      <c r="J34" s="55">
        <f t="shared" si="4"/>
        <v>0</v>
      </c>
      <c r="K34" s="36"/>
    </row>
    <row r="35" spans="1:11" x14ac:dyDescent="0.25">
      <c r="A35" s="49">
        <f>'A) Base RI'!A37</f>
        <v>5437</v>
      </c>
      <c r="B35" s="292" t="str">
        <f>'A) Base RI'!B37</f>
        <v>Saubraz</v>
      </c>
      <c r="C35" s="95">
        <f>'B) D RI'!U37</f>
        <v>13391.905875</v>
      </c>
      <c r="D35" s="110">
        <f>'E) Fact soc'!G41/C35</f>
        <v>17.526148325472509</v>
      </c>
      <c r="E35" s="136">
        <f>'H) Péréquation directe'!I46/C35</f>
        <v>1.8572213245578879</v>
      </c>
      <c r="F35" s="415">
        <f>+'I) Dépenses thématiques'!U35</f>
        <v>-1.1130652267969288</v>
      </c>
      <c r="G35" s="136">
        <f t="shared" si="1"/>
        <v>18.270304423233465</v>
      </c>
      <c r="H35" s="110">
        <f t="shared" si="2"/>
        <v>19.383369650030396</v>
      </c>
      <c r="I35" s="136">
        <f t="shared" si="3"/>
        <v>0</v>
      </c>
      <c r="J35" s="55">
        <f t="shared" si="4"/>
        <v>0</v>
      </c>
      <c r="K35" s="36"/>
    </row>
    <row r="36" spans="1:11" x14ac:dyDescent="0.25">
      <c r="A36" s="49">
        <f>'A) Base RI'!A38</f>
        <v>5451</v>
      </c>
      <c r="B36" s="292" t="str">
        <f>'A) Base RI'!B38</f>
        <v>Avenches</v>
      </c>
      <c r="C36" s="95">
        <f>'B) D RI'!U38</f>
        <v>129500.81187969925</v>
      </c>
      <c r="D36" s="110">
        <f>'E) Fact soc'!G42/C36</f>
        <v>17.159276329168488</v>
      </c>
      <c r="E36" s="136">
        <f>'H) Péréquation directe'!I47/C36</f>
        <v>-4.6676678718604281</v>
      </c>
      <c r="F36" s="415">
        <f>+'I) Dépenses thématiques'!U36</f>
        <v>-10.586699101125269</v>
      </c>
      <c r="G36" s="136">
        <f t="shared" si="1"/>
        <v>1.9049093561827917</v>
      </c>
      <c r="H36" s="110">
        <f t="shared" si="2"/>
        <v>12.491608457308061</v>
      </c>
      <c r="I36" s="136">
        <f t="shared" si="3"/>
        <v>0</v>
      </c>
      <c r="J36" s="55">
        <f t="shared" si="4"/>
        <v>0</v>
      </c>
      <c r="K36" s="36"/>
    </row>
    <row r="37" spans="1:11" x14ac:dyDescent="0.25">
      <c r="A37" s="49">
        <f>'A) Base RI'!A39</f>
        <v>5456</v>
      </c>
      <c r="B37" s="292" t="str">
        <f>'A) Base RI'!B39</f>
        <v>Cudrefin</v>
      </c>
      <c r="C37" s="95">
        <f>'B) D RI'!U39</f>
        <v>64226.933276836171</v>
      </c>
      <c r="D37" s="110">
        <f>'E) Fact soc'!G43/C37</f>
        <v>16.35354417753177</v>
      </c>
      <c r="E37" s="136">
        <f>'H) Péréquation directe'!I48/C37</f>
        <v>8.3388807175031054</v>
      </c>
      <c r="F37" s="415">
        <f>+'I) Dépenses thématiques'!U37</f>
        <v>-3.6387834264425503</v>
      </c>
      <c r="G37" s="136">
        <f t="shared" si="1"/>
        <v>21.053641468592325</v>
      </c>
      <c r="H37" s="110">
        <f t="shared" si="2"/>
        <v>24.692424895034875</v>
      </c>
      <c r="I37" s="136">
        <f t="shared" si="3"/>
        <v>0</v>
      </c>
      <c r="J37" s="55">
        <f t="shared" si="4"/>
        <v>0</v>
      </c>
      <c r="K37" s="36"/>
    </row>
    <row r="38" spans="1:11" x14ac:dyDescent="0.25">
      <c r="A38" s="49">
        <f>'A) Base RI'!A40</f>
        <v>5458</v>
      </c>
      <c r="B38" s="292" t="str">
        <f>'A) Base RI'!B40</f>
        <v>Faoug</v>
      </c>
      <c r="C38" s="95">
        <f>'B) D RI'!U40</f>
        <v>32198.404090909091</v>
      </c>
      <c r="D38" s="110">
        <f>'E) Fact soc'!G44/C38</f>
        <v>16.075400521015681</v>
      </c>
      <c r="E38" s="136">
        <f>'H) Péréquation directe'!I49/C38</f>
        <v>10.214013010449733</v>
      </c>
      <c r="F38" s="415">
        <f>+'I) Dépenses thématiques'!U38</f>
        <v>-3.281011231372577</v>
      </c>
      <c r="G38" s="136">
        <f t="shared" si="1"/>
        <v>23.008402300092836</v>
      </c>
      <c r="H38" s="110">
        <f t="shared" si="2"/>
        <v>26.289413531465414</v>
      </c>
      <c r="I38" s="136">
        <f t="shared" si="3"/>
        <v>0</v>
      </c>
      <c r="J38" s="55">
        <f t="shared" si="4"/>
        <v>0</v>
      </c>
      <c r="K38" s="36"/>
    </row>
    <row r="39" spans="1:11" x14ac:dyDescent="0.25">
      <c r="A39" s="49">
        <f>'A) Base RI'!A41</f>
        <v>5464</v>
      </c>
      <c r="B39" s="292" t="str">
        <f>'A) Base RI'!B41</f>
        <v>Vully-les-Lacs</v>
      </c>
      <c r="C39" s="95">
        <f>'B) D RI'!U41</f>
        <v>111597.31895522389</v>
      </c>
      <c r="D39" s="110">
        <f>'E) Fact soc'!G45/C39</f>
        <v>15.592970640787673</v>
      </c>
      <c r="E39" s="136">
        <f>'H) Péréquation directe'!I50/C39</f>
        <v>2.1210860087555914</v>
      </c>
      <c r="F39" s="415">
        <f>+'I) Dépenses thématiques'!U39</f>
        <v>-3.1495141600102388</v>
      </c>
      <c r="G39" s="136">
        <f t="shared" si="1"/>
        <v>14.564542489533025</v>
      </c>
      <c r="H39" s="110">
        <f t="shared" si="2"/>
        <v>17.714056649543263</v>
      </c>
      <c r="I39" s="136">
        <f t="shared" si="3"/>
        <v>0</v>
      </c>
      <c r="J39" s="55">
        <f t="shared" si="4"/>
        <v>0</v>
      </c>
      <c r="K39" s="36"/>
    </row>
    <row r="40" spans="1:11" x14ac:dyDescent="0.25">
      <c r="A40" s="49">
        <f>'A) Base RI'!A42</f>
        <v>5471</v>
      </c>
      <c r="B40" s="292" t="str">
        <f>'A) Base RI'!B42</f>
        <v>Bettens</v>
      </c>
      <c r="C40" s="95">
        <f>'B) D RI'!U42</f>
        <v>20385.282730158731</v>
      </c>
      <c r="D40" s="110">
        <f>'E) Fact soc'!G46/C40</f>
        <v>15.241407051131329</v>
      </c>
      <c r="E40" s="136">
        <f>'H) Péréquation directe'!I51/C40</f>
        <v>5.4103210684683853</v>
      </c>
      <c r="F40" s="415">
        <f>+'I) Dépenses thématiques'!U40</f>
        <v>-1.0827935972843747</v>
      </c>
      <c r="G40" s="136">
        <f t="shared" si="1"/>
        <v>19.568934522315338</v>
      </c>
      <c r="H40" s="110">
        <f t="shared" si="2"/>
        <v>20.651728119599714</v>
      </c>
      <c r="I40" s="136">
        <f t="shared" si="3"/>
        <v>0</v>
      </c>
      <c r="J40" s="55">
        <f t="shared" si="4"/>
        <v>0</v>
      </c>
      <c r="K40" s="36"/>
    </row>
    <row r="41" spans="1:11" x14ac:dyDescent="0.25">
      <c r="A41" s="49">
        <f>'A) Base RI'!A43</f>
        <v>5472</v>
      </c>
      <c r="B41" s="292" t="str">
        <f>'A) Base RI'!B43</f>
        <v>Bournens</v>
      </c>
      <c r="C41" s="95">
        <f>'B) D RI'!U43</f>
        <v>20143.161388888886</v>
      </c>
      <c r="D41" s="110">
        <f>'E) Fact soc'!G47/C41</f>
        <v>17.838315837009439</v>
      </c>
      <c r="E41" s="136">
        <f>'H) Péréquation directe'!I52/C41</f>
        <v>12.575407880781322</v>
      </c>
      <c r="F41" s="415">
        <f>+'I) Dépenses thématiques'!U41</f>
        <v>-0.77698225497843021</v>
      </c>
      <c r="G41" s="136">
        <f t="shared" si="1"/>
        <v>29.636741462812328</v>
      </c>
      <c r="H41" s="110">
        <f t="shared" si="2"/>
        <v>30.413723717790759</v>
      </c>
      <c r="I41" s="136">
        <f t="shared" si="3"/>
        <v>0</v>
      </c>
      <c r="J41" s="55">
        <f t="shared" si="4"/>
        <v>0</v>
      </c>
      <c r="K41" s="36"/>
    </row>
    <row r="42" spans="1:11" x14ac:dyDescent="0.25">
      <c r="A42" s="49">
        <f>'A) Base RI'!A44</f>
        <v>5473</v>
      </c>
      <c r="B42" s="292" t="str">
        <f>'A) Base RI'!B44</f>
        <v>Boussens</v>
      </c>
      <c r="C42" s="95">
        <f>'B) D RI'!U44</f>
        <v>37775.140592592586</v>
      </c>
      <c r="D42" s="110">
        <f>'E) Fact soc'!G48/C42</f>
        <v>14.794921889042049</v>
      </c>
      <c r="E42" s="136">
        <f>'H) Péréquation directe'!I53/C42</f>
        <v>10.878318547028526</v>
      </c>
      <c r="F42" s="415">
        <f>+'I) Dépenses thématiques'!U42</f>
        <v>0</v>
      </c>
      <c r="G42" s="136">
        <f t="shared" si="1"/>
        <v>25.673240436070575</v>
      </c>
      <c r="H42" s="110">
        <f t="shared" si="2"/>
        <v>25.673240436070575</v>
      </c>
      <c r="I42" s="136">
        <f t="shared" si="3"/>
        <v>0</v>
      </c>
      <c r="J42" s="55">
        <f t="shared" si="4"/>
        <v>0</v>
      </c>
      <c r="K42" s="36"/>
    </row>
    <row r="43" spans="1:11" x14ac:dyDescent="0.25">
      <c r="A43" s="49">
        <f>'A) Base RI'!A45</f>
        <v>5474</v>
      </c>
      <c r="B43" s="292" t="str">
        <f>'A) Base RI'!B45</f>
        <v>La Chaux (Cossonay)</v>
      </c>
      <c r="C43" s="95">
        <f>'B) D RI'!U45</f>
        <v>13182.521580086577</v>
      </c>
      <c r="D43" s="110">
        <f>'E) Fact soc'!G49/C43</f>
        <v>17.627552048788822</v>
      </c>
      <c r="E43" s="136">
        <f>'H) Péréquation directe'!I54/C43</f>
        <v>5.2880272722781845</v>
      </c>
      <c r="F43" s="415">
        <f>+'I) Dépenses thématiques'!U43</f>
        <v>-16.880637681309153</v>
      </c>
      <c r="G43" s="136">
        <f t="shared" si="1"/>
        <v>6.0349416397578537</v>
      </c>
      <c r="H43" s="110">
        <f t="shared" si="2"/>
        <v>22.915579321067007</v>
      </c>
      <c r="I43" s="136">
        <f t="shared" si="3"/>
        <v>0</v>
      </c>
      <c r="J43" s="55">
        <f t="shared" si="4"/>
        <v>0</v>
      </c>
      <c r="K43" s="36"/>
    </row>
    <row r="44" spans="1:11" x14ac:dyDescent="0.25">
      <c r="A44" s="49">
        <f>'A) Base RI'!A46</f>
        <v>5475</v>
      </c>
      <c r="B44" s="292" t="str">
        <f>'A) Base RI'!B46</f>
        <v>Chavannes-le-Veyron</v>
      </c>
      <c r="C44" s="95">
        <f>'B) D RI'!U46</f>
        <v>3874.6645454545451</v>
      </c>
      <c r="D44" s="110">
        <f>'E) Fact soc'!G50/C44</f>
        <v>16.546450017980913</v>
      </c>
      <c r="E44" s="136">
        <f>'H) Péréquation directe'!I55/C44</f>
        <v>-6.8625055499278718</v>
      </c>
      <c r="F44" s="415">
        <f>+'I) Dépenses thématiques'!U44</f>
        <v>-8.0676053246603647</v>
      </c>
      <c r="G44" s="136">
        <f t="shared" si="1"/>
        <v>1.6163391433926773</v>
      </c>
      <c r="H44" s="110">
        <f t="shared" si="2"/>
        <v>9.683944468053042</v>
      </c>
      <c r="I44" s="136">
        <f t="shared" si="3"/>
        <v>0</v>
      </c>
      <c r="J44" s="55">
        <f t="shared" si="4"/>
        <v>0</v>
      </c>
      <c r="K44" s="36"/>
    </row>
    <row r="45" spans="1:11" x14ac:dyDescent="0.25">
      <c r="A45" s="49">
        <f>'A) Base RI'!A47</f>
        <v>5476</v>
      </c>
      <c r="B45" s="292" t="str">
        <f>'A) Base RI'!B47</f>
        <v>Chevilly</v>
      </c>
      <c r="C45" s="95">
        <f>'B) D RI'!U47</f>
        <v>11839.396756756756</v>
      </c>
      <c r="D45" s="110">
        <f>'E) Fact soc'!G51/C45</f>
        <v>14.069116270466258</v>
      </c>
      <c r="E45" s="136">
        <f>'H) Péréquation directe'!I56/C45</f>
        <v>9.4786356691373186</v>
      </c>
      <c r="F45" s="415">
        <f>+'I) Dépenses thématiques'!U45</f>
        <v>-0.36859584336017126</v>
      </c>
      <c r="G45" s="136">
        <f t="shared" si="1"/>
        <v>23.179156096243407</v>
      </c>
      <c r="H45" s="110">
        <f t="shared" si="2"/>
        <v>23.547751939603579</v>
      </c>
      <c r="I45" s="136">
        <f t="shared" si="3"/>
        <v>0</v>
      </c>
      <c r="J45" s="55">
        <f t="shared" si="4"/>
        <v>0</v>
      </c>
      <c r="K45" s="36"/>
    </row>
    <row r="46" spans="1:11" x14ac:dyDescent="0.25">
      <c r="A46" s="49">
        <f>'A) Base RI'!A48</f>
        <v>5477</v>
      </c>
      <c r="B46" s="292" t="str">
        <f>'A) Base RI'!B48</f>
        <v>Cossonay</v>
      </c>
      <c r="C46" s="95">
        <f>'B) D RI'!U48</f>
        <v>119154.03251798562</v>
      </c>
      <c r="D46" s="110">
        <f>'E) Fact soc'!G52/C46</f>
        <v>19.65129994670696</v>
      </c>
      <c r="E46" s="136">
        <f>'H) Péréquation directe'!I57/C46</f>
        <v>-6.4876174878062693</v>
      </c>
      <c r="F46" s="415">
        <f>+'I) Dépenses thématiques'!U46</f>
        <v>-7.1695479946357468</v>
      </c>
      <c r="G46" s="136">
        <f t="shared" si="1"/>
        <v>5.9941344642649446</v>
      </c>
      <c r="H46" s="110">
        <f t="shared" si="2"/>
        <v>13.163682458900691</v>
      </c>
      <c r="I46" s="136">
        <f t="shared" si="3"/>
        <v>0</v>
      </c>
      <c r="J46" s="55">
        <f t="shared" si="4"/>
        <v>0</v>
      </c>
      <c r="K46" s="36"/>
    </row>
    <row r="47" spans="1:11" x14ac:dyDescent="0.25">
      <c r="A47" s="49">
        <f>'A) Base RI'!A49</f>
        <v>5478</v>
      </c>
      <c r="B47" s="292" t="str">
        <f>'A) Base RI'!B49</f>
        <v>Cottens</v>
      </c>
      <c r="C47" s="95">
        <f>'B) D RI'!U49</f>
        <v>16291.497837837833</v>
      </c>
      <c r="D47" s="110">
        <f>'E) Fact soc'!G53/C47</f>
        <v>13.795074898046366</v>
      </c>
      <c r="E47" s="136">
        <f>'H) Péréquation directe'!I58/C47</f>
        <v>5.5021712185316023</v>
      </c>
      <c r="F47" s="415">
        <f>+'I) Dépenses thématiques'!U47</f>
        <v>-33.338832216612026</v>
      </c>
      <c r="G47" s="136">
        <f t="shared" si="1"/>
        <v>-14.04158610003406</v>
      </c>
      <c r="H47" s="110">
        <f t="shared" si="2"/>
        <v>19.297246116577966</v>
      </c>
      <c r="I47" s="136">
        <f t="shared" si="3"/>
        <v>0</v>
      </c>
      <c r="J47" s="55">
        <f t="shared" si="4"/>
        <v>0</v>
      </c>
      <c r="K47" s="36"/>
    </row>
    <row r="48" spans="1:11" x14ac:dyDescent="0.25">
      <c r="A48" s="49">
        <f>'A) Base RI'!A50</f>
        <v>5479</v>
      </c>
      <c r="B48" s="292" t="str">
        <f>'A) Base RI'!B50</f>
        <v>Cuarnens</v>
      </c>
      <c r="C48" s="95">
        <f>'B) D RI'!U50</f>
        <v>18068.978311688308</v>
      </c>
      <c r="D48" s="110">
        <f>'E) Fact soc'!G54/C48</f>
        <v>18.142780757292865</v>
      </c>
      <c r="E48" s="136">
        <f>'H) Péréquation directe'!I59/C48</f>
        <v>5.9159225016039034</v>
      </c>
      <c r="F48" s="415">
        <f>+'I) Dépenses thématiques'!U48</f>
        <v>-4.9918371055743531</v>
      </c>
      <c r="G48" s="136">
        <f t="shared" si="1"/>
        <v>19.066866153322415</v>
      </c>
      <c r="H48" s="110">
        <f t="shared" si="2"/>
        <v>24.05870325889677</v>
      </c>
      <c r="I48" s="136">
        <f t="shared" si="3"/>
        <v>0</v>
      </c>
      <c r="J48" s="55">
        <f t="shared" si="4"/>
        <v>0</v>
      </c>
      <c r="K48" s="36"/>
    </row>
    <row r="49" spans="1:11" x14ac:dyDescent="0.25">
      <c r="A49" s="49">
        <f>'A) Base RI'!A51</f>
        <v>5480</v>
      </c>
      <c r="B49" s="292" t="str">
        <f>'A) Base RI'!B51</f>
        <v>Daillens</v>
      </c>
      <c r="C49" s="95">
        <f>'B) D RI'!U51</f>
        <v>40977.441060606063</v>
      </c>
      <c r="D49" s="110">
        <f>'E) Fact soc'!G55/C49</f>
        <v>17.573618077731339</v>
      </c>
      <c r="E49" s="136">
        <f>'H) Péréquation directe'!I60/C49</f>
        <v>11.678074692002133</v>
      </c>
      <c r="F49" s="415">
        <f>+'I) Dépenses thématiques'!U49</f>
        <v>-10.596790389964415</v>
      </c>
      <c r="G49" s="136">
        <f t="shared" si="1"/>
        <v>18.654902379769059</v>
      </c>
      <c r="H49" s="110">
        <f t="shared" si="2"/>
        <v>29.251692769733474</v>
      </c>
      <c r="I49" s="136">
        <f t="shared" si="3"/>
        <v>0</v>
      </c>
      <c r="J49" s="55">
        <f t="shared" si="4"/>
        <v>0</v>
      </c>
      <c r="K49" s="36"/>
    </row>
    <row r="50" spans="1:11" x14ac:dyDescent="0.25">
      <c r="A50" s="49">
        <f>'A) Base RI'!A52</f>
        <v>5481</v>
      </c>
      <c r="B50" s="292" t="str">
        <f>'A) Base RI'!B52</f>
        <v>Dizy</v>
      </c>
      <c r="C50" s="95">
        <f>'B) D RI'!U52</f>
        <v>8124.1672000000008</v>
      </c>
      <c r="D50" s="110">
        <f>'E) Fact soc'!G56/C50</f>
        <v>13.982608892281753</v>
      </c>
      <c r="E50" s="136">
        <f>'H) Péréquation directe'!I61/C50</f>
        <v>8.3401589016730693</v>
      </c>
      <c r="F50" s="415">
        <f>+'I) Dépenses thématiques'!U50</f>
        <v>-3.5510405054194343</v>
      </c>
      <c r="G50" s="136">
        <f t="shared" si="1"/>
        <v>18.771727288535391</v>
      </c>
      <c r="H50" s="110">
        <f t="shared" si="2"/>
        <v>22.322767793954824</v>
      </c>
      <c r="I50" s="136">
        <f t="shared" si="3"/>
        <v>0</v>
      </c>
      <c r="J50" s="55">
        <f t="shared" si="4"/>
        <v>0</v>
      </c>
      <c r="K50" s="36"/>
    </row>
    <row r="51" spans="1:11" x14ac:dyDescent="0.25">
      <c r="A51" s="49">
        <f>'A) Base RI'!A53</f>
        <v>5482</v>
      </c>
      <c r="B51" s="292" t="str">
        <f>'A) Base RI'!B53</f>
        <v>Eclépens</v>
      </c>
      <c r="C51" s="95">
        <f>'B) D RI'!U53</f>
        <v>70911.930217391302</v>
      </c>
      <c r="D51" s="110">
        <f>'E) Fact soc'!G57/C51</f>
        <v>17.285603040712768</v>
      </c>
      <c r="E51" s="136">
        <f>'H) Péréquation directe'!I62/C51</f>
        <v>16.33836602567867</v>
      </c>
      <c r="F51" s="415">
        <f>+'I) Dépenses thématiques'!U51</f>
        <v>0</v>
      </c>
      <c r="G51" s="136">
        <f t="shared" si="1"/>
        <v>33.623969066391439</v>
      </c>
      <c r="H51" s="110">
        <f t="shared" si="2"/>
        <v>33.623969066391439</v>
      </c>
      <c r="I51" s="136">
        <f t="shared" si="3"/>
        <v>0</v>
      </c>
      <c r="J51" s="55">
        <f t="shared" si="4"/>
        <v>0</v>
      </c>
      <c r="K51" s="36"/>
    </row>
    <row r="52" spans="1:11" x14ac:dyDescent="0.25">
      <c r="A52" s="49">
        <f>'A) Base RI'!A54</f>
        <v>5483</v>
      </c>
      <c r="B52" s="292" t="str">
        <f>'A) Base RI'!B54</f>
        <v>Ferreyres</v>
      </c>
      <c r="C52" s="95">
        <f>'B) D RI'!U54</f>
        <v>10820.315000000001</v>
      </c>
      <c r="D52" s="110">
        <f>'E) Fact soc'!G58/C52</f>
        <v>14.397409544793412</v>
      </c>
      <c r="E52" s="136">
        <f>'H) Péréquation directe'!I63/C52</f>
        <v>5.7730844357305138</v>
      </c>
      <c r="F52" s="415">
        <f>+'I) Dépenses thématiques'!U52</f>
        <v>0</v>
      </c>
      <c r="G52" s="136">
        <f t="shared" si="1"/>
        <v>20.170493980523926</v>
      </c>
      <c r="H52" s="110">
        <f t="shared" si="2"/>
        <v>20.170493980523926</v>
      </c>
      <c r="I52" s="136">
        <f t="shared" si="3"/>
        <v>0</v>
      </c>
      <c r="J52" s="55">
        <f t="shared" si="4"/>
        <v>0</v>
      </c>
      <c r="K52" s="36"/>
    </row>
    <row r="53" spans="1:11" x14ac:dyDescent="0.25">
      <c r="A53" s="49">
        <f>'A) Base RI'!A55</f>
        <v>5484</v>
      </c>
      <c r="B53" s="292" t="str">
        <f>'A) Base RI'!B55</f>
        <v>Gollion</v>
      </c>
      <c r="C53" s="95">
        <f>'B) D RI'!U55</f>
        <v>34996.98554054054</v>
      </c>
      <c r="D53" s="110">
        <f>'E) Fact soc'!G59/C53</f>
        <v>16.721566455711994</v>
      </c>
      <c r="E53" s="136">
        <f>'H) Péréquation directe'!I64/C53</f>
        <v>7.4870011856702261</v>
      </c>
      <c r="F53" s="415">
        <f>+'I) Dépenses thématiques'!U53</f>
        <v>-6.2188955488533137</v>
      </c>
      <c r="G53" s="136">
        <f t="shared" si="1"/>
        <v>17.989672092528906</v>
      </c>
      <c r="H53" s="110">
        <f t="shared" si="2"/>
        <v>24.208567641382221</v>
      </c>
      <c r="I53" s="136">
        <f t="shared" si="3"/>
        <v>0</v>
      </c>
      <c r="J53" s="55">
        <f t="shared" si="4"/>
        <v>0</v>
      </c>
      <c r="K53" s="36"/>
    </row>
    <row r="54" spans="1:11" x14ac:dyDescent="0.25">
      <c r="A54" s="49">
        <f>'A) Base RI'!A56</f>
        <v>5485</v>
      </c>
      <c r="B54" s="292" t="str">
        <f>'A) Base RI'!B56</f>
        <v>Grancy</v>
      </c>
      <c r="C54" s="95">
        <f>'B) D RI'!U56</f>
        <v>14542.352714285715</v>
      </c>
      <c r="D54" s="110">
        <f>'E) Fact soc'!G60/C54</f>
        <v>19.102065495388729</v>
      </c>
      <c r="E54" s="136">
        <f>'H) Péréquation directe'!I65/C54</f>
        <v>8.9236202402235403</v>
      </c>
      <c r="F54" s="415">
        <f>+'I) Dépenses thématiques'!U54</f>
        <v>-2.869953026072054</v>
      </c>
      <c r="G54" s="136">
        <f t="shared" si="1"/>
        <v>25.155732709540217</v>
      </c>
      <c r="H54" s="110">
        <f t="shared" si="2"/>
        <v>28.025685735612271</v>
      </c>
      <c r="I54" s="136">
        <f t="shared" si="3"/>
        <v>0</v>
      </c>
      <c r="J54" s="55">
        <f t="shared" si="4"/>
        <v>0</v>
      </c>
      <c r="K54" s="36"/>
    </row>
    <row r="55" spans="1:11" x14ac:dyDescent="0.25">
      <c r="A55" s="49">
        <f>'A) Base RI'!A57</f>
        <v>5486</v>
      </c>
      <c r="B55" s="292" t="str">
        <f>'A) Base RI'!B57</f>
        <v>L'Isle</v>
      </c>
      <c r="C55" s="95">
        <f>'B) D RI'!U57</f>
        <v>37459.560399999995</v>
      </c>
      <c r="D55" s="110">
        <f>'E) Fact soc'!G61/C55</f>
        <v>15.438663772387107</v>
      </c>
      <c r="E55" s="136">
        <f>'H) Péréquation directe'!I66/C55</f>
        <v>6.9130539904079997</v>
      </c>
      <c r="F55" s="415">
        <f>+'I) Dépenses thématiques'!U55</f>
        <v>-7.231497497765619</v>
      </c>
      <c r="G55" s="136">
        <f t="shared" si="1"/>
        <v>15.120220265029488</v>
      </c>
      <c r="H55" s="110">
        <f t="shared" si="2"/>
        <v>22.351717762795108</v>
      </c>
      <c r="I55" s="136">
        <f t="shared" si="3"/>
        <v>0</v>
      </c>
      <c r="J55" s="55">
        <f t="shared" si="4"/>
        <v>0</v>
      </c>
      <c r="K55" s="36"/>
    </row>
    <row r="56" spans="1:11" x14ac:dyDescent="0.25">
      <c r="A56" s="49">
        <f>'A) Base RI'!A58</f>
        <v>5487</v>
      </c>
      <c r="B56" s="292" t="str">
        <f>'A) Base RI'!B58</f>
        <v>Lussery-Villars</v>
      </c>
      <c r="C56" s="95">
        <f>'B) D RI'!U58</f>
        <v>12889.865466666668</v>
      </c>
      <c r="D56" s="110">
        <f>'E) Fact soc'!G62/C56</f>
        <v>14.71404349331455</v>
      </c>
      <c r="E56" s="136">
        <f>'H) Péréquation directe'!I67/C56</f>
        <v>-1.3935762815783002</v>
      </c>
      <c r="F56" s="415">
        <f>+'I) Dépenses thématiques'!U56</f>
        <v>-2.6108346349329876</v>
      </c>
      <c r="G56" s="136">
        <f t="shared" si="1"/>
        <v>10.709632576803262</v>
      </c>
      <c r="H56" s="110">
        <f t="shared" si="2"/>
        <v>13.320467211736251</v>
      </c>
      <c r="I56" s="136">
        <f t="shared" si="3"/>
        <v>0</v>
      </c>
      <c r="J56" s="55">
        <f t="shared" si="4"/>
        <v>0</v>
      </c>
      <c r="K56" s="36"/>
    </row>
    <row r="57" spans="1:11" x14ac:dyDescent="0.25">
      <c r="A57" s="49">
        <f>'A) Base RI'!A59</f>
        <v>5488</v>
      </c>
      <c r="B57" s="292" t="str">
        <f>'A) Base RI'!B59</f>
        <v>Mauraz</v>
      </c>
      <c r="C57" s="95">
        <f>'B) D RI'!U59</f>
        <v>1632.1631168831173</v>
      </c>
      <c r="D57" s="110">
        <f>'E) Fact soc'!G63/C57</f>
        <v>13.510342024115872</v>
      </c>
      <c r="E57" s="136">
        <f>'H) Péréquation directe'!I68/C57</f>
        <v>-2.1723819961042388</v>
      </c>
      <c r="F57" s="415">
        <f>+'I) Dépenses thématiques'!U57</f>
        <v>0</v>
      </c>
      <c r="G57" s="136">
        <f t="shared" si="1"/>
        <v>11.337960028011633</v>
      </c>
      <c r="H57" s="110">
        <f t="shared" si="2"/>
        <v>11.337960028011633</v>
      </c>
      <c r="I57" s="136">
        <f t="shared" si="3"/>
        <v>0</v>
      </c>
      <c r="J57" s="55">
        <f t="shared" si="4"/>
        <v>0</v>
      </c>
      <c r="K57" s="36"/>
    </row>
    <row r="58" spans="1:11" x14ac:dyDescent="0.25">
      <c r="A58" s="49">
        <f>'A) Base RI'!A60</f>
        <v>5489</v>
      </c>
      <c r="B58" s="292" t="str">
        <f>'A) Base RI'!B60</f>
        <v>Mex</v>
      </c>
      <c r="C58" s="95">
        <f>'B) D RI'!U60</f>
        <v>58521.207563025193</v>
      </c>
      <c r="D58" s="110">
        <f>'E) Fact soc'!G64/C58</f>
        <v>24.339005352545183</v>
      </c>
      <c r="E58" s="136">
        <f>'H) Péréquation directe'!I69/C58</f>
        <v>17.488083141037642</v>
      </c>
      <c r="F58" s="415">
        <f>+'I) Dépenses thématiques'!U58</f>
        <v>-3.9124181182783969E-2</v>
      </c>
      <c r="G58" s="136">
        <f t="shared" si="1"/>
        <v>41.787964312400035</v>
      </c>
      <c r="H58" s="110">
        <f t="shared" si="2"/>
        <v>41.827088493582821</v>
      </c>
      <c r="I58" s="136">
        <f t="shared" si="3"/>
        <v>0</v>
      </c>
      <c r="J58" s="55">
        <f t="shared" si="4"/>
        <v>0</v>
      </c>
      <c r="K58" s="36"/>
    </row>
    <row r="59" spans="1:11" x14ac:dyDescent="0.25">
      <c r="A59" s="49">
        <f>'A) Base RI'!A61</f>
        <v>5490</v>
      </c>
      <c r="B59" s="292" t="str">
        <f>'A) Base RI'!B61</f>
        <v>Moiry</v>
      </c>
      <c r="C59" s="95">
        <f>'B) D RI'!U61</f>
        <v>8655.909290322581</v>
      </c>
      <c r="D59" s="110">
        <f>'E) Fact soc'!G65/C59</f>
        <v>15.800820624921668</v>
      </c>
      <c r="E59" s="136">
        <f>'H) Péréquation directe'!I70/C59</f>
        <v>-2.8985787909162957</v>
      </c>
      <c r="F59" s="415">
        <f>+'I) Dépenses thématiques'!U59</f>
        <v>-2.6704062488163034</v>
      </c>
      <c r="G59" s="136">
        <f t="shared" si="1"/>
        <v>10.231835585189071</v>
      </c>
      <c r="H59" s="110">
        <f t="shared" si="2"/>
        <v>12.902241834005373</v>
      </c>
      <c r="I59" s="136">
        <f t="shared" si="3"/>
        <v>0</v>
      </c>
      <c r="J59" s="55">
        <f t="shared" si="4"/>
        <v>0</v>
      </c>
      <c r="K59" s="36"/>
    </row>
    <row r="60" spans="1:11" x14ac:dyDescent="0.25">
      <c r="A60" s="49">
        <f>'A) Base RI'!A62</f>
        <v>5491</v>
      </c>
      <c r="B60" s="292" t="str">
        <f>'A) Base RI'!B62</f>
        <v>Mont-la-Ville</v>
      </c>
      <c r="C60" s="95">
        <f>'B) D RI'!U62</f>
        <v>14323.284736842104</v>
      </c>
      <c r="D60" s="110">
        <f>'E) Fact soc'!G66/C60</f>
        <v>16.796839909542843</v>
      </c>
      <c r="E60" s="136">
        <f>'H) Péréquation directe'!I71/C60</f>
        <v>-9.1373948740609154E-2</v>
      </c>
      <c r="F60" s="415">
        <f>+'I) Dépenses thématiques'!U60</f>
        <v>-5.4788090176757098</v>
      </c>
      <c r="G60" s="136">
        <f t="shared" si="1"/>
        <v>11.226656943126523</v>
      </c>
      <c r="H60" s="110">
        <f t="shared" si="2"/>
        <v>16.705465960802233</v>
      </c>
      <c r="I60" s="136">
        <f t="shared" si="3"/>
        <v>0</v>
      </c>
      <c r="J60" s="55">
        <f t="shared" si="4"/>
        <v>0</v>
      </c>
      <c r="K60" s="36"/>
    </row>
    <row r="61" spans="1:11" x14ac:dyDescent="0.25">
      <c r="A61" s="49">
        <f>'A) Base RI'!A63</f>
        <v>5492</v>
      </c>
      <c r="B61" s="292" t="str">
        <f>'A) Base RI'!B63</f>
        <v>Montricher</v>
      </c>
      <c r="C61" s="95">
        <f>'B) D RI'!U63</f>
        <v>157154.96692708335</v>
      </c>
      <c r="D61" s="110">
        <f>'E) Fact soc'!G67/C61</f>
        <v>34.598125088111722</v>
      </c>
      <c r="E61" s="136">
        <f>'H) Péréquation directe'!I72/C61</f>
        <v>18.403455528237629</v>
      </c>
      <c r="F61" s="415">
        <f>+'I) Dépenses thématiques'!U61</f>
        <v>-1.3204022682971694</v>
      </c>
      <c r="G61" s="136">
        <f t="shared" si="1"/>
        <v>51.681178348052178</v>
      </c>
      <c r="H61" s="110">
        <f t="shared" si="2"/>
        <v>53.001580616349351</v>
      </c>
      <c r="I61" s="136">
        <f t="shared" si="3"/>
        <v>0</v>
      </c>
      <c r="J61" s="55">
        <f t="shared" si="4"/>
        <v>0</v>
      </c>
      <c r="K61" s="36"/>
    </row>
    <row r="62" spans="1:11" x14ac:dyDescent="0.25">
      <c r="A62" s="49">
        <f>'A) Base RI'!A64</f>
        <v>5493</v>
      </c>
      <c r="B62" s="292" t="str">
        <f>'A) Base RI'!B64</f>
        <v>Orny</v>
      </c>
      <c r="C62" s="95">
        <f>'B) D RI'!U64</f>
        <v>12885.017723919913</v>
      </c>
      <c r="D62" s="110">
        <f>'E) Fact soc'!G68/C62</f>
        <v>19.971933446333264</v>
      </c>
      <c r="E62" s="136">
        <f>'H) Péréquation directe'!I73/C62</f>
        <v>-0.8282451954624821</v>
      </c>
      <c r="F62" s="415">
        <f>+'I) Dépenses thématiques'!U62</f>
        <v>0</v>
      </c>
      <c r="G62" s="136">
        <f t="shared" si="1"/>
        <v>19.143688250870781</v>
      </c>
      <c r="H62" s="110">
        <f t="shared" si="2"/>
        <v>19.143688250870781</v>
      </c>
      <c r="I62" s="136">
        <f t="shared" si="3"/>
        <v>0</v>
      </c>
      <c r="J62" s="55">
        <f t="shared" si="4"/>
        <v>0</v>
      </c>
      <c r="K62" s="36"/>
    </row>
    <row r="63" spans="1:11" x14ac:dyDescent="0.25">
      <c r="A63" s="49">
        <f>'A) Base RI'!A65</f>
        <v>5494</v>
      </c>
      <c r="B63" s="292" t="str">
        <f>'A) Base RI'!B65</f>
        <v>Pampigny</v>
      </c>
      <c r="C63" s="95">
        <f>'B) D RI'!U65</f>
        <v>36607.87342465754</v>
      </c>
      <c r="D63" s="110">
        <f>'E) Fact soc'!G69/C63</f>
        <v>16.371780294098631</v>
      </c>
      <c r="E63" s="136">
        <f>'H) Péréquation directe'!I74/C63</f>
        <v>4.2097906418377073</v>
      </c>
      <c r="F63" s="415">
        <f>+'I) Dépenses thématiques'!U63</f>
        <v>-8.98954442302845</v>
      </c>
      <c r="G63" s="136">
        <f t="shared" si="1"/>
        <v>11.592026512907887</v>
      </c>
      <c r="H63" s="110">
        <f t="shared" si="2"/>
        <v>20.581570935936337</v>
      </c>
      <c r="I63" s="136">
        <f t="shared" si="3"/>
        <v>0</v>
      </c>
      <c r="J63" s="55">
        <f t="shared" si="4"/>
        <v>0</v>
      </c>
      <c r="K63" s="36"/>
    </row>
    <row r="64" spans="1:11" x14ac:dyDescent="0.25">
      <c r="A64" s="49">
        <f>'A) Base RI'!A66</f>
        <v>5495</v>
      </c>
      <c r="B64" s="292" t="str">
        <f>'A) Base RI'!B66</f>
        <v>Penthalaz</v>
      </c>
      <c r="C64" s="95">
        <f>'B) D RI'!U66</f>
        <v>93361.472702702697</v>
      </c>
      <c r="D64" s="110">
        <f>'E) Fact soc'!G70/C64</f>
        <v>16.600856844065223</v>
      </c>
      <c r="E64" s="136">
        <f>'H) Péréquation directe'!I75/C64</f>
        <v>-5.0834254745225227</v>
      </c>
      <c r="F64" s="415">
        <f>+'I) Dépenses thématiques'!U64</f>
        <v>-6.5467975824474092</v>
      </c>
      <c r="G64" s="136">
        <f t="shared" si="1"/>
        <v>4.9706337870952915</v>
      </c>
      <c r="H64" s="110">
        <f t="shared" si="2"/>
        <v>11.517431369542701</v>
      </c>
      <c r="I64" s="136">
        <f t="shared" si="3"/>
        <v>0</v>
      </c>
      <c r="J64" s="55">
        <f t="shared" si="4"/>
        <v>0</v>
      </c>
      <c r="K64" s="36"/>
    </row>
    <row r="65" spans="1:11" x14ac:dyDescent="0.25">
      <c r="A65" s="49">
        <f>'A) Base RI'!A67</f>
        <v>5496</v>
      </c>
      <c r="B65" s="292" t="str">
        <f>'A) Base RI'!B67</f>
        <v>Penthaz</v>
      </c>
      <c r="C65" s="95">
        <f>'B) D RI'!U67</f>
        <v>60131.11913669065</v>
      </c>
      <c r="D65" s="110">
        <f>'E) Fact soc'!G71/C65</f>
        <v>16.50490827508936</v>
      </c>
      <c r="E65" s="136">
        <f>'H) Péréquation directe'!I76/C65</f>
        <v>2.7473529255824785</v>
      </c>
      <c r="F65" s="415">
        <f>+'I) Dépenses thématiques'!U65</f>
        <v>-3.441816619268169</v>
      </c>
      <c r="G65" s="136">
        <f t="shared" si="1"/>
        <v>15.81044458140367</v>
      </c>
      <c r="H65" s="110">
        <f t="shared" si="2"/>
        <v>19.252261200671839</v>
      </c>
      <c r="I65" s="136">
        <f t="shared" si="3"/>
        <v>0</v>
      </c>
      <c r="J65" s="55">
        <f t="shared" si="4"/>
        <v>0</v>
      </c>
      <c r="K65" s="36"/>
    </row>
    <row r="66" spans="1:11" x14ac:dyDescent="0.25">
      <c r="A66" s="49">
        <f>'A) Base RI'!A68</f>
        <v>5497</v>
      </c>
      <c r="B66" s="292" t="str">
        <f>'A) Base RI'!B68</f>
        <v>Pompaples</v>
      </c>
      <c r="C66" s="95">
        <f>'B) D RI'!U68</f>
        <v>20396.986060606061</v>
      </c>
      <c r="D66" s="110">
        <f>'E) Fact soc'!G72/C66</f>
        <v>17.447046435317205</v>
      </c>
      <c r="E66" s="136">
        <f>'H) Péréquation directe'!I77/C66</f>
        <v>-3.4660550371363943</v>
      </c>
      <c r="F66" s="415">
        <f>+'I) Dépenses thématiques'!U66</f>
        <v>-4.9444110682187237</v>
      </c>
      <c r="G66" s="136">
        <f t="shared" si="1"/>
        <v>9.0365803299620868</v>
      </c>
      <c r="H66" s="110">
        <f t="shared" si="2"/>
        <v>13.98099139818081</v>
      </c>
      <c r="I66" s="136">
        <f t="shared" si="3"/>
        <v>0</v>
      </c>
      <c r="J66" s="55">
        <f t="shared" si="4"/>
        <v>0</v>
      </c>
      <c r="K66" s="36"/>
    </row>
    <row r="67" spans="1:11" x14ac:dyDescent="0.25">
      <c r="A67" s="49">
        <f>'A) Base RI'!A69</f>
        <v>5498</v>
      </c>
      <c r="B67" s="292" t="str">
        <f>'A) Base RI'!B69</f>
        <v>La Sarraz</v>
      </c>
      <c r="C67" s="95">
        <f>'B) D RI'!U69</f>
        <v>77508.241969696974</v>
      </c>
      <c r="D67" s="110">
        <f>'E) Fact soc'!G73/C67</f>
        <v>15.710945542728574</v>
      </c>
      <c r="E67" s="136">
        <f>'H) Péréquation directe'!I78/C67</f>
        <v>-0.33449072492733062</v>
      </c>
      <c r="F67" s="415">
        <f>+'I) Dépenses thématiques'!U67</f>
        <v>-5.4972643857462531</v>
      </c>
      <c r="G67" s="136">
        <f t="shared" si="1"/>
        <v>9.8791904320549904</v>
      </c>
      <c r="H67" s="110">
        <f t="shared" si="2"/>
        <v>15.376454817801243</v>
      </c>
      <c r="I67" s="136">
        <f t="shared" si="3"/>
        <v>0</v>
      </c>
      <c r="J67" s="55">
        <f t="shared" si="4"/>
        <v>0</v>
      </c>
      <c r="K67" s="36"/>
    </row>
    <row r="68" spans="1:11" x14ac:dyDescent="0.25">
      <c r="A68" s="49">
        <f>'A) Base RI'!A70</f>
        <v>5499</v>
      </c>
      <c r="B68" s="292" t="str">
        <f>'A) Base RI'!B70</f>
        <v>Senarclens</v>
      </c>
      <c r="C68" s="95">
        <f>'B) D RI'!U70</f>
        <v>19654.447445255475</v>
      </c>
      <c r="D68" s="110">
        <f>'E) Fact soc'!G74/C68</f>
        <v>19.895065143375703</v>
      </c>
      <c r="E68" s="136">
        <f>'H) Péréquation directe'!I79/C68</f>
        <v>11.976096610958118</v>
      </c>
      <c r="F68" s="415">
        <f>+'I) Dépenses thématiques'!U68</f>
        <v>-11.072013900904583</v>
      </c>
      <c r="G68" s="136">
        <f t="shared" si="1"/>
        <v>20.799147853429236</v>
      </c>
      <c r="H68" s="110">
        <f t="shared" si="2"/>
        <v>31.871161754333819</v>
      </c>
      <c r="I68" s="136">
        <f t="shared" si="3"/>
        <v>0</v>
      </c>
      <c r="J68" s="55">
        <f t="shared" si="4"/>
        <v>0</v>
      </c>
      <c r="K68" s="36"/>
    </row>
    <row r="69" spans="1:11" x14ac:dyDescent="0.25">
      <c r="A69" s="49">
        <f>'A) Base RI'!A71</f>
        <v>5500</v>
      </c>
      <c r="B69" s="292" t="str">
        <f>'A) Base RI'!B71</f>
        <v>Sévery</v>
      </c>
      <c r="C69" s="95">
        <f>'B) D RI'!U71</f>
        <v>7516.1401369863015</v>
      </c>
      <c r="D69" s="110">
        <f>'E) Fact soc'!G75/C69</f>
        <v>15.352148423104946</v>
      </c>
      <c r="E69" s="136">
        <f>'H) Péréquation directe'!I80/C69</f>
        <v>7.6913503398249148</v>
      </c>
      <c r="F69" s="415">
        <f>+'I) Dépenses thématiques'!U69</f>
        <v>-8.656359247203957</v>
      </c>
      <c r="G69" s="136">
        <f t="shared" si="1"/>
        <v>14.387139515725904</v>
      </c>
      <c r="H69" s="110">
        <f t="shared" si="2"/>
        <v>23.043498762929861</v>
      </c>
      <c r="I69" s="136">
        <f t="shared" si="3"/>
        <v>0</v>
      </c>
      <c r="J69" s="55">
        <f t="shared" si="4"/>
        <v>0</v>
      </c>
      <c r="K69" s="36"/>
    </row>
    <row r="70" spans="1:11" x14ac:dyDescent="0.25">
      <c r="A70" s="49">
        <f>'A) Base RI'!A72</f>
        <v>5501</v>
      </c>
      <c r="B70" s="292" t="str">
        <f>'A) Base RI'!B72</f>
        <v>Sullens</v>
      </c>
      <c r="C70" s="95">
        <f>'B) D RI'!U72</f>
        <v>41921.141459854021</v>
      </c>
      <c r="D70" s="110">
        <f>'E) Fact soc'!G76/C70</f>
        <v>89.558043350498139</v>
      </c>
      <c r="E70" s="136">
        <f>'H) Péréquation directe'!I81/C70</f>
        <v>12.173927289891749</v>
      </c>
      <c r="F70" s="415">
        <f>+'I) Dépenses thématiques'!U70</f>
        <v>-0.37961860273355191</v>
      </c>
      <c r="G70" s="136">
        <f t="shared" ref="G70:G133" si="5">SUM(D70:F70)</f>
        <v>101.35235203765633</v>
      </c>
      <c r="H70" s="110">
        <f t="shared" ref="H70:H133" si="6">G70-F70</f>
        <v>101.73197064038989</v>
      </c>
      <c r="I70" s="136">
        <f t="shared" ref="I70:I133" si="7">IF(H70&lt;I$4,H70-I$4,0)</f>
        <v>0</v>
      </c>
      <c r="J70" s="55">
        <f t="shared" ref="J70:J133" si="8">-I70*C70</f>
        <v>0</v>
      </c>
      <c r="K70" s="36"/>
    </row>
    <row r="71" spans="1:11" x14ac:dyDescent="0.25">
      <c r="A71" s="49">
        <f>'A) Base RI'!A73</f>
        <v>5503</v>
      </c>
      <c r="B71" s="292" t="str">
        <f>'A) Base RI'!B73</f>
        <v>Vufflens-la-Ville</v>
      </c>
      <c r="C71" s="95">
        <f>'B) D RI'!U73</f>
        <v>66677.882338308453</v>
      </c>
      <c r="D71" s="110">
        <f>'E) Fact soc'!G77/C71</f>
        <v>16.053070490830844</v>
      </c>
      <c r="E71" s="136">
        <f>'H) Péréquation directe'!I82/C71</f>
        <v>15.4872491104347</v>
      </c>
      <c r="F71" s="415">
        <f>+'I) Dépenses thématiques'!U71</f>
        <v>0</v>
      </c>
      <c r="G71" s="136">
        <f t="shared" si="5"/>
        <v>31.540319601265544</v>
      </c>
      <c r="H71" s="110">
        <f t="shared" si="6"/>
        <v>31.540319601265544</v>
      </c>
      <c r="I71" s="136">
        <f t="shared" si="7"/>
        <v>0</v>
      </c>
      <c r="J71" s="55">
        <f t="shared" si="8"/>
        <v>0</v>
      </c>
      <c r="K71" s="36"/>
    </row>
    <row r="72" spans="1:11" x14ac:dyDescent="0.25">
      <c r="A72" s="49">
        <f>'A) Base RI'!A74</f>
        <v>5511</v>
      </c>
      <c r="B72" s="292" t="str">
        <f>'A) Base RI'!B74</f>
        <v>Assens</v>
      </c>
      <c r="C72" s="95">
        <f>'B) D RI'!U74</f>
        <v>44474.742571428564</v>
      </c>
      <c r="D72" s="110">
        <f>'E) Fact soc'!G78/C72</f>
        <v>14.957638540708894</v>
      </c>
      <c r="E72" s="136">
        <f>'H) Péréquation directe'!I83/C72</f>
        <v>10.640083654265467</v>
      </c>
      <c r="F72" s="415">
        <f>+'I) Dépenses thématiques'!U72</f>
        <v>-4.1447636099382503</v>
      </c>
      <c r="G72" s="136">
        <f t="shared" si="5"/>
        <v>21.452958585036107</v>
      </c>
      <c r="H72" s="110">
        <f t="shared" si="6"/>
        <v>25.597722194974359</v>
      </c>
      <c r="I72" s="136">
        <f t="shared" si="7"/>
        <v>0</v>
      </c>
      <c r="J72" s="55">
        <f t="shared" si="8"/>
        <v>0</v>
      </c>
      <c r="K72" s="36"/>
    </row>
    <row r="73" spans="1:11" x14ac:dyDescent="0.25">
      <c r="A73" s="49">
        <f>'A) Base RI'!A75</f>
        <v>5512</v>
      </c>
      <c r="B73" s="292" t="str">
        <f>'A) Base RI'!B75</f>
        <v>Bercher</v>
      </c>
      <c r="C73" s="95">
        <f>'B) D RI'!U75</f>
        <v>40313.482784810127</v>
      </c>
      <c r="D73" s="110">
        <f>'E) Fact soc'!G79/C73</f>
        <v>15.598579734793649</v>
      </c>
      <c r="E73" s="136">
        <f>'H) Péréquation directe'!I84/C73</f>
        <v>-1.2364683685780893</v>
      </c>
      <c r="F73" s="415">
        <f>+'I) Dépenses thématiques'!U73</f>
        <v>-5.8423627762391295</v>
      </c>
      <c r="G73" s="136">
        <f t="shared" si="5"/>
        <v>8.5197485899764303</v>
      </c>
      <c r="H73" s="110">
        <f t="shared" si="6"/>
        <v>14.36211136621556</v>
      </c>
      <c r="I73" s="136">
        <f t="shared" si="7"/>
        <v>0</v>
      </c>
      <c r="J73" s="55">
        <f t="shared" si="8"/>
        <v>0</v>
      </c>
      <c r="K73" s="36"/>
    </row>
    <row r="74" spans="1:11" x14ac:dyDescent="0.25">
      <c r="A74" s="49">
        <f>'A) Base RI'!A76</f>
        <v>5513</v>
      </c>
      <c r="B74" s="292" t="str">
        <f>'A) Base RI'!B76</f>
        <v>Bioley-Orjulaz</v>
      </c>
      <c r="C74" s="95">
        <f>'B) D RI'!U76</f>
        <v>22644.962352941177</v>
      </c>
      <c r="D74" s="110">
        <f>'E) Fact soc'!G80/C74</f>
        <v>19.140836039198202</v>
      </c>
      <c r="E74" s="136">
        <f>'H) Péréquation directe'!I85/C74</f>
        <v>14.123339179054367</v>
      </c>
      <c r="F74" s="415">
        <f>+'I) Dépenses thématiques'!U74</f>
        <v>0</v>
      </c>
      <c r="G74" s="136">
        <f t="shared" si="5"/>
        <v>33.264175218252568</v>
      </c>
      <c r="H74" s="110">
        <f t="shared" si="6"/>
        <v>33.264175218252568</v>
      </c>
      <c r="I74" s="136">
        <f t="shared" si="7"/>
        <v>0</v>
      </c>
      <c r="J74" s="55">
        <f t="shared" si="8"/>
        <v>0</v>
      </c>
      <c r="K74" s="36"/>
    </row>
    <row r="75" spans="1:11" x14ac:dyDescent="0.25">
      <c r="A75" s="49">
        <f>'A) Base RI'!A77</f>
        <v>5514</v>
      </c>
      <c r="B75" s="292" t="str">
        <f>'A) Base RI'!B77</f>
        <v>Bottens</v>
      </c>
      <c r="C75" s="95">
        <f>'B) D RI'!U77</f>
        <v>44190.368827586208</v>
      </c>
      <c r="D75" s="110">
        <f>'E) Fact soc'!G81/C75</f>
        <v>15.621070390378634</v>
      </c>
      <c r="E75" s="136">
        <f>'H) Péréquation directe'!I86/C75</f>
        <v>4.2808929668413578</v>
      </c>
      <c r="F75" s="415">
        <f>+'I) Dépenses thématiques'!U75</f>
        <v>0</v>
      </c>
      <c r="G75" s="136">
        <f t="shared" si="5"/>
        <v>19.901963357219991</v>
      </c>
      <c r="H75" s="110">
        <f t="shared" si="6"/>
        <v>19.901963357219991</v>
      </c>
      <c r="I75" s="136">
        <f t="shared" si="7"/>
        <v>0</v>
      </c>
      <c r="J75" s="55">
        <f t="shared" si="8"/>
        <v>0</v>
      </c>
      <c r="K75" s="36"/>
    </row>
    <row r="76" spans="1:11" x14ac:dyDescent="0.25">
      <c r="A76" s="49">
        <f>'A) Base RI'!A78</f>
        <v>5515</v>
      </c>
      <c r="B76" s="292" t="str">
        <f>'A) Base RI'!B78</f>
        <v>Bretigny-sur-Morrens</v>
      </c>
      <c r="C76" s="95">
        <f>'B) D RI'!U78</f>
        <v>29586.483086419765</v>
      </c>
      <c r="D76" s="110">
        <f>'E) Fact soc'!G82/C76</f>
        <v>17.525905639871617</v>
      </c>
      <c r="E76" s="136">
        <f>'H) Péréquation directe'!I87/C76</f>
        <v>5.0736414532129448</v>
      </c>
      <c r="F76" s="415">
        <f>+'I) Dépenses thématiques'!U76</f>
        <v>-1.7923590758180403</v>
      </c>
      <c r="G76" s="136">
        <f t="shared" si="5"/>
        <v>20.807188017266519</v>
      </c>
      <c r="H76" s="110">
        <f t="shared" si="6"/>
        <v>22.59954709308456</v>
      </c>
      <c r="I76" s="136">
        <f t="shared" si="7"/>
        <v>0</v>
      </c>
      <c r="J76" s="55">
        <f t="shared" si="8"/>
        <v>0</v>
      </c>
      <c r="K76" s="36"/>
    </row>
    <row r="77" spans="1:11" x14ac:dyDescent="0.25">
      <c r="A77" s="49">
        <f>'A) Base RI'!A79</f>
        <v>5516</v>
      </c>
      <c r="B77" s="292" t="str">
        <f>'A) Base RI'!B79</f>
        <v>Cugy</v>
      </c>
      <c r="C77" s="95">
        <f>'B) D RI'!U79</f>
        <v>107062.26318376069</v>
      </c>
      <c r="D77" s="110">
        <f>'E) Fact soc'!G83/C77</f>
        <v>17.124161156034667</v>
      </c>
      <c r="E77" s="136">
        <f>'H) Péréquation directe'!I88/C77</f>
        <v>6.3969468144877286</v>
      </c>
      <c r="F77" s="415">
        <f>+'I) Dépenses thématiques'!U77</f>
        <v>-1.5209203136118139</v>
      </c>
      <c r="G77" s="136">
        <f t="shared" si="5"/>
        <v>22.00018765691058</v>
      </c>
      <c r="H77" s="110">
        <f t="shared" si="6"/>
        <v>23.521107970522394</v>
      </c>
      <c r="I77" s="136">
        <f t="shared" si="7"/>
        <v>0</v>
      </c>
      <c r="J77" s="55">
        <f t="shared" si="8"/>
        <v>0</v>
      </c>
      <c r="K77" s="36"/>
    </row>
    <row r="78" spans="1:11" x14ac:dyDescent="0.25">
      <c r="A78" s="49">
        <f>'A) Base RI'!A80</f>
        <v>5518</v>
      </c>
      <c r="B78" s="292" t="str">
        <f>'A) Base RI'!B80</f>
        <v>Echallens</v>
      </c>
      <c r="C78" s="95">
        <f>'B) D RI'!U80</f>
        <v>178756.07310344829</v>
      </c>
      <c r="D78" s="110">
        <f>'E) Fact soc'!G84/C78</f>
        <v>16.924111914030892</v>
      </c>
      <c r="E78" s="136">
        <f>'H) Péréquation directe'!I89/C78</f>
        <v>-4.8761320782908175</v>
      </c>
      <c r="F78" s="415">
        <f>+'I) Dépenses thématiques'!U78</f>
        <v>-6.6635012209626154</v>
      </c>
      <c r="G78" s="136">
        <f t="shared" si="5"/>
        <v>5.3844786147774588</v>
      </c>
      <c r="H78" s="110">
        <f t="shared" si="6"/>
        <v>12.047979835740074</v>
      </c>
      <c r="I78" s="136">
        <f t="shared" si="7"/>
        <v>0</v>
      </c>
      <c r="J78" s="55">
        <f t="shared" si="8"/>
        <v>0</v>
      </c>
      <c r="K78" s="36"/>
    </row>
    <row r="79" spans="1:11" x14ac:dyDescent="0.25">
      <c r="A79" s="49">
        <f>'A) Base RI'!A81</f>
        <v>5520</v>
      </c>
      <c r="B79" s="292" t="str">
        <f>'A) Base RI'!B81</f>
        <v>Essertines-sur-Yverdon</v>
      </c>
      <c r="C79" s="95">
        <f>'B) D RI'!U81</f>
        <v>29733.806712328769</v>
      </c>
      <c r="D79" s="110">
        <f>'E) Fact soc'!G85/C79</f>
        <v>17.953406993164133</v>
      </c>
      <c r="E79" s="136">
        <f>'H) Péréquation directe'!I90/C79</f>
        <v>7.0512143733047511E-2</v>
      </c>
      <c r="F79" s="415">
        <f>+'I) Dépenses thématiques'!U79</f>
        <v>-4.8056091866815551</v>
      </c>
      <c r="G79" s="136">
        <f t="shared" si="5"/>
        <v>13.218309950215627</v>
      </c>
      <c r="H79" s="110">
        <f t="shared" si="6"/>
        <v>18.023919136897181</v>
      </c>
      <c r="I79" s="136">
        <f t="shared" si="7"/>
        <v>0</v>
      </c>
      <c r="J79" s="55">
        <f t="shared" si="8"/>
        <v>0</v>
      </c>
      <c r="K79" s="36"/>
    </row>
    <row r="80" spans="1:11" x14ac:dyDescent="0.25">
      <c r="A80" s="49">
        <f>'A) Base RI'!A82</f>
        <v>5521</v>
      </c>
      <c r="B80" s="292" t="str">
        <f>'A) Base RI'!B82</f>
        <v>Etagnières</v>
      </c>
      <c r="C80" s="95">
        <f>'B) D RI'!U82</f>
        <v>46797.314657534247</v>
      </c>
      <c r="D80" s="110">
        <f>'E) Fact soc'!G86/C80</f>
        <v>15.536601451476702</v>
      </c>
      <c r="E80" s="136">
        <f>'H) Péréquation directe'!I91/C80</f>
        <v>11.532574351258368</v>
      </c>
      <c r="F80" s="415">
        <f>+'I) Dépenses thématiques'!U80</f>
        <v>-1.4554598389510096</v>
      </c>
      <c r="G80" s="136">
        <f t="shared" si="5"/>
        <v>25.61371596378406</v>
      </c>
      <c r="H80" s="110">
        <f t="shared" si="6"/>
        <v>27.069175802735071</v>
      </c>
      <c r="I80" s="136">
        <f t="shared" si="7"/>
        <v>0</v>
      </c>
      <c r="J80" s="55">
        <f t="shared" si="8"/>
        <v>0</v>
      </c>
      <c r="K80" s="36"/>
    </row>
    <row r="81" spans="1:11" x14ac:dyDescent="0.25">
      <c r="A81" s="49">
        <f>'A) Base RI'!A83</f>
        <v>5522</v>
      </c>
      <c r="B81" s="292" t="str">
        <f>'A) Base RI'!B83</f>
        <v>Fey</v>
      </c>
      <c r="C81" s="95">
        <f>'B) D RI'!U83</f>
        <v>23726.940933333331</v>
      </c>
      <c r="D81" s="110">
        <f>'E) Fact soc'!G87/C81</f>
        <v>14.686486057112353</v>
      </c>
      <c r="E81" s="136">
        <f>'H) Péréquation directe'!I92/C81</f>
        <v>3.5014155031881593</v>
      </c>
      <c r="F81" s="415">
        <f>+'I) Dépenses thématiques'!U81</f>
        <v>-4.6060783396844931</v>
      </c>
      <c r="G81" s="136">
        <f t="shared" si="5"/>
        <v>13.581823220616016</v>
      </c>
      <c r="H81" s="110">
        <f t="shared" si="6"/>
        <v>18.18790156030051</v>
      </c>
      <c r="I81" s="136">
        <f t="shared" si="7"/>
        <v>0</v>
      </c>
      <c r="J81" s="55">
        <f t="shared" si="8"/>
        <v>0</v>
      </c>
      <c r="K81" s="36"/>
    </row>
    <row r="82" spans="1:11" x14ac:dyDescent="0.25">
      <c r="A82" s="49">
        <f>'A) Base RI'!A84</f>
        <v>5523</v>
      </c>
      <c r="B82" s="292" t="str">
        <f>'A) Base RI'!B84</f>
        <v>Froideville</v>
      </c>
      <c r="C82" s="95">
        <f>'B) D RI'!U84</f>
        <v>85868.846805555557</v>
      </c>
      <c r="D82" s="110">
        <f>'E) Fact soc'!G88/C82</f>
        <v>15.161677406796544</v>
      </c>
      <c r="E82" s="136">
        <f>'H) Péréquation directe'!I93/C82</f>
        <v>0.23795781384072892</v>
      </c>
      <c r="F82" s="415">
        <f>+'I) Dépenses thématiques'!U82</f>
        <v>-1.4205317027592226</v>
      </c>
      <c r="G82" s="136">
        <f t="shared" si="5"/>
        <v>13.979103517878052</v>
      </c>
      <c r="H82" s="110">
        <f t="shared" si="6"/>
        <v>15.399635220637274</v>
      </c>
      <c r="I82" s="136">
        <f t="shared" si="7"/>
        <v>0</v>
      </c>
      <c r="J82" s="55">
        <f t="shared" si="8"/>
        <v>0</v>
      </c>
      <c r="K82" s="36"/>
    </row>
    <row r="83" spans="1:11" x14ac:dyDescent="0.25">
      <c r="A83" s="49">
        <f>'A) Base RI'!A85</f>
        <v>5527</v>
      </c>
      <c r="B83" s="292" t="str">
        <f>'A) Base RI'!B85</f>
        <v>Morrens</v>
      </c>
      <c r="C83" s="95">
        <f>'B) D RI'!U85</f>
        <v>40564.204594594594</v>
      </c>
      <c r="D83" s="110">
        <f>'E) Fact soc'!G89/C83</f>
        <v>15.521280012799366</v>
      </c>
      <c r="E83" s="136">
        <f>'H) Péréquation directe'!I94/C83</f>
        <v>6.687169748611745</v>
      </c>
      <c r="F83" s="415">
        <f>+'I) Dépenses thématiques'!U83</f>
        <v>-2.0624963134019167</v>
      </c>
      <c r="G83" s="136">
        <f t="shared" si="5"/>
        <v>20.145953448009195</v>
      </c>
      <c r="H83" s="110">
        <f t="shared" si="6"/>
        <v>22.20844976141111</v>
      </c>
      <c r="I83" s="136">
        <f t="shared" si="7"/>
        <v>0</v>
      </c>
      <c r="J83" s="55">
        <f t="shared" si="8"/>
        <v>0</v>
      </c>
      <c r="K83" s="36"/>
    </row>
    <row r="84" spans="1:11" x14ac:dyDescent="0.25">
      <c r="A84" s="49">
        <f>'A) Base RI'!A86</f>
        <v>5529</v>
      </c>
      <c r="B84" s="292" t="str">
        <f>'A) Base RI'!B86</f>
        <v>Oulens-sous-Echallens</v>
      </c>
      <c r="C84" s="95">
        <f>'B) D RI'!U86</f>
        <v>20201.245428571427</v>
      </c>
      <c r="D84" s="110">
        <f>'E) Fact soc'!G90/C84</f>
        <v>14.601802948045609</v>
      </c>
      <c r="E84" s="136">
        <f>'H) Péréquation directe'!I95/C84</f>
        <v>6.0601831509195945</v>
      </c>
      <c r="F84" s="415">
        <f>+'I) Dépenses thématiques'!U84</f>
        <v>-3.2579564295321601</v>
      </c>
      <c r="G84" s="136">
        <f t="shared" si="5"/>
        <v>17.404029669433044</v>
      </c>
      <c r="H84" s="110">
        <f t="shared" si="6"/>
        <v>20.661986098965205</v>
      </c>
      <c r="I84" s="136">
        <f t="shared" si="7"/>
        <v>0</v>
      </c>
      <c r="J84" s="55">
        <f t="shared" si="8"/>
        <v>0</v>
      </c>
      <c r="K84" s="36"/>
    </row>
    <row r="85" spans="1:11" x14ac:dyDescent="0.25">
      <c r="A85" s="49">
        <f>'A) Base RI'!A87</f>
        <v>5530</v>
      </c>
      <c r="B85" s="292" t="str">
        <f>'A) Base RI'!B87</f>
        <v>Pailly</v>
      </c>
      <c r="C85" s="95">
        <f>'B) D RI'!U87</f>
        <v>18302.009495614031</v>
      </c>
      <c r="D85" s="110">
        <f>'E) Fact soc'!G91/C85</f>
        <v>14.19331730084685</v>
      </c>
      <c r="E85" s="136">
        <f>'H) Péréquation directe'!I96/C85</f>
        <v>3.9144171105911614</v>
      </c>
      <c r="F85" s="415">
        <f>+'I) Dépenses thématiques'!U85</f>
        <v>-20.414844937882052</v>
      </c>
      <c r="G85" s="136">
        <f t="shared" si="5"/>
        <v>-2.3071105264440419</v>
      </c>
      <c r="H85" s="110">
        <f t="shared" si="6"/>
        <v>18.10773441143801</v>
      </c>
      <c r="I85" s="136">
        <f t="shared" si="7"/>
        <v>0</v>
      </c>
      <c r="J85" s="55">
        <f t="shared" si="8"/>
        <v>0</v>
      </c>
      <c r="K85" s="36"/>
    </row>
    <row r="86" spans="1:11" x14ac:dyDescent="0.25">
      <c r="A86" s="49">
        <f>'A) Base RI'!A88</f>
        <v>5531</v>
      </c>
      <c r="B86" s="292" t="str">
        <f>'A) Base RI'!B88</f>
        <v>Penthéréaz</v>
      </c>
      <c r="C86" s="95">
        <f>'B) D RI'!U88</f>
        <v>13843.062702702704</v>
      </c>
      <c r="D86" s="110">
        <f>'E) Fact soc'!G92/C86</f>
        <v>15.533437678701915</v>
      </c>
      <c r="E86" s="136">
        <f>'H) Péréquation directe'!I97/C86</f>
        <v>5.3491276006992718</v>
      </c>
      <c r="F86" s="415">
        <f>+'I) Dépenses thématiques'!U86</f>
        <v>-4.7949524019563547</v>
      </c>
      <c r="G86" s="136">
        <f t="shared" si="5"/>
        <v>16.087612877444833</v>
      </c>
      <c r="H86" s="110">
        <f t="shared" si="6"/>
        <v>20.882565279401188</v>
      </c>
      <c r="I86" s="136">
        <f t="shared" si="7"/>
        <v>0</v>
      </c>
      <c r="J86" s="55">
        <f t="shared" si="8"/>
        <v>0</v>
      </c>
      <c r="K86" s="36"/>
    </row>
    <row r="87" spans="1:11" x14ac:dyDescent="0.25">
      <c r="A87" s="49">
        <f>'A) Base RI'!A89</f>
        <v>5533</v>
      </c>
      <c r="B87" s="292" t="str">
        <f>'A) Base RI'!B89</f>
        <v>Poliez-Pittet</v>
      </c>
      <c r="C87" s="95">
        <f>'B) D RI'!U89</f>
        <v>27190.167945205478</v>
      </c>
      <c r="D87" s="110">
        <f>'E) Fact soc'!G93/C87</f>
        <v>19.780073065996412</v>
      </c>
      <c r="E87" s="136">
        <f>'H) Péréquation directe'!I98/C87</f>
        <v>5.3641208779600502</v>
      </c>
      <c r="F87" s="415">
        <f>+'I) Dépenses thématiques'!U87</f>
        <v>-1.2198204920225342</v>
      </c>
      <c r="G87" s="136">
        <f t="shared" si="5"/>
        <v>23.924373451933928</v>
      </c>
      <c r="H87" s="110">
        <f t="shared" si="6"/>
        <v>25.144193943956463</v>
      </c>
      <c r="I87" s="136">
        <f t="shared" si="7"/>
        <v>0</v>
      </c>
      <c r="J87" s="55">
        <f t="shared" si="8"/>
        <v>0</v>
      </c>
      <c r="K87" s="36"/>
    </row>
    <row r="88" spans="1:11" x14ac:dyDescent="0.25">
      <c r="A88" s="49">
        <f>'A) Base RI'!A90</f>
        <v>5534</v>
      </c>
      <c r="B88" s="292" t="str">
        <f>'A) Base RI'!B90</f>
        <v>Rueyres</v>
      </c>
      <c r="C88" s="95">
        <f>'B) D RI'!U90</f>
        <v>9755.351210045661</v>
      </c>
      <c r="D88" s="110">
        <f>'E) Fact soc'!G94/C88</f>
        <v>16.099200124272553</v>
      </c>
      <c r="E88" s="136">
        <f>'H) Péréquation directe'!I99/C88</f>
        <v>9.0817274813091142</v>
      </c>
      <c r="F88" s="415">
        <f>+'I) Dépenses thématiques'!U88</f>
        <v>-0.1880236347182388</v>
      </c>
      <c r="G88" s="136">
        <f t="shared" si="5"/>
        <v>24.992903970863427</v>
      </c>
      <c r="H88" s="110">
        <f t="shared" si="6"/>
        <v>25.180927605581665</v>
      </c>
      <c r="I88" s="136">
        <f t="shared" si="7"/>
        <v>0</v>
      </c>
      <c r="J88" s="55">
        <f t="shared" si="8"/>
        <v>0</v>
      </c>
      <c r="K88" s="36"/>
    </row>
    <row r="89" spans="1:11" x14ac:dyDescent="0.25">
      <c r="A89" s="49">
        <f>'A) Base RI'!A91</f>
        <v>5535</v>
      </c>
      <c r="B89" s="292" t="str">
        <f>'A) Base RI'!B91</f>
        <v>Saint-Barthélemy</v>
      </c>
      <c r="C89" s="95">
        <f>'B) D RI'!U91</f>
        <v>22496.850133333337</v>
      </c>
      <c r="D89" s="110">
        <f>'E) Fact soc'!G95/C89</f>
        <v>14.89114977346266</v>
      </c>
      <c r="E89" s="136">
        <f>'H) Péréquation directe'!I100/C89</f>
        <v>-0.47310665904020061</v>
      </c>
      <c r="F89" s="415">
        <f>+'I) Dépenses thématiques'!U89</f>
        <v>0</v>
      </c>
      <c r="G89" s="136">
        <f t="shared" si="5"/>
        <v>14.41804311442246</v>
      </c>
      <c r="H89" s="110">
        <f t="shared" si="6"/>
        <v>14.41804311442246</v>
      </c>
      <c r="I89" s="136">
        <f t="shared" si="7"/>
        <v>0</v>
      </c>
      <c r="J89" s="55">
        <f t="shared" si="8"/>
        <v>0</v>
      </c>
      <c r="K89" s="36"/>
    </row>
    <row r="90" spans="1:11" x14ac:dyDescent="0.25">
      <c r="A90" s="49">
        <f>'A) Base RI'!A92</f>
        <v>5537</v>
      </c>
      <c r="B90" s="292" t="str">
        <f>'A) Base RI'!B92</f>
        <v>Villars-le-Terroir</v>
      </c>
      <c r="C90" s="95">
        <f>'B) D RI'!U92</f>
        <v>37963.269999999997</v>
      </c>
      <c r="D90" s="110">
        <f>'E) Fact soc'!G96/C90</f>
        <v>16.076500708549535</v>
      </c>
      <c r="E90" s="136">
        <f>'H) Péréquation directe'!I101/C90</f>
        <v>-4.2781275736220592E-2</v>
      </c>
      <c r="F90" s="415">
        <f>+'I) Dépenses thématiques'!U90</f>
        <v>-1.1049859508941149</v>
      </c>
      <c r="G90" s="136">
        <f t="shared" si="5"/>
        <v>14.928733481919199</v>
      </c>
      <c r="H90" s="110">
        <f t="shared" si="6"/>
        <v>16.033719432813314</v>
      </c>
      <c r="I90" s="136">
        <f t="shared" si="7"/>
        <v>0</v>
      </c>
      <c r="J90" s="55">
        <f t="shared" si="8"/>
        <v>0</v>
      </c>
      <c r="K90" s="36"/>
    </row>
    <row r="91" spans="1:11" x14ac:dyDescent="0.25">
      <c r="A91" s="49">
        <f>'A) Base RI'!A93</f>
        <v>5539</v>
      </c>
      <c r="B91" s="292" t="str">
        <f>'A) Base RI'!B93</f>
        <v>Vuarrens</v>
      </c>
      <c r="C91" s="95">
        <f>'B) D RI'!U93</f>
        <v>35961.61534013605</v>
      </c>
      <c r="D91" s="110">
        <f>'E) Fact soc'!G97/C91</f>
        <v>18.133415499195507</v>
      </c>
      <c r="E91" s="136">
        <f>'H) Péréquation directe'!I102/C91</f>
        <v>6.0373273885765126</v>
      </c>
      <c r="F91" s="415">
        <f>+'I) Dépenses thématiques'!U91</f>
        <v>-1.0150694886655185</v>
      </c>
      <c r="G91" s="136">
        <f t="shared" si="5"/>
        <v>23.155673399106504</v>
      </c>
      <c r="H91" s="110">
        <f t="shared" si="6"/>
        <v>24.170742887772022</v>
      </c>
      <c r="I91" s="136">
        <f t="shared" si="7"/>
        <v>0</v>
      </c>
      <c r="J91" s="55">
        <f t="shared" si="8"/>
        <v>0</v>
      </c>
      <c r="K91" s="36"/>
    </row>
    <row r="92" spans="1:11" x14ac:dyDescent="0.25">
      <c r="A92" s="49">
        <f>'A) Base RI'!A94</f>
        <v>5540</v>
      </c>
      <c r="B92" s="292" t="str">
        <f>'A) Base RI'!B94</f>
        <v>Montilliez</v>
      </c>
      <c r="C92" s="95">
        <f>'B) D RI'!U94</f>
        <v>66256.548551724132</v>
      </c>
      <c r="D92" s="110">
        <f>'E) Fact soc'!G98/C92</f>
        <v>14.99864328875266</v>
      </c>
      <c r="E92" s="136">
        <f>'H) Péréquation directe'!I103/C92</f>
        <v>5.4197268364213338</v>
      </c>
      <c r="F92" s="415">
        <f>+'I) Dépenses thématiques'!U92</f>
        <v>-3.8292523957506983</v>
      </c>
      <c r="G92" s="136">
        <f t="shared" si="5"/>
        <v>16.589117729423293</v>
      </c>
      <c r="H92" s="110">
        <f t="shared" si="6"/>
        <v>20.418370125173993</v>
      </c>
      <c r="I92" s="136">
        <f t="shared" si="7"/>
        <v>0</v>
      </c>
      <c r="J92" s="55">
        <f t="shared" si="8"/>
        <v>0</v>
      </c>
      <c r="K92" s="36"/>
    </row>
    <row r="93" spans="1:11" x14ac:dyDescent="0.25">
      <c r="A93" s="49">
        <f>'A) Base RI'!A95</f>
        <v>5541</v>
      </c>
      <c r="B93" s="292" t="str">
        <f>'A) Base RI'!B95</f>
        <v>Goumoëns</v>
      </c>
      <c r="C93" s="95">
        <f>'B) D RI'!U95</f>
        <v>36998.611258278142</v>
      </c>
      <c r="D93" s="110">
        <f>'E) Fact soc'!G99/C93</f>
        <v>17.02315671039468</v>
      </c>
      <c r="E93" s="136">
        <f>'H) Péréquation directe'!I104/C93</f>
        <v>2.9166376136337799</v>
      </c>
      <c r="F93" s="415">
        <f>+'I) Dépenses thématiques'!U93</f>
        <v>-0.3730578942617559</v>
      </c>
      <c r="G93" s="136">
        <f t="shared" si="5"/>
        <v>19.566736429766706</v>
      </c>
      <c r="H93" s="110">
        <f t="shared" si="6"/>
        <v>19.939794324028462</v>
      </c>
      <c r="I93" s="136">
        <f t="shared" si="7"/>
        <v>0</v>
      </c>
      <c r="J93" s="55">
        <f t="shared" si="8"/>
        <v>0</v>
      </c>
      <c r="K93" s="36"/>
    </row>
    <row r="94" spans="1:11" x14ac:dyDescent="0.25">
      <c r="A94" s="49">
        <f>'A) Base RI'!A96</f>
        <v>5551</v>
      </c>
      <c r="B94" s="292" t="str">
        <f>'A) Base RI'!B96</f>
        <v>Bonvillars</v>
      </c>
      <c r="C94" s="95">
        <f>'B) D RI'!U96</f>
        <v>19156.634727272725</v>
      </c>
      <c r="D94" s="110">
        <f>'E) Fact soc'!G100/C94</f>
        <v>14.816117561214144</v>
      </c>
      <c r="E94" s="136">
        <f>'H) Péréquation directe'!I105/C94</f>
        <v>13.212514148029708</v>
      </c>
      <c r="F94" s="415">
        <f>+'I) Dépenses thématiques'!U94</f>
        <v>-2.8896236932524055</v>
      </c>
      <c r="G94" s="136">
        <f t="shared" si="5"/>
        <v>25.139008015991447</v>
      </c>
      <c r="H94" s="110">
        <f t="shared" si="6"/>
        <v>28.028631709243854</v>
      </c>
      <c r="I94" s="136">
        <f t="shared" si="7"/>
        <v>0</v>
      </c>
      <c r="J94" s="55">
        <f t="shared" si="8"/>
        <v>0</v>
      </c>
      <c r="K94" s="36"/>
    </row>
    <row r="95" spans="1:11" x14ac:dyDescent="0.25">
      <c r="A95" s="49">
        <f>'A) Base RI'!A97</f>
        <v>5552</v>
      </c>
      <c r="B95" s="292" t="str">
        <f>'A) Base RI'!B97</f>
        <v>Bullet</v>
      </c>
      <c r="C95" s="95">
        <f>'B) D RI'!U97</f>
        <v>17556.417482517485</v>
      </c>
      <c r="D95" s="110">
        <f>'E) Fact soc'!G101/C95</f>
        <v>17.61963767465738</v>
      </c>
      <c r="E95" s="136">
        <f>'H) Péréquation directe'!I106/C95</f>
        <v>-1.9379544766580994</v>
      </c>
      <c r="F95" s="415">
        <f>+'I) Dépenses thématiques'!U95</f>
        <v>-10.509885184534156</v>
      </c>
      <c r="G95" s="136">
        <f t="shared" si="5"/>
        <v>5.1717980134651249</v>
      </c>
      <c r="H95" s="110">
        <f t="shared" si="6"/>
        <v>15.681683197999281</v>
      </c>
      <c r="I95" s="136">
        <f t="shared" si="7"/>
        <v>0</v>
      </c>
      <c r="J95" s="55">
        <f t="shared" si="8"/>
        <v>0</v>
      </c>
      <c r="K95" s="36"/>
    </row>
    <row r="96" spans="1:11" x14ac:dyDescent="0.25">
      <c r="A96" s="49">
        <f>'A) Base RI'!A98</f>
        <v>5553</v>
      </c>
      <c r="B96" s="292" t="str">
        <f>'A) Base RI'!B98</f>
        <v>Champagne</v>
      </c>
      <c r="C96" s="95">
        <f>'B) D RI'!U98</f>
        <v>38681.377846153839</v>
      </c>
      <c r="D96" s="110">
        <f>'E) Fact soc'!G102/C96</f>
        <v>17.569541792658043</v>
      </c>
      <c r="E96" s="136">
        <f>'H) Péréquation directe'!I107/C96</f>
        <v>9.9655834972662358</v>
      </c>
      <c r="F96" s="415">
        <f>+'I) Dépenses thématiques'!U96</f>
        <v>-3.7447278506776298</v>
      </c>
      <c r="G96" s="136">
        <f t="shared" si="5"/>
        <v>23.79039743924665</v>
      </c>
      <c r="H96" s="110">
        <f t="shared" si="6"/>
        <v>27.535125289924281</v>
      </c>
      <c r="I96" s="136">
        <f t="shared" si="7"/>
        <v>0</v>
      </c>
      <c r="J96" s="55">
        <f t="shared" si="8"/>
        <v>0</v>
      </c>
      <c r="K96" s="36"/>
    </row>
    <row r="97" spans="1:11" x14ac:dyDescent="0.25">
      <c r="A97" s="49">
        <f>'A) Base RI'!A99</f>
        <v>5554</v>
      </c>
      <c r="B97" s="292" t="str">
        <f>'A) Base RI'!B99</f>
        <v>Concise</v>
      </c>
      <c r="C97" s="95">
        <f>'B) D RI'!U99</f>
        <v>32327.871066666674</v>
      </c>
      <c r="D97" s="110">
        <f>'E) Fact soc'!G103/C97</f>
        <v>17.36638514996633</v>
      </c>
      <c r="E97" s="136">
        <f>'H) Péréquation directe'!I108/C97</f>
        <v>4.2253880902311343</v>
      </c>
      <c r="F97" s="415">
        <f>+'I) Dépenses thématiques'!U97</f>
        <v>-6.0896020617635616</v>
      </c>
      <c r="G97" s="136">
        <f t="shared" si="5"/>
        <v>15.502171178433905</v>
      </c>
      <c r="H97" s="110">
        <f t="shared" si="6"/>
        <v>21.591773240197465</v>
      </c>
      <c r="I97" s="136">
        <f t="shared" si="7"/>
        <v>0</v>
      </c>
      <c r="J97" s="55">
        <f t="shared" si="8"/>
        <v>0</v>
      </c>
      <c r="K97" s="36"/>
    </row>
    <row r="98" spans="1:11" x14ac:dyDescent="0.25">
      <c r="A98" s="49">
        <f>'A) Base RI'!A100</f>
        <v>5555</v>
      </c>
      <c r="B98" s="292" t="str">
        <f>'A) Base RI'!B100</f>
        <v>Corcelles-près-Concise</v>
      </c>
      <c r="C98" s="95">
        <f>'B) D RI'!U100</f>
        <v>13599.529565217395</v>
      </c>
      <c r="D98" s="110">
        <f>'E) Fact soc'!G104/C98</f>
        <v>20.210695485830879</v>
      </c>
      <c r="E98" s="136">
        <f>'H) Péréquation directe'!I109/C98</f>
        <v>6.0969847166736635</v>
      </c>
      <c r="F98" s="415">
        <f>+'I) Dépenses thématiques'!U98</f>
        <v>-12.411012059304603</v>
      </c>
      <c r="G98" s="136">
        <f t="shared" si="5"/>
        <v>13.896668143199939</v>
      </c>
      <c r="H98" s="110">
        <f t="shared" si="6"/>
        <v>26.307680202504542</v>
      </c>
      <c r="I98" s="136">
        <f t="shared" si="7"/>
        <v>0</v>
      </c>
      <c r="J98" s="55">
        <f t="shared" si="8"/>
        <v>0</v>
      </c>
      <c r="K98" s="36"/>
    </row>
    <row r="99" spans="1:11" x14ac:dyDescent="0.25">
      <c r="A99" s="49">
        <f>'A) Base RI'!A101</f>
        <v>5556</v>
      </c>
      <c r="B99" s="292" t="str">
        <f>'A) Base RI'!B101</f>
        <v>Fiez</v>
      </c>
      <c r="C99" s="95">
        <f>'B) D RI'!U101</f>
        <v>13816.427753623188</v>
      </c>
      <c r="D99" s="110">
        <f>'E) Fact soc'!G105/C99</f>
        <v>16.793858994564559</v>
      </c>
      <c r="E99" s="136">
        <f>'H) Péréquation directe'!I110/C99</f>
        <v>4.1837749124565127</v>
      </c>
      <c r="F99" s="415">
        <f>+'I) Dépenses thématiques'!U99</f>
        <v>-1.3593139267216472</v>
      </c>
      <c r="G99" s="136">
        <f t="shared" si="5"/>
        <v>19.618319980299425</v>
      </c>
      <c r="H99" s="110">
        <f t="shared" si="6"/>
        <v>20.977633907021072</v>
      </c>
      <c r="I99" s="136">
        <f t="shared" si="7"/>
        <v>0</v>
      </c>
      <c r="J99" s="55">
        <f t="shared" si="8"/>
        <v>0</v>
      </c>
      <c r="K99" s="36"/>
    </row>
    <row r="100" spans="1:11" x14ac:dyDescent="0.25">
      <c r="A100" s="49">
        <f>'A) Base RI'!A102</f>
        <v>5557</v>
      </c>
      <c r="B100" s="292" t="str">
        <f>'A) Base RI'!B102</f>
        <v>Fontaines-sur-Grandson</v>
      </c>
      <c r="C100" s="95">
        <f>'B) D RI'!U102</f>
        <v>5880.3275362318818</v>
      </c>
      <c r="D100" s="110">
        <f>'E) Fact soc'!G106/C100</f>
        <v>19.029571148688937</v>
      </c>
      <c r="E100" s="136">
        <f>'H) Péréquation directe'!I111/C100</f>
        <v>-0.61960046809513569</v>
      </c>
      <c r="F100" s="415">
        <f>+'I) Dépenses thématiques'!U100</f>
        <v>-1.1581054096858481</v>
      </c>
      <c r="G100" s="136">
        <f t="shared" si="5"/>
        <v>17.251865270907953</v>
      </c>
      <c r="H100" s="110">
        <f t="shared" si="6"/>
        <v>18.409970680593801</v>
      </c>
      <c r="I100" s="136">
        <f t="shared" si="7"/>
        <v>0</v>
      </c>
      <c r="J100" s="55">
        <f t="shared" si="8"/>
        <v>0</v>
      </c>
      <c r="K100" s="36"/>
    </row>
    <row r="101" spans="1:11" x14ac:dyDescent="0.25">
      <c r="A101" s="49">
        <f>'A) Base RI'!A103</f>
        <v>5559</v>
      </c>
      <c r="B101" s="292" t="str">
        <f>'A) Base RI'!B103</f>
        <v>Giez</v>
      </c>
      <c r="C101" s="95">
        <f>'B) D RI'!U103</f>
        <v>16897.618636363641</v>
      </c>
      <c r="D101" s="110">
        <f>'E) Fact soc'!G107/C101</f>
        <v>17.062186002346152</v>
      </c>
      <c r="E101" s="136">
        <f>'H) Péréquation directe'!I112/C101</f>
        <v>12.97734313601247</v>
      </c>
      <c r="F101" s="415">
        <f>+'I) Dépenses thématiques'!U101</f>
        <v>-0.7441603726786552</v>
      </c>
      <c r="G101" s="136">
        <f t="shared" si="5"/>
        <v>29.295368765679967</v>
      </c>
      <c r="H101" s="110">
        <f t="shared" si="6"/>
        <v>30.039529138358624</v>
      </c>
      <c r="I101" s="136">
        <f t="shared" si="7"/>
        <v>0</v>
      </c>
      <c r="J101" s="55">
        <f t="shared" si="8"/>
        <v>0</v>
      </c>
      <c r="K101" s="36"/>
    </row>
    <row r="102" spans="1:11" x14ac:dyDescent="0.25">
      <c r="A102" s="49">
        <f>'A) Base RI'!A104</f>
        <v>5560</v>
      </c>
      <c r="B102" s="292" t="str">
        <f>'A) Base RI'!B104</f>
        <v>Grandevent</v>
      </c>
      <c r="C102" s="95">
        <f>'B) D RI'!U104</f>
        <v>6167.8957352941179</v>
      </c>
      <c r="D102" s="110">
        <f>'E) Fact soc'!G108/C102</f>
        <v>15.790333548539623</v>
      </c>
      <c r="E102" s="136">
        <f>'H) Péréquation directe'!I113/C102</f>
        <v>0.42887541042435728</v>
      </c>
      <c r="F102" s="415">
        <f>+'I) Dépenses thématiques'!U102</f>
        <v>-1.5212974066782379</v>
      </c>
      <c r="G102" s="136">
        <f t="shared" si="5"/>
        <v>14.697911552285744</v>
      </c>
      <c r="H102" s="110">
        <f t="shared" si="6"/>
        <v>16.219208958963982</v>
      </c>
      <c r="I102" s="136">
        <f t="shared" si="7"/>
        <v>0</v>
      </c>
      <c r="J102" s="55">
        <f t="shared" si="8"/>
        <v>0</v>
      </c>
      <c r="K102" s="36"/>
    </row>
    <row r="103" spans="1:11" x14ac:dyDescent="0.25">
      <c r="A103" s="49">
        <f>'A) Base RI'!A105</f>
        <v>5561</v>
      </c>
      <c r="B103" s="292" t="str">
        <f>'A) Base RI'!B105</f>
        <v>Grandson</v>
      </c>
      <c r="C103" s="95">
        <f>'B) D RI'!U105</f>
        <v>114753.11985507245</v>
      </c>
      <c r="D103" s="110">
        <f>'E) Fact soc'!G109/C103</f>
        <v>17.475880656744906</v>
      </c>
      <c r="E103" s="136">
        <f>'H) Péréquation directe'!I114/C103</f>
        <v>2.6865611210490896</v>
      </c>
      <c r="F103" s="415">
        <f>+'I) Dépenses thématiques'!U103</f>
        <v>-8.8607136098236516</v>
      </c>
      <c r="G103" s="136">
        <f t="shared" si="5"/>
        <v>11.301728167970342</v>
      </c>
      <c r="H103" s="110">
        <f t="shared" si="6"/>
        <v>20.162441777793994</v>
      </c>
      <c r="I103" s="136">
        <f t="shared" si="7"/>
        <v>0</v>
      </c>
      <c r="J103" s="55">
        <f t="shared" si="8"/>
        <v>0</v>
      </c>
      <c r="K103" s="36"/>
    </row>
    <row r="104" spans="1:11" x14ac:dyDescent="0.25">
      <c r="A104" s="49">
        <f>'A) Base RI'!A106</f>
        <v>5562</v>
      </c>
      <c r="B104" s="292" t="str">
        <f>'A) Base RI'!B106</f>
        <v>Mauborget</v>
      </c>
      <c r="C104" s="95">
        <f>'B) D RI'!U106</f>
        <v>6037.1574285714287</v>
      </c>
      <c r="D104" s="110">
        <f>'E) Fact soc'!G110/C104</f>
        <v>15.612813286490011</v>
      </c>
      <c r="E104" s="136">
        <f>'H) Péréquation directe'!I115/C104</f>
        <v>16.116615752291768</v>
      </c>
      <c r="F104" s="415">
        <f>+'I) Dépenses thématiques'!U104</f>
        <v>-0.92484541329313397</v>
      </c>
      <c r="G104" s="136">
        <f t="shared" si="5"/>
        <v>30.804583625488647</v>
      </c>
      <c r="H104" s="110">
        <f t="shared" si="6"/>
        <v>31.729429038781781</v>
      </c>
      <c r="I104" s="136">
        <f t="shared" si="7"/>
        <v>0</v>
      </c>
      <c r="J104" s="55">
        <f t="shared" si="8"/>
        <v>0</v>
      </c>
      <c r="K104" s="36"/>
    </row>
    <row r="105" spans="1:11" x14ac:dyDescent="0.25">
      <c r="A105" s="49">
        <f>'A) Base RI'!A107</f>
        <v>5563</v>
      </c>
      <c r="B105" s="292" t="str">
        <f>'A) Base RI'!B107</f>
        <v>Mutrux</v>
      </c>
      <c r="C105" s="95">
        <f>'B) D RI'!U107</f>
        <v>4073.5824999999995</v>
      </c>
      <c r="D105" s="110">
        <f>'E) Fact soc'!G111/C105</f>
        <v>16.410485816465727</v>
      </c>
      <c r="E105" s="136">
        <f>'H) Péréquation directe'!I116/C105</f>
        <v>-4.9346052943827727</v>
      </c>
      <c r="F105" s="415">
        <f>+'I) Dépenses thématiques'!U105</f>
        <v>-11.718571582875764</v>
      </c>
      <c r="G105" s="136">
        <f t="shared" si="5"/>
        <v>-0.24269106079281144</v>
      </c>
      <c r="H105" s="110">
        <f t="shared" si="6"/>
        <v>11.475880522082953</v>
      </c>
      <c r="I105" s="136">
        <f t="shared" si="7"/>
        <v>0</v>
      </c>
      <c r="J105" s="55">
        <f t="shared" si="8"/>
        <v>0</v>
      </c>
      <c r="K105" s="36"/>
    </row>
    <row r="106" spans="1:11" x14ac:dyDescent="0.25">
      <c r="A106" s="49">
        <f>'A) Base RI'!A108</f>
        <v>5564</v>
      </c>
      <c r="B106" s="292" t="str">
        <f>'A) Base RI'!B108</f>
        <v>Novalles</v>
      </c>
      <c r="C106" s="95">
        <f>'B) D RI'!U108</f>
        <v>2091.5044407894734</v>
      </c>
      <c r="D106" s="110">
        <f>'E) Fact soc'!G112/C106</f>
        <v>19.927564831892351</v>
      </c>
      <c r="E106" s="136">
        <f>'H) Péréquation directe'!I117/C106</f>
        <v>-16.368810929289609</v>
      </c>
      <c r="F106" s="415">
        <f>+'I) Dépenses thématiques'!U106</f>
        <v>-1.4772117928206909</v>
      </c>
      <c r="G106" s="136">
        <f t="shared" si="5"/>
        <v>2.0815421097820512</v>
      </c>
      <c r="H106" s="110">
        <f t="shared" si="6"/>
        <v>3.5587539026027422</v>
      </c>
      <c r="I106" s="136">
        <f t="shared" si="7"/>
        <v>0</v>
      </c>
      <c r="J106" s="55">
        <f t="shared" si="8"/>
        <v>0</v>
      </c>
      <c r="K106" s="36"/>
    </row>
    <row r="107" spans="1:11" x14ac:dyDescent="0.25">
      <c r="A107" s="49">
        <f>'A) Base RI'!A109</f>
        <v>5565</v>
      </c>
      <c r="B107" s="292" t="str">
        <f>'A) Base RI'!B109</f>
        <v>Onnens</v>
      </c>
      <c r="C107" s="95">
        <f>'B) D RI'!U109</f>
        <v>19690.582047244097</v>
      </c>
      <c r="D107" s="110">
        <f>'E) Fact soc'!G113/C107</f>
        <v>15.175120897658005</v>
      </c>
      <c r="E107" s="136">
        <f>'H) Péréquation directe'!I118/C107</f>
        <v>12.175979759146598</v>
      </c>
      <c r="F107" s="415">
        <f>+'I) Dépenses thématiques'!U107</f>
        <v>-2.2610305581478021</v>
      </c>
      <c r="G107" s="136">
        <f t="shared" si="5"/>
        <v>25.090070098656803</v>
      </c>
      <c r="H107" s="110">
        <f t="shared" si="6"/>
        <v>27.351100656804604</v>
      </c>
      <c r="I107" s="136">
        <f t="shared" si="7"/>
        <v>0</v>
      </c>
      <c r="J107" s="55">
        <f t="shared" si="8"/>
        <v>0</v>
      </c>
      <c r="K107" s="36"/>
    </row>
    <row r="108" spans="1:11" x14ac:dyDescent="0.25">
      <c r="A108" s="49">
        <f>'A) Base RI'!A110</f>
        <v>5566</v>
      </c>
      <c r="B108" s="292" t="str">
        <f>'A) Base RI'!B110</f>
        <v>Provence</v>
      </c>
      <c r="C108" s="95">
        <f>'B) D RI'!U110</f>
        <v>7598.735102880657</v>
      </c>
      <c r="D108" s="110">
        <f>'E) Fact soc'!G114/C108</f>
        <v>23.714641022590616</v>
      </c>
      <c r="E108" s="136">
        <f>'H) Péréquation directe'!I119/C108</f>
        <v>-26.320570556587867</v>
      </c>
      <c r="F108" s="415">
        <f>+'I) Dépenses thématiques'!U108</f>
        <v>-42.818249833740204</v>
      </c>
      <c r="G108" s="136">
        <f t="shared" si="5"/>
        <v>-45.424179367737452</v>
      </c>
      <c r="H108" s="110">
        <f t="shared" si="6"/>
        <v>-2.6059295339972479</v>
      </c>
      <c r="I108" s="136">
        <f t="shared" si="7"/>
        <v>0</v>
      </c>
      <c r="J108" s="55">
        <f t="shared" si="8"/>
        <v>0</v>
      </c>
      <c r="K108" s="36"/>
    </row>
    <row r="109" spans="1:11" x14ac:dyDescent="0.25">
      <c r="A109" s="49">
        <f>'A) Base RI'!A111</f>
        <v>5568</v>
      </c>
      <c r="B109" s="292" t="str">
        <f>'A) Base RI'!B111</f>
        <v>Sainte-Croix</v>
      </c>
      <c r="C109" s="95">
        <f>'B) D RI'!U111</f>
        <v>106515.47628571428</v>
      </c>
      <c r="D109" s="110">
        <f>'E) Fact soc'!G115/C109</f>
        <v>23.419307244990129</v>
      </c>
      <c r="E109" s="136">
        <f>'H) Péréquation directe'!I120/C109</f>
        <v>-21.500187272558218</v>
      </c>
      <c r="F109" s="415">
        <f>+'I) Dépenses thématiques'!U109</f>
        <v>-13.90173838306373</v>
      </c>
      <c r="G109" s="136">
        <f t="shared" si="5"/>
        <v>-11.982618410631819</v>
      </c>
      <c r="H109" s="110">
        <f t="shared" si="6"/>
        <v>1.9191199724319112</v>
      </c>
      <c r="I109" s="136">
        <f t="shared" si="7"/>
        <v>0</v>
      </c>
      <c r="J109" s="55">
        <f t="shared" si="8"/>
        <v>0</v>
      </c>
      <c r="K109" s="36"/>
    </row>
    <row r="110" spans="1:11" x14ac:dyDescent="0.25">
      <c r="A110" s="49">
        <f>'A) Base RI'!A112</f>
        <v>5571</v>
      </c>
      <c r="B110" s="292" t="str">
        <f>'A) Base RI'!B112</f>
        <v>Tévenon</v>
      </c>
      <c r="C110" s="95">
        <f>'B) D RI'!U112</f>
        <v>21380.087226107229</v>
      </c>
      <c r="D110" s="110">
        <f>'E) Fact soc'!G116/C110</f>
        <v>17.031681493118018</v>
      </c>
      <c r="E110" s="136">
        <f>'H) Péréquation directe'!I121/C110</f>
        <v>-6.822190704352713</v>
      </c>
      <c r="F110" s="415">
        <f>+'I) Dépenses thématiques'!U110</f>
        <v>-7.428309788644996</v>
      </c>
      <c r="G110" s="136">
        <f t="shared" si="5"/>
        <v>2.7811810001203083</v>
      </c>
      <c r="H110" s="110">
        <f t="shared" si="6"/>
        <v>10.209490788765304</v>
      </c>
      <c r="I110" s="136">
        <f t="shared" si="7"/>
        <v>0</v>
      </c>
      <c r="J110" s="55">
        <f t="shared" si="8"/>
        <v>0</v>
      </c>
      <c r="K110" s="36"/>
    </row>
    <row r="111" spans="1:11" x14ac:dyDescent="0.25">
      <c r="A111" s="49">
        <f>'A) Base RI'!A113</f>
        <v>5581</v>
      </c>
      <c r="B111" s="292" t="str">
        <f>'A) Base RI'!B113</f>
        <v>Belmont-sur-Lausanne</v>
      </c>
      <c r="C111" s="95">
        <f>'B) D RI'!U113</f>
        <v>212445.65069444443</v>
      </c>
      <c r="D111" s="110">
        <f>'E) Fact soc'!G117/C111</f>
        <v>19.483916181534621</v>
      </c>
      <c r="E111" s="136">
        <f>'H) Péréquation directe'!I122/C111</f>
        <v>13.546993215563731</v>
      </c>
      <c r="F111" s="415">
        <f>+'I) Dépenses thématiques'!U111</f>
        <v>-3.4178734347340614</v>
      </c>
      <c r="G111" s="136">
        <f t="shared" si="5"/>
        <v>29.613035962364293</v>
      </c>
      <c r="H111" s="110">
        <f t="shared" si="6"/>
        <v>33.030909397098355</v>
      </c>
      <c r="I111" s="136">
        <f t="shared" si="7"/>
        <v>0</v>
      </c>
      <c r="J111" s="55">
        <f t="shared" si="8"/>
        <v>0</v>
      </c>
      <c r="K111" s="36"/>
    </row>
    <row r="112" spans="1:11" x14ac:dyDescent="0.25">
      <c r="A112" s="49">
        <f>'A) Base RI'!A114</f>
        <v>5582</v>
      </c>
      <c r="B112" s="292" t="str">
        <f>'A) Base RI'!B114</f>
        <v>Cheseaux-sur-Lausanne</v>
      </c>
      <c r="C112" s="95">
        <f>'B) D RI'!U114</f>
        <v>163780.29383561644</v>
      </c>
      <c r="D112" s="110">
        <f>'E) Fact soc'!G118/C112</f>
        <v>16.200896300702301</v>
      </c>
      <c r="E112" s="136">
        <f>'H) Péréquation directe'!I123/C112</f>
        <v>3.9476381207957947</v>
      </c>
      <c r="F112" s="415">
        <f>+'I) Dépenses thématiques'!U112</f>
        <v>-2.5095310758132294</v>
      </c>
      <c r="G112" s="136">
        <f t="shared" si="5"/>
        <v>17.639003345684866</v>
      </c>
      <c r="H112" s="110">
        <f t="shared" si="6"/>
        <v>20.148534421498095</v>
      </c>
      <c r="I112" s="136">
        <f t="shared" si="7"/>
        <v>0</v>
      </c>
      <c r="J112" s="55">
        <f t="shared" si="8"/>
        <v>0</v>
      </c>
      <c r="K112" s="36"/>
    </row>
    <row r="113" spans="1:11" x14ac:dyDescent="0.25">
      <c r="A113" s="49">
        <f>'A) Base RI'!A115</f>
        <v>5583</v>
      </c>
      <c r="B113" s="292" t="str">
        <f>'A) Base RI'!B115</f>
        <v>Crissier</v>
      </c>
      <c r="C113" s="95">
        <f>'B) D RI'!U115</f>
        <v>368095.30976377946</v>
      </c>
      <c r="D113" s="110">
        <f>'E) Fact soc'!G119/C113</f>
        <v>17.433215018413634</v>
      </c>
      <c r="E113" s="136">
        <f>'H) Péréquation directe'!I124/C113</f>
        <v>6.0230287550578243</v>
      </c>
      <c r="F113" s="415">
        <f>+'I) Dépenses thématiques'!U113</f>
        <v>-7.4144252019096974</v>
      </c>
      <c r="G113" s="136">
        <f t="shared" si="5"/>
        <v>16.041818571561759</v>
      </c>
      <c r="H113" s="110">
        <f t="shared" si="6"/>
        <v>23.456243773471456</v>
      </c>
      <c r="I113" s="136">
        <f t="shared" si="7"/>
        <v>0</v>
      </c>
      <c r="J113" s="55">
        <f t="shared" si="8"/>
        <v>0</v>
      </c>
      <c r="K113" s="36"/>
    </row>
    <row r="114" spans="1:11" x14ac:dyDescent="0.25">
      <c r="A114" s="49">
        <f>'A) Base RI'!A116</f>
        <v>5584</v>
      </c>
      <c r="B114" s="292" t="str">
        <f>'A) Base RI'!B116</f>
        <v>Epalinges</v>
      </c>
      <c r="C114" s="95">
        <f>'B) D RI'!U116</f>
        <v>482115.91751937981</v>
      </c>
      <c r="D114" s="110">
        <f>'E) Fact soc'!G120/C114</f>
        <v>17.701074552165796</v>
      </c>
      <c r="E114" s="136">
        <f>'H) Péréquation directe'!I125/C114</f>
        <v>9.1507234671380289</v>
      </c>
      <c r="F114" s="415">
        <f>+'I) Dépenses thématiques'!U114</f>
        <v>-7.0056004627724278</v>
      </c>
      <c r="G114" s="136">
        <f t="shared" si="5"/>
        <v>19.846197556531397</v>
      </c>
      <c r="H114" s="110">
        <f t="shared" si="6"/>
        <v>26.851798019303825</v>
      </c>
      <c r="I114" s="136">
        <f t="shared" si="7"/>
        <v>0</v>
      </c>
      <c r="J114" s="55">
        <f t="shared" si="8"/>
        <v>0</v>
      </c>
      <c r="K114" s="36"/>
    </row>
    <row r="115" spans="1:11" x14ac:dyDescent="0.25">
      <c r="A115" s="49">
        <f>'A) Base RI'!A117</f>
        <v>5585</v>
      </c>
      <c r="B115" s="292" t="str">
        <f>'A) Base RI'!B117</f>
        <v>Jouxtens-Mézery</v>
      </c>
      <c r="C115" s="95">
        <f>'B) D RI'!U117</f>
        <v>202487.97135593221</v>
      </c>
      <c r="D115" s="110">
        <f>'E) Fact soc'!G121/C115</f>
        <v>32.451335077088324</v>
      </c>
      <c r="E115" s="136">
        <f>'H) Péréquation directe'!I126/C115</f>
        <v>17.846996314638577</v>
      </c>
      <c r="F115" s="415">
        <f>+'I) Dépenses thématiques'!U115</f>
        <v>0</v>
      </c>
      <c r="G115" s="136">
        <f t="shared" si="5"/>
        <v>50.298331391726904</v>
      </c>
      <c r="H115" s="110">
        <f t="shared" si="6"/>
        <v>50.298331391726904</v>
      </c>
      <c r="I115" s="136">
        <f t="shared" si="7"/>
        <v>0</v>
      </c>
      <c r="J115" s="55">
        <f t="shared" si="8"/>
        <v>0</v>
      </c>
      <c r="K115" s="36"/>
    </row>
    <row r="116" spans="1:11" x14ac:dyDescent="0.25">
      <c r="A116" s="49">
        <f>'A) Base RI'!A118</f>
        <v>5586</v>
      </c>
      <c r="B116" s="292" t="str">
        <f>'A) Base RI'!B118</f>
        <v>Lausanne</v>
      </c>
      <c r="C116" s="95">
        <f>'B) D RI'!U118</f>
        <v>6272364.2800849257</v>
      </c>
      <c r="D116" s="110">
        <f>'E) Fact soc'!G122/C116</f>
        <v>17.117005917478533</v>
      </c>
      <c r="E116" s="136">
        <f>'H) Péréquation directe'!I127/C116</f>
        <v>-5.1494547954046137</v>
      </c>
      <c r="F116" s="415">
        <f>+'I) Dépenses thématiques'!U116</f>
        <v>-7.1541568403426457</v>
      </c>
      <c r="G116" s="136">
        <f t="shared" si="5"/>
        <v>4.8133942817312736</v>
      </c>
      <c r="H116" s="110">
        <f t="shared" si="6"/>
        <v>11.967551122073919</v>
      </c>
      <c r="I116" s="136">
        <f t="shared" si="7"/>
        <v>0</v>
      </c>
      <c r="J116" s="55">
        <f t="shared" si="8"/>
        <v>0</v>
      </c>
      <c r="K116" s="36"/>
    </row>
    <row r="117" spans="1:11" x14ac:dyDescent="0.25">
      <c r="A117" s="49">
        <f>'A) Base RI'!A119</f>
        <v>5587</v>
      </c>
      <c r="B117" s="292" t="str">
        <f>'A) Base RI'!B119</f>
        <v>Le Mont-sur-Lausanne</v>
      </c>
      <c r="C117" s="95">
        <f>'B) D RI'!U119</f>
        <v>442860.74013605446</v>
      </c>
      <c r="D117" s="110">
        <f>'E) Fact soc'!G123/C117</f>
        <v>17.537281355579861</v>
      </c>
      <c r="E117" s="136">
        <f>'H) Péréquation directe'!I128/C117</f>
        <v>9.4416518012787538</v>
      </c>
      <c r="F117" s="415">
        <f>+'I) Dépenses thématiques'!U117</f>
        <v>-4.873479659814989</v>
      </c>
      <c r="G117" s="136">
        <f t="shared" si="5"/>
        <v>22.105453497043626</v>
      </c>
      <c r="H117" s="110">
        <f t="shared" si="6"/>
        <v>26.978933156858616</v>
      </c>
      <c r="I117" s="136">
        <f t="shared" si="7"/>
        <v>0</v>
      </c>
      <c r="J117" s="55">
        <f t="shared" si="8"/>
        <v>0</v>
      </c>
      <c r="K117" s="36"/>
    </row>
    <row r="118" spans="1:11" x14ac:dyDescent="0.25">
      <c r="A118" s="49">
        <f>'A) Base RI'!A120</f>
        <v>5588</v>
      </c>
      <c r="B118" s="292" t="str">
        <f>'A) Base RI'!B120</f>
        <v>Paudex</v>
      </c>
      <c r="C118" s="95">
        <f>'B) D RI'!U120</f>
        <v>135448.58760472611</v>
      </c>
      <c r="D118" s="110">
        <f>'E) Fact soc'!G124/C118</f>
        <v>25.030445019572699</v>
      </c>
      <c r="E118" s="136">
        <f>'H) Péréquation directe'!I129/C118</f>
        <v>16.869604899564877</v>
      </c>
      <c r="F118" s="415">
        <f>+'I) Dépenses thématiques'!U118</f>
        <v>0</v>
      </c>
      <c r="G118" s="136">
        <f t="shared" si="5"/>
        <v>41.900049919137572</v>
      </c>
      <c r="H118" s="110">
        <f t="shared" si="6"/>
        <v>41.900049919137572</v>
      </c>
      <c r="I118" s="136">
        <f t="shared" si="7"/>
        <v>0</v>
      </c>
      <c r="J118" s="55">
        <f t="shared" si="8"/>
        <v>0</v>
      </c>
      <c r="K118" s="36"/>
    </row>
    <row r="119" spans="1:11" x14ac:dyDescent="0.25">
      <c r="A119" s="49">
        <f>'A) Base RI'!A121</f>
        <v>5589</v>
      </c>
      <c r="B119" s="292" t="str">
        <f>'A) Base RI'!B121</f>
        <v>Prilly</v>
      </c>
      <c r="C119" s="95">
        <f>'B) D RI'!U121</f>
        <v>455017.22467904515</v>
      </c>
      <c r="D119" s="110">
        <f>'E) Fact soc'!G125/C119</f>
        <v>16.415039414269124</v>
      </c>
      <c r="E119" s="136">
        <f>'H) Péréquation directe'!I130/C119</f>
        <v>-2.9969308228120903</v>
      </c>
      <c r="F119" s="415">
        <f>+'I) Dépenses thématiques'!U119</f>
        <v>-5.7147708062258795</v>
      </c>
      <c r="G119" s="136">
        <f t="shared" si="5"/>
        <v>7.7033377852311551</v>
      </c>
      <c r="H119" s="110">
        <f t="shared" si="6"/>
        <v>13.418108591457035</v>
      </c>
      <c r="I119" s="136">
        <f t="shared" si="7"/>
        <v>0</v>
      </c>
      <c r="J119" s="55">
        <f t="shared" si="8"/>
        <v>0</v>
      </c>
      <c r="K119" s="36"/>
    </row>
    <row r="120" spans="1:11" x14ac:dyDescent="0.25">
      <c r="A120" s="49">
        <f>'A) Base RI'!A122</f>
        <v>5590</v>
      </c>
      <c r="B120" s="292" t="str">
        <f>'A) Base RI'!B122</f>
        <v>Pully</v>
      </c>
      <c r="C120" s="95">
        <f>'B) D RI'!U122</f>
        <v>1478979.5848477751</v>
      </c>
      <c r="D120" s="110">
        <f>'E) Fact soc'!G126/C120</f>
        <v>23.520323992856348</v>
      </c>
      <c r="E120" s="136">
        <f>'H) Péréquation directe'!I131/C120</f>
        <v>10.010731394808856</v>
      </c>
      <c r="F120" s="415">
        <f>+'I) Dépenses thématiques'!U120</f>
        <v>-1.5836569110955117</v>
      </c>
      <c r="G120" s="136">
        <f t="shared" si="5"/>
        <v>31.947398476569692</v>
      </c>
      <c r="H120" s="110">
        <f t="shared" si="6"/>
        <v>33.531055387665205</v>
      </c>
      <c r="I120" s="136">
        <f t="shared" si="7"/>
        <v>0</v>
      </c>
      <c r="J120" s="55">
        <f t="shared" si="8"/>
        <v>0</v>
      </c>
      <c r="K120" s="36"/>
    </row>
    <row r="121" spans="1:11" x14ac:dyDescent="0.25">
      <c r="A121" s="49">
        <f>'A) Base RI'!A123</f>
        <v>5591</v>
      </c>
      <c r="B121" s="292" t="str">
        <f>'A) Base RI'!B123</f>
        <v>Renens</v>
      </c>
      <c r="C121" s="95">
        <f>'B) D RI'!U123</f>
        <v>596748.60283858993</v>
      </c>
      <c r="D121" s="110">
        <f>'E) Fact soc'!G127/C121</f>
        <v>18.376288104571817</v>
      </c>
      <c r="E121" s="136">
        <f>'H) Péréquation directe'!I132/C121</f>
        <v>-23.589572058873305</v>
      </c>
      <c r="F121" s="415">
        <f>+'I) Dépenses thématiques'!U121</f>
        <v>-9.6195736456900534</v>
      </c>
      <c r="G121" s="136">
        <f t="shared" si="5"/>
        <v>-14.832857599991542</v>
      </c>
      <c r="H121" s="110">
        <f t="shared" si="6"/>
        <v>-5.2132839543014882</v>
      </c>
      <c r="I121" s="136">
        <f t="shared" si="7"/>
        <v>0</v>
      </c>
      <c r="J121" s="55">
        <f t="shared" si="8"/>
        <v>0</v>
      </c>
      <c r="K121" s="36"/>
    </row>
    <row r="122" spans="1:11" x14ac:dyDescent="0.25">
      <c r="A122" s="49">
        <f>'A) Base RI'!A124</f>
        <v>5592</v>
      </c>
      <c r="B122" s="292" t="str">
        <f>'A) Base RI'!B124</f>
        <v>Romanel-sur-Lausanne</v>
      </c>
      <c r="C122" s="95">
        <f>'B) D RI'!U124</f>
        <v>121292.24695035459</v>
      </c>
      <c r="D122" s="110">
        <f>'E) Fact soc'!G128/C122</f>
        <v>15.761448973365125</v>
      </c>
      <c r="E122" s="136">
        <f>'H) Péréquation directe'!I133/C122</f>
        <v>5.6342194238487631</v>
      </c>
      <c r="F122" s="415">
        <f>+'I) Dépenses thématiques'!U122</f>
        <v>-1.6725019397233569</v>
      </c>
      <c r="G122" s="136">
        <f t="shared" si="5"/>
        <v>19.723166457490532</v>
      </c>
      <c r="H122" s="110">
        <f t="shared" si="6"/>
        <v>21.395668397213889</v>
      </c>
      <c r="I122" s="136">
        <f t="shared" si="7"/>
        <v>0</v>
      </c>
      <c r="J122" s="55">
        <f t="shared" si="8"/>
        <v>0</v>
      </c>
      <c r="K122" s="36"/>
    </row>
    <row r="123" spans="1:11" x14ac:dyDescent="0.25">
      <c r="A123" s="49">
        <f>'A) Base RI'!A125</f>
        <v>5601</v>
      </c>
      <c r="B123" s="292" t="str">
        <f>'A) Base RI'!B125</f>
        <v>Chexbres</v>
      </c>
      <c r="C123" s="95">
        <f>'B) D RI'!U125</f>
        <v>98072.029481481484</v>
      </c>
      <c r="D123" s="110">
        <f>'E) Fact soc'!G129/C123</f>
        <v>22.144275516436306</v>
      </c>
      <c r="E123" s="136">
        <f>'H) Péréquation directe'!I134/C123</f>
        <v>11.540584042347147</v>
      </c>
      <c r="F123" s="415">
        <f>+'I) Dépenses thématiques'!U123</f>
        <v>-3.6944919466515942</v>
      </c>
      <c r="G123" s="136">
        <f t="shared" si="5"/>
        <v>29.990367612131855</v>
      </c>
      <c r="H123" s="110">
        <f t="shared" si="6"/>
        <v>33.684859558783451</v>
      </c>
      <c r="I123" s="136">
        <f t="shared" si="7"/>
        <v>0</v>
      </c>
      <c r="J123" s="55">
        <f t="shared" si="8"/>
        <v>0</v>
      </c>
      <c r="K123" s="36"/>
    </row>
    <row r="124" spans="1:11" x14ac:dyDescent="0.25">
      <c r="A124" s="49">
        <f>'A) Base RI'!A126</f>
        <v>5604</v>
      </c>
      <c r="B124" s="292" t="str">
        <f>'A) Base RI'!B126</f>
        <v>Forel (Lavaux)</v>
      </c>
      <c r="C124" s="95">
        <f>'B) D RI'!U126</f>
        <v>71309.914782608685</v>
      </c>
      <c r="D124" s="110">
        <f>'E) Fact soc'!G130/C124</f>
        <v>16.161266731799056</v>
      </c>
      <c r="E124" s="136">
        <f>'H) Péréquation directe'!I135/C124</f>
        <v>3.9862743415788535</v>
      </c>
      <c r="F124" s="415">
        <f>+'I) Dépenses thématiques'!U124</f>
        <v>-4.0982977219266381</v>
      </c>
      <c r="G124" s="136">
        <f t="shared" si="5"/>
        <v>16.04924335145127</v>
      </c>
      <c r="H124" s="110">
        <f t="shared" si="6"/>
        <v>20.147541073377909</v>
      </c>
      <c r="I124" s="136">
        <f t="shared" si="7"/>
        <v>0</v>
      </c>
      <c r="J124" s="55">
        <f t="shared" si="8"/>
        <v>0</v>
      </c>
      <c r="K124" s="36"/>
    </row>
    <row r="125" spans="1:11" x14ac:dyDescent="0.25">
      <c r="A125" s="49">
        <f>'A) Base RI'!A127</f>
        <v>5606</v>
      </c>
      <c r="B125" s="292" t="str">
        <f>'A) Base RI'!B127</f>
        <v>Lutry</v>
      </c>
      <c r="C125" s="95">
        <f>'B) D RI'!U127</f>
        <v>875230.37264550268</v>
      </c>
      <c r="D125" s="110">
        <f>'E) Fact soc'!G131/C125</f>
        <v>23.717819629150611</v>
      </c>
      <c r="E125" s="136">
        <f>'H) Péréquation directe'!I136/C125</f>
        <v>12.9739107039508</v>
      </c>
      <c r="F125" s="415">
        <f>+'I) Dépenses thématiques'!U125</f>
        <v>-2.450030107668022</v>
      </c>
      <c r="G125" s="136">
        <f t="shared" si="5"/>
        <v>34.241700225433391</v>
      </c>
      <c r="H125" s="110">
        <f t="shared" si="6"/>
        <v>36.691730333101411</v>
      </c>
      <c r="I125" s="136">
        <f t="shared" si="7"/>
        <v>0</v>
      </c>
      <c r="J125" s="55">
        <f t="shared" si="8"/>
        <v>0</v>
      </c>
      <c r="K125" s="36"/>
    </row>
    <row r="126" spans="1:11" x14ac:dyDescent="0.25">
      <c r="A126" s="49">
        <f>'A) Base RI'!A128</f>
        <v>5607</v>
      </c>
      <c r="B126" s="292" t="str">
        <f>'A) Base RI'!B128</f>
        <v>Puidoux</v>
      </c>
      <c r="C126" s="95">
        <f>'B) D RI'!U128</f>
        <v>102944.97501110758</v>
      </c>
      <c r="D126" s="110">
        <f>'E) Fact soc'!G132/C126</f>
        <v>19.781442142701973</v>
      </c>
      <c r="E126" s="136">
        <f>'H) Péréquation directe'!I137/C126</f>
        <v>4.9051322144898668</v>
      </c>
      <c r="F126" s="415">
        <f>+'I) Dépenses thématiques'!U126</f>
        <v>-8.3018248325490518</v>
      </c>
      <c r="G126" s="136">
        <f t="shared" si="5"/>
        <v>16.384749524642789</v>
      </c>
      <c r="H126" s="110">
        <f t="shared" si="6"/>
        <v>24.686574357191841</v>
      </c>
      <c r="I126" s="136">
        <f t="shared" si="7"/>
        <v>0</v>
      </c>
      <c r="J126" s="55">
        <f t="shared" si="8"/>
        <v>0</v>
      </c>
      <c r="K126" s="36"/>
    </row>
    <row r="127" spans="1:11" x14ac:dyDescent="0.25">
      <c r="A127" s="49">
        <f>'A) Base RI'!A129</f>
        <v>5609</v>
      </c>
      <c r="B127" s="292" t="str">
        <f>'A) Base RI'!B129</f>
        <v>Rivaz</v>
      </c>
      <c r="C127" s="95">
        <f>'B) D RI'!U129</f>
        <v>16048.850483870969</v>
      </c>
      <c r="D127" s="110">
        <f>'E) Fact soc'!G133/C127</f>
        <v>15.549246619363084</v>
      </c>
      <c r="E127" s="136">
        <f>'H) Péréquation directe'!I138/C127</f>
        <v>16.383340482866235</v>
      </c>
      <c r="F127" s="415">
        <f>+'I) Dépenses thématiques'!U127</f>
        <v>-1.510217772807424</v>
      </c>
      <c r="G127" s="136">
        <f t="shared" si="5"/>
        <v>30.422369329421898</v>
      </c>
      <c r="H127" s="110">
        <f t="shared" si="6"/>
        <v>31.93258710222932</v>
      </c>
      <c r="I127" s="136">
        <f t="shared" si="7"/>
        <v>0</v>
      </c>
      <c r="J127" s="55">
        <f t="shared" si="8"/>
        <v>0</v>
      </c>
      <c r="K127" s="36"/>
    </row>
    <row r="128" spans="1:11" x14ac:dyDescent="0.25">
      <c r="A128" s="49">
        <f>'A) Base RI'!A130</f>
        <v>5610</v>
      </c>
      <c r="B128" s="292" t="str">
        <f>'A) Base RI'!B130</f>
        <v>St-Saphorin (Lavaux)</v>
      </c>
      <c r="C128" s="95">
        <f>'B) D RI'!U130</f>
        <v>19213.723703703701</v>
      </c>
      <c r="D128" s="110">
        <f>'E) Fact soc'!G134/C128</f>
        <v>17.230069447878815</v>
      </c>
      <c r="E128" s="136">
        <f>'H) Péréquation directe'!I139/C128</f>
        <v>16.660121914736081</v>
      </c>
      <c r="F128" s="415">
        <f>+'I) Dépenses thématiques'!U128</f>
        <v>-0.31193369230257451</v>
      </c>
      <c r="G128" s="136">
        <f t="shared" si="5"/>
        <v>33.578257670312325</v>
      </c>
      <c r="H128" s="110">
        <f t="shared" si="6"/>
        <v>33.8901913626149</v>
      </c>
      <c r="I128" s="136">
        <f t="shared" si="7"/>
        <v>0</v>
      </c>
      <c r="J128" s="55">
        <f t="shared" si="8"/>
        <v>0</v>
      </c>
      <c r="K128" s="36"/>
    </row>
    <row r="129" spans="1:11" x14ac:dyDescent="0.25">
      <c r="A129" s="49">
        <f>'A) Base RI'!A131</f>
        <v>5611</v>
      </c>
      <c r="B129" s="292" t="str">
        <f>'A) Base RI'!B131</f>
        <v>Savigny</v>
      </c>
      <c r="C129" s="95">
        <f>'B) D RI'!U131</f>
        <v>136715.33886473431</v>
      </c>
      <c r="D129" s="110">
        <f>'E) Fact soc'!G135/C129</f>
        <v>17.364872132996965</v>
      </c>
      <c r="E129" s="136">
        <f>'H) Péréquation directe'!I140/C129</f>
        <v>8.4848767133086973</v>
      </c>
      <c r="F129" s="415">
        <f>+'I) Dépenses thématiques'!U129</f>
        <v>-3.7465142614199931</v>
      </c>
      <c r="G129" s="136">
        <f t="shared" si="5"/>
        <v>22.103234584885669</v>
      </c>
      <c r="H129" s="110">
        <f t="shared" si="6"/>
        <v>25.849748846305662</v>
      </c>
      <c r="I129" s="136">
        <f t="shared" si="7"/>
        <v>0</v>
      </c>
      <c r="J129" s="55">
        <f t="shared" si="8"/>
        <v>0</v>
      </c>
      <c r="K129" s="36"/>
    </row>
    <row r="130" spans="1:11" x14ac:dyDescent="0.25">
      <c r="A130" s="49">
        <f>'A) Base RI'!A132</f>
        <v>5613</v>
      </c>
      <c r="B130" s="292" t="str">
        <f>'A) Base RI'!B132</f>
        <v>Bourg-en-Lavaux</v>
      </c>
      <c r="C130" s="95">
        <f>'B) D RI'!U132</f>
        <v>343828.17631999997</v>
      </c>
      <c r="D130" s="110">
        <f>'E) Fact soc'!G136/C130</f>
        <v>19.648161874409841</v>
      </c>
      <c r="E130" s="136">
        <f>'H) Péréquation directe'!I141/C130</f>
        <v>13.225515091673122</v>
      </c>
      <c r="F130" s="415">
        <f>+'I) Dépenses thématiques'!U130</f>
        <v>0</v>
      </c>
      <c r="G130" s="136">
        <f t="shared" si="5"/>
        <v>32.873676966082961</v>
      </c>
      <c r="H130" s="110">
        <f t="shared" si="6"/>
        <v>32.873676966082961</v>
      </c>
      <c r="I130" s="136">
        <f t="shared" si="7"/>
        <v>0</v>
      </c>
      <c r="J130" s="55">
        <f t="shared" si="8"/>
        <v>0</v>
      </c>
      <c r="K130" s="36"/>
    </row>
    <row r="131" spans="1:11" x14ac:dyDescent="0.25">
      <c r="A131" s="49">
        <f>'A) Base RI'!A133</f>
        <v>5621</v>
      </c>
      <c r="B131" s="292" t="str">
        <f>'A) Base RI'!B133</f>
        <v>Aclens</v>
      </c>
      <c r="C131" s="95">
        <f>'B) D RI'!U133</f>
        <v>32411.912521994131</v>
      </c>
      <c r="D131" s="110">
        <f>'E) Fact soc'!G137/C131</f>
        <v>21.049354038072021</v>
      </c>
      <c r="E131" s="136">
        <f>'H) Péréquation directe'!I142/C131</f>
        <v>17.144143807165324</v>
      </c>
      <c r="F131" s="415">
        <f>+'I) Dépenses thématiques'!U131</f>
        <v>-1.1976314215242421</v>
      </c>
      <c r="G131" s="136">
        <f t="shared" si="5"/>
        <v>36.995866423713103</v>
      </c>
      <c r="H131" s="110">
        <f t="shared" si="6"/>
        <v>38.193497845237346</v>
      </c>
      <c r="I131" s="136">
        <f t="shared" si="7"/>
        <v>0</v>
      </c>
      <c r="J131" s="55">
        <f t="shared" si="8"/>
        <v>0</v>
      </c>
      <c r="K131" s="36"/>
    </row>
    <row r="132" spans="1:11" x14ac:dyDescent="0.25">
      <c r="A132" s="49">
        <f>'A) Base RI'!A134</f>
        <v>5622</v>
      </c>
      <c r="B132" s="292" t="str">
        <f>'A) Base RI'!B134</f>
        <v>Bremblens</v>
      </c>
      <c r="C132" s="95">
        <f>'B) D RI'!U134</f>
        <v>27803.201911764703</v>
      </c>
      <c r="D132" s="110">
        <f>'E) Fact soc'!G138/C132</f>
        <v>15.49191774963284</v>
      </c>
      <c r="E132" s="136">
        <f>'H) Péréquation directe'!I143/C132</f>
        <v>16.377520652567494</v>
      </c>
      <c r="F132" s="415">
        <f>+'I) Dépenses thématiques'!U132</f>
        <v>0</v>
      </c>
      <c r="G132" s="136">
        <f t="shared" si="5"/>
        <v>31.869438402200334</v>
      </c>
      <c r="H132" s="110">
        <f t="shared" si="6"/>
        <v>31.869438402200334</v>
      </c>
      <c r="I132" s="136">
        <f t="shared" si="7"/>
        <v>0</v>
      </c>
      <c r="J132" s="55">
        <f t="shared" si="8"/>
        <v>0</v>
      </c>
      <c r="K132" s="36"/>
    </row>
    <row r="133" spans="1:11" x14ac:dyDescent="0.25">
      <c r="A133" s="49">
        <f>'A) Base RI'!A135</f>
        <v>5623</v>
      </c>
      <c r="B133" s="292" t="str">
        <f>'A) Base RI'!B135</f>
        <v>Buchillon</v>
      </c>
      <c r="C133" s="95">
        <f>'B) D RI'!U135</f>
        <v>94394.012307692305</v>
      </c>
      <c r="D133" s="110">
        <f>'E) Fact soc'!G139/C133</f>
        <v>28.640841861893865</v>
      </c>
      <c r="E133" s="136">
        <f>'H) Péréquation directe'!I144/C133</f>
        <v>18.262928535716583</v>
      </c>
      <c r="F133" s="415">
        <f>+'I) Dépenses thématiques'!U133</f>
        <v>0</v>
      </c>
      <c r="G133" s="136">
        <f t="shared" si="5"/>
        <v>46.903770397610444</v>
      </c>
      <c r="H133" s="110">
        <f t="shared" si="6"/>
        <v>46.903770397610444</v>
      </c>
      <c r="I133" s="136">
        <f t="shared" si="7"/>
        <v>0</v>
      </c>
      <c r="J133" s="55">
        <f t="shared" si="8"/>
        <v>0</v>
      </c>
      <c r="K133" s="36"/>
    </row>
    <row r="134" spans="1:11" x14ac:dyDescent="0.25">
      <c r="A134" s="49">
        <f>'A) Base RI'!A136</f>
        <v>5624</v>
      </c>
      <c r="B134" s="292" t="str">
        <f>'A) Base RI'!B136</f>
        <v>Bussigny</v>
      </c>
      <c r="C134" s="95">
        <f>'B) D RI'!U136</f>
        <v>351876.09247999993</v>
      </c>
      <c r="D134" s="110">
        <f>'E) Fact soc'!G140/C134</f>
        <v>18.342323356000872</v>
      </c>
      <c r="E134" s="136">
        <f>'H) Péréquation directe'!I145/C134</f>
        <v>0.82859757212523444</v>
      </c>
      <c r="F134" s="415">
        <f>+'I) Dépenses thématiques'!U134</f>
        <v>-3.8078966183136154</v>
      </c>
      <c r="G134" s="136">
        <f t="shared" ref="G134:G197" si="9">SUM(D134:F134)</f>
        <v>15.36302430981249</v>
      </c>
      <c r="H134" s="110">
        <f t="shared" ref="H134:H197" si="10">G134-F134</f>
        <v>19.170920928126105</v>
      </c>
      <c r="I134" s="136">
        <f t="shared" ref="I134:I197" si="11">IF(H134&lt;I$4,H134-I$4,0)</f>
        <v>0</v>
      </c>
      <c r="J134" s="55">
        <f t="shared" ref="J134:J197" si="12">-I134*C134</f>
        <v>0</v>
      </c>
      <c r="K134" s="36"/>
    </row>
    <row r="135" spans="1:11" x14ac:dyDescent="0.25">
      <c r="A135" s="49">
        <f>'A) Base RI'!A137</f>
        <v>5625</v>
      </c>
      <c r="B135" s="292" t="str">
        <f>'A) Base RI'!B137</f>
        <v>Bussy-Chardonney</v>
      </c>
      <c r="C135" s="95">
        <f>'B) D RI'!U137</f>
        <v>17740.486103896103</v>
      </c>
      <c r="D135" s="110">
        <f>'E) Fact soc'!G141/C135</f>
        <v>18.815556010294657</v>
      </c>
      <c r="E135" s="136">
        <f>'H) Péréquation directe'!I146/C135</f>
        <v>14.034177424986606</v>
      </c>
      <c r="F135" s="415">
        <f>+'I) Dépenses thématiques'!U135</f>
        <v>-0.91469215001158566</v>
      </c>
      <c r="G135" s="136">
        <f t="shared" si="9"/>
        <v>31.93504128526968</v>
      </c>
      <c r="H135" s="110">
        <f t="shared" si="10"/>
        <v>32.849733435281266</v>
      </c>
      <c r="I135" s="136">
        <f t="shared" si="11"/>
        <v>0</v>
      </c>
      <c r="J135" s="55">
        <f t="shared" si="12"/>
        <v>0</v>
      </c>
      <c r="K135" s="36"/>
    </row>
    <row r="136" spans="1:11" x14ac:dyDescent="0.25">
      <c r="A136" s="49">
        <f>'A) Base RI'!A138</f>
        <v>5627</v>
      </c>
      <c r="B136" s="292" t="str">
        <f>'A) Base RI'!B138</f>
        <v>Chavannes-près-Renens</v>
      </c>
      <c r="C136" s="95">
        <f>'B) D RI'!U138</f>
        <v>161901.70176344088</v>
      </c>
      <c r="D136" s="110">
        <f>'E) Fact soc'!G142/C136</f>
        <v>16.690193127547897</v>
      </c>
      <c r="E136" s="136">
        <f>'H) Péréquation directe'!I147/C136</f>
        <v>-41.586325017265153</v>
      </c>
      <c r="F136" s="415">
        <f>+'I) Dépenses thématiques'!U136</f>
        <v>-9.2047629715271633</v>
      </c>
      <c r="G136" s="136">
        <f t="shared" si="9"/>
        <v>-34.10089486124442</v>
      </c>
      <c r="H136" s="110">
        <f t="shared" si="10"/>
        <v>-24.896131889717257</v>
      </c>
      <c r="I136" s="136">
        <f t="shared" si="11"/>
        <v>-16.896131889717257</v>
      </c>
      <c r="J136" s="55">
        <f t="shared" si="12"/>
        <v>2735512.5061647659</v>
      </c>
      <c r="K136" s="36"/>
    </row>
    <row r="137" spans="1:11" x14ac:dyDescent="0.25">
      <c r="A137" s="49">
        <f>'A) Base RI'!A139</f>
        <v>5628</v>
      </c>
      <c r="B137" s="292" t="str">
        <f>'A) Base RI'!B139</f>
        <v>Chigny</v>
      </c>
      <c r="C137" s="95">
        <f>'B) D RI'!U139</f>
        <v>24624.530161290324</v>
      </c>
      <c r="D137" s="110">
        <f>'E) Fact soc'!G143/C137</f>
        <v>19.371587956394652</v>
      </c>
      <c r="E137" s="136">
        <f>'H) Péréquation directe'!I148/C137</f>
        <v>17.170031481017372</v>
      </c>
      <c r="F137" s="415">
        <f>+'I) Dépenses thématiques'!U137</f>
        <v>0</v>
      </c>
      <c r="G137" s="136">
        <f t="shared" si="9"/>
        <v>36.541619437412024</v>
      </c>
      <c r="H137" s="110">
        <f t="shared" si="10"/>
        <v>36.541619437412024</v>
      </c>
      <c r="I137" s="136">
        <f t="shared" si="11"/>
        <v>0</v>
      </c>
      <c r="J137" s="55">
        <f t="shared" si="12"/>
        <v>0</v>
      </c>
      <c r="K137" s="36"/>
    </row>
    <row r="138" spans="1:11" x14ac:dyDescent="0.25">
      <c r="A138" s="49">
        <f>'A) Base RI'!A140</f>
        <v>5629</v>
      </c>
      <c r="B138" s="292" t="str">
        <f>'A) Base RI'!B140</f>
        <v>Clarmont</v>
      </c>
      <c r="C138" s="95">
        <f>'B) D RI'!U140</f>
        <v>8521.2598639455773</v>
      </c>
      <c r="D138" s="110">
        <f>'E) Fact soc'!G144/C138</f>
        <v>13.748912966964538</v>
      </c>
      <c r="E138" s="136">
        <f>'H) Péréquation directe'!I149/C138</f>
        <v>13.286788122870897</v>
      </c>
      <c r="F138" s="415">
        <f>+'I) Dépenses thématiques'!U138</f>
        <v>-4.3041101200901917</v>
      </c>
      <c r="G138" s="136">
        <f t="shared" si="9"/>
        <v>22.731590969745241</v>
      </c>
      <c r="H138" s="110">
        <f t="shared" si="10"/>
        <v>27.035701089835435</v>
      </c>
      <c r="I138" s="136">
        <f t="shared" si="11"/>
        <v>0</v>
      </c>
      <c r="J138" s="55">
        <f t="shared" si="12"/>
        <v>0</v>
      </c>
      <c r="K138" s="36"/>
    </row>
    <row r="139" spans="1:11" x14ac:dyDescent="0.25">
      <c r="A139" s="49">
        <f>'A) Base RI'!A141</f>
        <v>5631</v>
      </c>
      <c r="B139" s="292" t="str">
        <f>'A) Base RI'!B141</f>
        <v>Denens</v>
      </c>
      <c r="C139" s="95">
        <f>'B) D RI'!U141</f>
        <v>43455.14235294117</v>
      </c>
      <c r="D139" s="110">
        <f>'E) Fact soc'!G145/C139</f>
        <v>20.39792911323444</v>
      </c>
      <c r="E139" s="136">
        <f>'H) Péréquation directe'!I150/C139</f>
        <v>17.046836762971761</v>
      </c>
      <c r="F139" s="415">
        <f>+'I) Dépenses thématiques'!U139</f>
        <v>0</v>
      </c>
      <c r="G139" s="136">
        <f t="shared" si="9"/>
        <v>37.444765876206205</v>
      </c>
      <c r="H139" s="110">
        <f t="shared" si="10"/>
        <v>37.444765876206205</v>
      </c>
      <c r="I139" s="136">
        <f t="shared" si="11"/>
        <v>0</v>
      </c>
      <c r="J139" s="55">
        <f t="shared" si="12"/>
        <v>0</v>
      </c>
      <c r="K139" s="36"/>
    </row>
    <row r="140" spans="1:11" x14ac:dyDescent="0.25">
      <c r="A140" s="49">
        <f>'A) Base RI'!A142</f>
        <v>5632</v>
      </c>
      <c r="B140" s="292" t="str">
        <f>'A) Base RI'!B142</f>
        <v>Denges</v>
      </c>
      <c r="C140" s="95">
        <f>'B) D RI'!U142</f>
        <v>76479.966774193541</v>
      </c>
      <c r="D140" s="110">
        <f>'E) Fact soc'!G146/C140</f>
        <v>16.288672075269851</v>
      </c>
      <c r="E140" s="136">
        <f>'H) Péréquation directe'!I151/C140</f>
        <v>12.847005048755598</v>
      </c>
      <c r="F140" s="415">
        <f>+'I) Dépenses thématiques'!U140</f>
        <v>-1.2584399995753481</v>
      </c>
      <c r="G140" s="136">
        <f t="shared" si="9"/>
        <v>27.877237124450101</v>
      </c>
      <c r="H140" s="110">
        <f t="shared" si="10"/>
        <v>29.135677124025449</v>
      </c>
      <c r="I140" s="136">
        <f t="shared" si="11"/>
        <v>0</v>
      </c>
      <c r="J140" s="55">
        <f t="shared" si="12"/>
        <v>0</v>
      </c>
      <c r="K140" s="36"/>
    </row>
    <row r="141" spans="1:11" x14ac:dyDescent="0.25">
      <c r="A141" s="49">
        <f>'A) Base RI'!A143</f>
        <v>5633</v>
      </c>
      <c r="B141" s="292" t="str">
        <f>'A) Base RI'!B143</f>
        <v>Echandens</v>
      </c>
      <c r="C141" s="95">
        <f>'B) D RI'!U143</f>
        <v>148489.97685950415</v>
      </c>
      <c r="D141" s="110">
        <f>'E) Fact soc'!G147/C141</f>
        <v>20.124607345999237</v>
      </c>
      <c r="E141" s="136">
        <f>'H) Péréquation directe'!I152/C141</f>
        <v>14.25371812515189</v>
      </c>
      <c r="F141" s="415">
        <f>+'I) Dépenses thématiques'!U141</f>
        <v>-4.2386203577799977</v>
      </c>
      <c r="G141" s="136">
        <f t="shared" si="9"/>
        <v>30.139705113371132</v>
      </c>
      <c r="H141" s="110">
        <f t="shared" si="10"/>
        <v>34.378325471151129</v>
      </c>
      <c r="I141" s="136">
        <f t="shared" si="11"/>
        <v>0</v>
      </c>
      <c r="J141" s="55">
        <f t="shared" si="12"/>
        <v>0</v>
      </c>
      <c r="K141" s="36"/>
    </row>
    <row r="142" spans="1:11" x14ac:dyDescent="0.25">
      <c r="A142" s="49">
        <f>'A) Base RI'!A144</f>
        <v>5634</v>
      </c>
      <c r="B142" s="292" t="str">
        <f>'A) Base RI'!B144</f>
        <v>Echichens</v>
      </c>
      <c r="C142" s="95">
        <f>'B) D RI'!U144</f>
        <v>164177.5981818182</v>
      </c>
      <c r="D142" s="110">
        <f>'E) Fact soc'!G148/C142</f>
        <v>17.193732046234235</v>
      </c>
      <c r="E142" s="136">
        <f>'H) Péréquation directe'!I153/C142</f>
        <v>13.795777057862491</v>
      </c>
      <c r="F142" s="415">
        <f>+'I) Dépenses thématiques'!U142</f>
        <v>0</v>
      </c>
      <c r="G142" s="136">
        <f t="shared" si="9"/>
        <v>30.989509104096726</v>
      </c>
      <c r="H142" s="110">
        <f t="shared" si="10"/>
        <v>30.989509104096726</v>
      </c>
      <c r="I142" s="136">
        <f t="shared" si="11"/>
        <v>0</v>
      </c>
      <c r="J142" s="55">
        <f t="shared" si="12"/>
        <v>0</v>
      </c>
      <c r="K142" s="36"/>
    </row>
    <row r="143" spans="1:11" x14ac:dyDescent="0.25">
      <c r="A143" s="49">
        <f>'A) Base RI'!A145</f>
        <v>5635</v>
      </c>
      <c r="B143" s="292" t="str">
        <f>'A) Base RI'!B145</f>
        <v>Ecublens</v>
      </c>
      <c r="C143" s="95">
        <f>'B) D RI'!U145</f>
        <v>681739.39309333346</v>
      </c>
      <c r="D143" s="110">
        <f>'E) Fact soc'!G149/C143</f>
        <v>17.614556103219336</v>
      </c>
      <c r="E143" s="136">
        <f>'H) Péréquation directe'!I154/C143</f>
        <v>7.6125552154789968</v>
      </c>
      <c r="F143" s="415">
        <f>+'I) Dépenses thématiques'!U143</f>
        <v>-2.9983424196233202</v>
      </c>
      <c r="G143" s="136">
        <f t="shared" si="9"/>
        <v>22.228768899075014</v>
      </c>
      <c r="H143" s="110">
        <f t="shared" si="10"/>
        <v>25.227111318698334</v>
      </c>
      <c r="I143" s="136">
        <f t="shared" si="11"/>
        <v>0</v>
      </c>
      <c r="J143" s="55">
        <f t="shared" si="12"/>
        <v>0</v>
      </c>
      <c r="K143" s="36"/>
    </row>
    <row r="144" spans="1:11" x14ac:dyDescent="0.25">
      <c r="A144" s="49">
        <f>'A) Base RI'!A146</f>
        <v>5636</v>
      </c>
      <c r="B144" s="292" t="str">
        <f>'A) Base RI'!B146</f>
        <v>Etoy</v>
      </c>
      <c r="C144" s="95">
        <f>'B) D RI'!U146</f>
        <v>170715.46099999998</v>
      </c>
      <c r="D144" s="110">
        <f>'E) Fact soc'!G150/C144</f>
        <v>19.70477713731751</v>
      </c>
      <c r="E144" s="136">
        <f>'H) Péréquation directe'!I155/C144</f>
        <v>14.555401198120148</v>
      </c>
      <c r="F144" s="415">
        <f>+'I) Dépenses thématiques'!U144</f>
        <v>0</v>
      </c>
      <c r="G144" s="136">
        <f t="shared" si="9"/>
        <v>34.260178335437658</v>
      </c>
      <c r="H144" s="110">
        <f t="shared" si="10"/>
        <v>34.260178335437658</v>
      </c>
      <c r="I144" s="136">
        <f t="shared" si="11"/>
        <v>0</v>
      </c>
      <c r="J144" s="55">
        <f t="shared" si="12"/>
        <v>0</v>
      </c>
      <c r="K144" s="36"/>
    </row>
    <row r="145" spans="1:11" x14ac:dyDescent="0.25">
      <c r="A145" s="49">
        <f>'A) Base RI'!A147</f>
        <v>5637</v>
      </c>
      <c r="B145" s="292" t="str">
        <f>'A) Base RI'!B147</f>
        <v>Lavigny</v>
      </c>
      <c r="C145" s="95">
        <f>'B) D RI'!U147</f>
        <v>41194.659315068493</v>
      </c>
      <c r="D145" s="110">
        <f>'E) Fact soc'!G151/C145</f>
        <v>17.851902750036942</v>
      </c>
      <c r="E145" s="136">
        <f>'H) Péréquation directe'!I156/C145</f>
        <v>12.266773818194457</v>
      </c>
      <c r="F145" s="415">
        <f>+'I) Dépenses thématiques'!U145</f>
        <v>-3.5884820160538631</v>
      </c>
      <c r="G145" s="136">
        <f t="shared" si="9"/>
        <v>26.530194552177537</v>
      </c>
      <c r="H145" s="110">
        <f t="shared" si="10"/>
        <v>30.1186765682314</v>
      </c>
      <c r="I145" s="136">
        <f t="shared" si="11"/>
        <v>0</v>
      </c>
      <c r="J145" s="55">
        <f t="shared" si="12"/>
        <v>0</v>
      </c>
      <c r="K145" s="36"/>
    </row>
    <row r="146" spans="1:11" x14ac:dyDescent="0.25">
      <c r="A146" s="49">
        <f>'A) Base RI'!A148</f>
        <v>5638</v>
      </c>
      <c r="B146" s="292" t="str">
        <f>'A) Base RI'!B148</f>
        <v>Lonay</v>
      </c>
      <c r="C146" s="95">
        <f>'B) D RI'!U148</f>
        <v>145490.01981818181</v>
      </c>
      <c r="D146" s="110">
        <f>'E) Fact soc'!G152/C146</f>
        <v>22.64331306285839</v>
      </c>
      <c r="E146" s="136">
        <f>'H) Péréquation directe'!I157/C146</f>
        <v>14.305192123630967</v>
      </c>
      <c r="F146" s="415">
        <f>+'I) Dépenses thématiques'!U146</f>
        <v>-3.2074511480174523</v>
      </c>
      <c r="G146" s="136">
        <f t="shared" si="9"/>
        <v>33.741054038471901</v>
      </c>
      <c r="H146" s="110">
        <f t="shared" si="10"/>
        <v>36.948505186489356</v>
      </c>
      <c r="I146" s="136">
        <f t="shared" si="11"/>
        <v>0</v>
      </c>
      <c r="J146" s="55">
        <f t="shared" si="12"/>
        <v>0</v>
      </c>
      <c r="K146" s="36"/>
    </row>
    <row r="147" spans="1:11" x14ac:dyDescent="0.25">
      <c r="A147" s="49">
        <f>'A) Base RI'!A149</f>
        <v>5639</v>
      </c>
      <c r="B147" s="292" t="str">
        <f>'A) Base RI'!B149</f>
        <v>Lully</v>
      </c>
      <c r="C147" s="95">
        <f>'B) D RI'!U149</f>
        <v>45623.094262295082</v>
      </c>
      <c r="D147" s="110">
        <f>'E) Fact soc'!G153/C147</f>
        <v>16.85510459267762</v>
      </c>
      <c r="E147" s="136">
        <f>'H) Péréquation directe'!I158/C147</f>
        <v>16.92186723494444</v>
      </c>
      <c r="F147" s="415">
        <f>+'I) Dépenses thématiques'!U147</f>
        <v>0</v>
      </c>
      <c r="G147" s="136">
        <f t="shared" si="9"/>
        <v>33.776971827622063</v>
      </c>
      <c r="H147" s="110">
        <f t="shared" si="10"/>
        <v>33.776971827622063</v>
      </c>
      <c r="I147" s="136">
        <f t="shared" si="11"/>
        <v>0</v>
      </c>
      <c r="J147" s="55">
        <f t="shared" si="12"/>
        <v>0</v>
      </c>
      <c r="K147" s="36"/>
    </row>
    <row r="148" spans="1:11" x14ac:dyDescent="0.25">
      <c r="A148" s="49">
        <f>'A) Base RI'!A150</f>
        <v>5640</v>
      </c>
      <c r="B148" s="292" t="str">
        <f>'A) Base RI'!B150</f>
        <v>Lussy-sur-Morges</v>
      </c>
      <c r="C148" s="95">
        <f>'B) D RI'!U150</f>
        <v>57031.532424242418</v>
      </c>
      <c r="D148" s="110">
        <f>'E) Fact soc'!G154/C148</f>
        <v>24.080257506645712</v>
      </c>
      <c r="E148" s="136">
        <f>'H) Péréquation directe'!I159/C148</f>
        <v>17.594321685393357</v>
      </c>
      <c r="F148" s="415">
        <f>+'I) Dépenses thématiques'!U148</f>
        <v>0</v>
      </c>
      <c r="G148" s="136">
        <f t="shared" si="9"/>
        <v>41.674579192039069</v>
      </c>
      <c r="H148" s="110">
        <f t="shared" si="10"/>
        <v>41.674579192039069</v>
      </c>
      <c r="I148" s="136">
        <f t="shared" si="11"/>
        <v>0</v>
      </c>
      <c r="J148" s="55">
        <f t="shared" si="12"/>
        <v>0</v>
      </c>
      <c r="K148" s="36"/>
    </row>
    <row r="149" spans="1:11" x14ac:dyDescent="0.25">
      <c r="A149" s="49">
        <f>'A) Base RI'!A151</f>
        <v>5642</v>
      </c>
      <c r="B149" s="292" t="str">
        <f>'A) Base RI'!B151</f>
        <v>Morges</v>
      </c>
      <c r="C149" s="95">
        <f>'B) D RI'!U151</f>
        <v>787513.11402985093</v>
      </c>
      <c r="D149" s="110">
        <f>'E) Fact soc'!G155/C149</f>
        <v>17.672103158109167</v>
      </c>
      <c r="E149" s="136">
        <f>'H) Péréquation directe'!I160/C149</f>
        <v>5.4032257613701562</v>
      </c>
      <c r="F149" s="415">
        <f>+'I) Dépenses thématiques'!U149</f>
        <v>-1.5137453517703678</v>
      </c>
      <c r="G149" s="136">
        <f t="shared" si="9"/>
        <v>21.561583567708954</v>
      </c>
      <c r="H149" s="110">
        <f t="shared" si="10"/>
        <v>23.075328919479322</v>
      </c>
      <c r="I149" s="136">
        <f t="shared" si="11"/>
        <v>0</v>
      </c>
      <c r="J149" s="55">
        <f t="shared" si="12"/>
        <v>0</v>
      </c>
      <c r="K149" s="36"/>
    </row>
    <row r="150" spans="1:11" x14ac:dyDescent="0.25">
      <c r="A150" s="49">
        <f>'A) Base RI'!A152</f>
        <v>5643</v>
      </c>
      <c r="B150" s="292" t="str">
        <f>'A) Base RI'!B152</f>
        <v>Préverenges</v>
      </c>
      <c r="C150" s="95">
        <f>'B) D RI'!U152</f>
        <v>262337.37167999998</v>
      </c>
      <c r="D150" s="110">
        <f>'E) Fact soc'!G156/C150</f>
        <v>15.767534631022739</v>
      </c>
      <c r="E150" s="136">
        <f>'H) Péréquation directe'!I161/C150</f>
        <v>11.716579686088487</v>
      </c>
      <c r="F150" s="415">
        <f>+'I) Dépenses thématiques'!U150</f>
        <v>0</v>
      </c>
      <c r="G150" s="136">
        <f t="shared" si="9"/>
        <v>27.484114317111228</v>
      </c>
      <c r="H150" s="110">
        <f t="shared" si="10"/>
        <v>27.484114317111228</v>
      </c>
      <c r="I150" s="136">
        <f t="shared" si="11"/>
        <v>0</v>
      </c>
      <c r="J150" s="55">
        <f t="shared" si="12"/>
        <v>0</v>
      </c>
      <c r="K150" s="36"/>
    </row>
    <row r="151" spans="1:11" x14ac:dyDescent="0.25">
      <c r="A151" s="49">
        <f>'A) Base RI'!A153</f>
        <v>5644</v>
      </c>
      <c r="B151" s="292" t="str">
        <f>'A) Base RI'!B153</f>
        <v>Reverolle</v>
      </c>
      <c r="C151" s="95">
        <f>'B) D RI'!U153</f>
        <v>16020.747027027028</v>
      </c>
      <c r="D151" s="110">
        <f>'E) Fact soc'!G157/C151</f>
        <v>14.410941102027747</v>
      </c>
      <c r="E151" s="136">
        <f>'H) Péréquation directe'!I162/C151</f>
        <v>11.098886890735828</v>
      </c>
      <c r="F151" s="415">
        <f>+'I) Dépenses thématiques'!U151</f>
        <v>-3.7742165041263043</v>
      </c>
      <c r="G151" s="136">
        <f t="shared" si="9"/>
        <v>21.735611488637272</v>
      </c>
      <c r="H151" s="110">
        <f t="shared" si="10"/>
        <v>25.509827992763576</v>
      </c>
      <c r="I151" s="136">
        <f t="shared" si="11"/>
        <v>0</v>
      </c>
      <c r="J151" s="55">
        <f t="shared" si="12"/>
        <v>0</v>
      </c>
      <c r="K151" s="36"/>
    </row>
    <row r="152" spans="1:11" x14ac:dyDescent="0.25">
      <c r="A152" s="49">
        <f>'A) Base RI'!A154</f>
        <v>5645</v>
      </c>
      <c r="B152" s="292" t="str">
        <f>'A) Base RI'!B154</f>
        <v>Romanel-sur-Morges</v>
      </c>
      <c r="C152" s="95">
        <f>'B) D RI'!U154</f>
        <v>27365.134464285718</v>
      </c>
      <c r="D152" s="110">
        <f>'E) Fact soc'!G158/C152</f>
        <v>19.284067211420084</v>
      </c>
      <c r="E152" s="136">
        <f>'H) Péréquation directe'!I163/C152</f>
        <v>17.052554277029255</v>
      </c>
      <c r="F152" s="415">
        <f>+'I) Dépenses thématiques'!U152</f>
        <v>-2.545901731460912</v>
      </c>
      <c r="G152" s="136">
        <f t="shared" si="9"/>
        <v>33.790719756988423</v>
      </c>
      <c r="H152" s="110">
        <f t="shared" si="10"/>
        <v>36.336621488449339</v>
      </c>
      <c r="I152" s="136">
        <f t="shared" si="11"/>
        <v>0</v>
      </c>
      <c r="J152" s="55">
        <f t="shared" si="12"/>
        <v>0</v>
      </c>
      <c r="K152" s="36"/>
    </row>
    <row r="153" spans="1:11" x14ac:dyDescent="0.25">
      <c r="A153" s="49">
        <f>'A) Base RI'!A155</f>
        <v>5646</v>
      </c>
      <c r="B153" s="292" t="str">
        <f>'A) Base RI'!B155</f>
        <v>Saint-Prex</v>
      </c>
      <c r="C153" s="95">
        <f>'B) D RI'!U155</f>
        <v>541092.68090909091</v>
      </c>
      <c r="D153" s="110">
        <f>'E) Fact soc'!G159/C153</f>
        <v>24.719768979059413</v>
      </c>
      <c r="E153" s="136">
        <f>'H) Péréquation directe'!I164/C153</f>
        <v>14.866933450827897</v>
      </c>
      <c r="F153" s="415">
        <f>+'I) Dépenses thématiques'!U153</f>
        <v>0</v>
      </c>
      <c r="G153" s="136">
        <f t="shared" si="9"/>
        <v>39.58670242988731</v>
      </c>
      <c r="H153" s="110">
        <f t="shared" si="10"/>
        <v>39.58670242988731</v>
      </c>
      <c r="I153" s="136">
        <f t="shared" si="11"/>
        <v>0</v>
      </c>
      <c r="J153" s="55">
        <f t="shared" si="12"/>
        <v>0</v>
      </c>
      <c r="K153" s="36"/>
    </row>
    <row r="154" spans="1:11" x14ac:dyDescent="0.25">
      <c r="A154" s="49">
        <f>'A) Base RI'!A156</f>
        <v>5648</v>
      </c>
      <c r="B154" s="292" t="str">
        <f>'A) Base RI'!B156</f>
        <v>Saint-Sulpice</v>
      </c>
      <c r="C154" s="95">
        <f>'B) D RI'!U156</f>
        <v>396480.48181818181</v>
      </c>
      <c r="D154" s="110">
        <f>'E) Fact soc'!G160/C154</f>
        <v>22.263648402819644</v>
      </c>
      <c r="E154" s="136">
        <f>'H) Péréquation directe'!I165/C154</f>
        <v>14.711925071907094</v>
      </c>
      <c r="F154" s="415">
        <f>+'I) Dépenses thématiques'!U154</f>
        <v>0</v>
      </c>
      <c r="G154" s="136">
        <f t="shared" si="9"/>
        <v>36.975573474726737</v>
      </c>
      <c r="H154" s="110">
        <f t="shared" si="10"/>
        <v>36.975573474726737</v>
      </c>
      <c r="I154" s="136">
        <f t="shared" si="11"/>
        <v>0</v>
      </c>
      <c r="J154" s="55">
        <f t="shared" si="12"/>
        <v>0</v>
      </c>
      <c r="K154" s="36"/>
    </row>
    <row r="155" spans="1:11" x14ac:dyDescent="0.25">
      <c r="A155" s="49">
        <f>'A) Base RI'!A157</f>
        <v>5649</v>
      </c>
      <c r="B155" s="292" t="str">
        <f>'A) Base RI'!B157</f>
        <v>Tolochenaz</v>
      </c>
      <c r="C155" s="95">
        <f>'B) D RI'!U157</f>
        <v>215548.34569230766</v>
      </c>
      <c r="D155" s="110">
        <f>'E) Fact soc'!G161/C155</f>
        <v>29.279644962184594</v>
      </c>
      <c r="E155" s="136">
        <f>'H) Péréquation directe'!I166/C155</f>
        <v>17.156884817399352</v>
      </c>
      <c r="F155" s="415">
        <f>+'I) Dépenses thématiques'!U155</f>
        <v>0</v>
      </c>
      <c r="G155" s="136">
        <f t="shared" si="9"/>
        <v>46.43652977958395</v>
      </c>
      <c r="H155" s="110">
        <f t="shared" si="10"/>
        <v>46.43652977958395</v>
      </c>
      <c r="I155" s="136">
        <f t="shared" si="11"/>
        <v>0</v>
      </c>
      <c r="J155" s="55">
        <f t="shared" si="12"/>
        <v>0</v>
      </c>
      <c r="K155" s="36"/>
    </row>
    <row r="156" spans="1:11" x14ac:dyDescent="0.25">
      <c r="A156" s="49">
        <f>'A) Base RI'!A158</f>
        <v>5650</v>
      </c>
      <c r="B156" s="292" t="str">
        <f>'A) Base RI'!B158</f>
        <v>Vaux-sur-Morges</v>
      </c>
      <c r="C156" s="95">
        <f>'B) D RI'!U158</f>
        <v>63002.429285714286</v>
      </c>
      <c r="D156" s="110">
        <f>'E) Fact soc'!G162/C156</f>
        <v>206.18026581692357</v>
      </c>
      <c r="E156" s="136">
        <f>'H) Péréquation directe'!I167/C156</f>
        <v>18.782235562944656</v>
      </c>
      <c r="F156" s="415">
        <f>+'I) Dépenses thématiques'!U156</f>
        <v>0</v>
      </c>
      <c r="G156" s="136">
        <f t="shared" si="9"/>
        <v>224.96250137986823</v>
      </c>
      <c r="H156" s="110">
        <f t="shared" si="10"/>
        <v>224.96250137986823</v>
      </c>
      <c r="I156" s="136">
        <f t="shared" si="11"/>
        <v>0</v>
      </c>
      <c r="J156" s="55">
        <f t="shared" si="12"/>
        <v>0</v>
      </c>
      <c r="K156" s="36"/>
    </row>
    <row r="157" spans="1:11" x14ac:dyDescent="0.25">
      <c r="A157" s="49">
        <f>'A) Base RI'!A159</f>
        <v>5651</v>
      </c>
      <c r="B157" s="292" t="str">
        <f>'A) Base RI'!B159</f>
        <v>Villars-Sainte-Croix</v>
      </c>
      <c r="C157" s="95">
        <f>'B) D RI'!U159</f>
        <v>56095.490247933893</v>
      </c>
      <c r="D157" s="110">
        <f>'E) Fact soc'!G163/C157</f>
        <v>19.242754366831402</v>
      </c>
      <c r="E157" s="136">
        <f>'H) Péréquation directe'!I168/C157</f>
        <v>17.046471917764826</v>
      </c>
      <c r="F157" s="415">
        <f>+'I) Dépenses thématiques'!U157</f>
        <v>0</v>
      </c>
      <c r="G157" s="136">
        <f t="shared" si="9"/>
        <v>36.289226284596225</v>
      </c>
      <c r="H157" s="110">
        <f t="shared" si="10"/>
        <v>36.289226284596225</v>
      </c>
      <c r="I157" s="136">
        <f t="shared" si="11"/>
        <v>0</v>
      </c>
      <c r="J157" s="55">
        <f t="shared" si="12"/>
        <v>0</v>
      </c>
      <c r="K157" s="36"/>
    </row>
    <row r="158" spans="1:11" x14ac:dyDescent="0.25">
      <c r="A158" s="49">
        <f>'A) Base RI'!A160</f>
        <v>5652</v>
      </c>
      <c r="B158" s="292" t="str">
        <f>'A) Base RI'!B160</f>
        <v>Villars-sous-Yens</v>
      </c>
      <c r="C158" s="95">
        <f>'B) D RI'!U160</f>
        <v>25662.281995614037</v>
      </c>
      <c r="D158" s="110">
        <f>'E) Fact soc'!G164/C158</f>
        <v>16.805935923927834</v>
      </c>
      <c r="E158" s="136">
        <f>'H) Péréquation directe'!I169/C158</f>
        <v>12.614860316496967</v>
      </c>
      <c r="F158" s="415">
        <f>+'I) Dépenses thématiques'!U158</f>
        <v>-0.54289045801526425</v>
      </c>
      <c r="G158" s="136">
        <f t="shared" si="9"/>
        <v>28.877905782409535</v>
      </c>
      <c r="H158" s="110">
        <f t="shared" si="10"/>
        <v>29.420796240424799</v>
      </c>
      <c r="I158" s="136">
        <f t="shared" si="11"/>
        <v>0</v>
      </c>
      <c r="J158" s="55">
        <f t="shared" si="12"/>
        <v>0</v>
      </c>
      <c r="K158" s="36"/>
    </row>
    <row r="159" spans="1:11" x14ac:dyDescent="0.25">
      <c r="A159" s="49">
        <f>'A) Base RI'!A161</f>
        <v>5653</v>
      </c>
      <c r="B159" s="292" t="str">
        <f>'A) Base RI'!B161</f>
        <v>Vufflens-le-Château</v>
      </c>
      <c r="C159" s="95">
        <f>'B) D RI'!U161</f>
        <v>68786.034529914527</v>
      </c>
      <c r="D159" s="110">
        <f>'E) Fact soc'!G165/C159</f>
        <v>22.778365377438419</v>
      </c>
      <c r="E159" s="136">
        <f>'H) Péréquation directe'!I170/C159</f>
        <v>17.59577826012783</v>
      </c>
      <c r="F159" s="415">
        <f>+'I) Dépenses thématiques'!U159</f>
        <v>0</v>
      </c>
      <c r="G159" s="136">
        <f t="shared" si="9"/>
        <v>40.374143637566249</v>
      </c>
      <c r="H159" s="110">
        <f t="shared" si="10"/>
        <v>40.374143637566249</v>
      </c>
      <c r="I159" s="136">
        <f t="shared" si="11"/>
        <v>0</v>
      </c>
      <c r="J159" s="55">
        <f t="shared" si="12"/>
        <v>0</v>
      </c>
      <c r="K159" s="36"/>
    </row>
    <row r="160" spans="1:11" x14ac:dyDescent="0.25">
      <c r="A160" s="49">
        <f>'A) Base RI'!A162</f>
        <v>5654</v>
      </c>
      <c r="B160" s="292" t="str">
        <f>'A) Base RI'!B162</f>
        <v>Vullierens</v>
      </c>
      <c r="C160" s="95">
        <f>'B) D RI'!U162</f>
        <v>19265.899342105262</v>
      </c>
      <c r="D160" s="110">
        <f>'E) Fact soc'!G166/C160</f>
        <v>17.714895290049643</v>
      </c>
      <c r="E160" s="136">
        <f>'H) Péréquation directe'!I171/C160</f>
        <v>7.446148698283948</v>
      </c>
      <c r="F160" s="415">
        <f>+'I) Dépenses thématiques'!U160</f>
        <v>-1.3079640612621835</v>
      </c>
      <c r="G160" s="136">
        <f t="shared" si="9"/>
        <v>23.853079927071409</v>
      </c>
      <c r="H160" s="110">
        <f t="shared" si="10"/>
        <v>25.161043988333592</v>
      </c>
      <c r="I160" s="136">
        <f t="shared" si="11"/>
        <v>0</v>
      </c>
      <c r="J160" s="55">
        <f t="shared" si="12"/>
        <v>0</v>
      </c>
      <c r="K160" s="36"/>
    </row>
    <row r="161" spans="1:11" x14ac:dyDescent="0.25">
      <c r="A161" s="49">
        <f>'A) Base RI'!A163</f>
        <v>5655</v>
      </c>
      <c r="B161" s="292" t="str">
        <f>'A) Base RI'!B163</f>
        <v>Yens</v>
      </c>
      <c r="C161" s="95">
        <f>'B) D RI'!U163</f>
        <v>90935.122097902116</v>
      </c>
      <c r="D161" s="110">
        <f>'E) Fact soc'!G167/C161</f>
        <v>19.60233314243516</v>
      </c>
      <c r="E161" s="136">
        <f>'H) Péréquation directe'!I172/C161</f>
        <v>15.967898354388298</v>
      </c>
      <c r="F161" s="415">
        <f>+'I) Dépenses thématiques'!U161</f>
        <v>0</v>
      </c>
      <c r="G161" s="136">
        <f t="shared" si="9"/>
        <v>35.57023149682346</v>
      </c>
      <c r="H161" s="110">
        <f t="shared" si="10"/>
        <v>35.57023149682346</v>
      </c>
      <c r="I161" s="136">
        <f t="shared" si="11"/>
        <v>0</v>
      </c>
      <c r="J161" s="55">
        <f t="shared" si="12"/>
        <v>0</v>
      </c>
      <c r="K161" s="36"/>
    </row>
    <row r="162" spans="1:11" x14ac:dyDescent="0.25">
      <c r="A162" s="49">
        <f>'A) Base RI'!A164</f>
        <v>5661</v>
      </c>
      <c r="B162" s="292" t="str">
        <f>'A) Base RI'!B164</f>
        <v>Boulens</v>
      </c>
      <c r="C162" s="95">
        <f>'B) D RI'!U164</f>
        <v>10167.852447552446</v>
      </c>
      <c r="D162" s="110">
        <f>'E) Fact soc'!G168/C162</f>
        <v>15.196505359828613</v>
      </c>
      <c r="E162" s="136">
        <f>'H) Péréquation directe'!I173/C162</f>
        <v>-0.67990552596510168</v>
      </c>
      <c r="F162" s="415">
        <f>+'I) Dépenses thématiques'!U162</f>
        <v>-1.3438787329791435</v>
      </c>
      <c r="G162" s="136">
        <f t="shared" si="9"/>
        <v>13.172721100884367</v>
      </c>
      <c r="H162" s="110">
        <f t="shared" si="10"/>
        <v>14.516599833863511</v>
      </c>
      <c r="I162" s="136">
        <f t="shared" si="11"/>
        <v>0</v>
      </c>
      <c r="J162" s="55">
        <f t="shared" si="12"/>
        <v>0</v>
      </c>
      <c r="K162" s="36"/>
    </row>
    <row r="163" spans="1:11" x14ac:dyDescent="0.25">
      <c r="A163" s="49">
        <f>'A) Base RI'!A165</f>
        <v>5663</v>
      </c>
      <c r="B163" s="292" t="str">
        <f>'A) Base RI'!B165</f>
        <v>Bussy-sur-Moudon</v>
      </c>
      <c r="C163" s="95">
        <f>'B) D RI'!U165</f>
        <v>5408.1284999999998</v>
      </c>
      <c r="D163" s="110">
        <f>'E) Fact soc'!G169/C163</f>
        <v>15.470608870585957</v>
      </c>
      <c r="E163" s="136">
        <f>'H) Péréquation directe'!I174/C163</f>
        <v>-10.265651725623488</v>
      </c>
      <c r="F163" s="415">
        <f>+'I) Dépenses thématiques'!U163</f>
        <v>0</v>
      </c>
      <c r="G163" s="136">
        <f t="shared" si="9"/>
        <v>5.204957144962469</v>
      </c>
      <c r="H163" s="110">
        <f t="shared" si="10"/>
        <v>5.204957144962469</v>
      </c>
      <c r="I163" s="136">
        <f t="shared" si="11"/>
        <v>0</v>
      </c>
      <c r="J163" s="55">
        <f t="shared" si="12"/>
        <v>0</v>
      </c>
      <c r="K163" s="36"/>
    </row>
    <row r="164" spans="1:11" x14ac:dyDescent="0.25">
      <c r="A164" s="49">
        <f>'A) Base RI'!A166</f>
        <v>5665</v>
      </c>
      <c r="B164" s="292" t="str">
        <f>'A) Base RI'!B166</f>
        <v>Chavannes-sur-Moudon</v>
      </c>
      <c r="C164" s="95">
        <f>'B) D RI'!U166</f>
        <v>6834.8221917808223</v>
      </c>
      <c r="D164" s="110">
        <f>'E) Fact soc'!G170/C164</f>
        <v>17.383003120088503</v>
      </c>
      <c r="E164" s="136">
        <f>'H) Péréquation directe'!I175/C164</f>
        <v>2.8970728308178959</v>
      </c>
      <c r="F164" s="415">
        <f>+'I) Dépenses thématiques'!U164</f>
        <v>-0.33678759908816652</v>
      </c>
      <c r="G164" s="136">
        <f t="shared" si="9"/>
        <v>19.943288351818236</v>
      </c>
      <c r="H164" s="110">
        <f t="shared" si="10"/>
        <v>20.280075950906401</v>
      </c>
      <c r="I164" s="136">
        <f t="shared" si="11"/>
        <v>0</v>
      </c>
      <c r="J164" s="55">
        <f t="shared" si="12"/>
        <v>0</v>
      </c>
      <c r="K164" s="36"/>
    </row>
    <row r="165" spans="1:11" x14ac:dyDescent="0.25">
      <c r="A165" s="49">
        <f>'A) Base RI'!A167</f>
        <v>5669</v>
      </c>
      <c r="B165" s="292" t="str">
        <f>'A) Base RI'!B167</f>
        <v>Curtilles</v>
      </c>
      <c r="C165" s="95">
        <f>'B) D RI'!U167</f>
        <v>10286.853972602739</v>
      </c>
      <c r="D165" s="110">
        <f>'E) Fact soc'!G171/C165</f>
        <v>15.081026321086785</v>
      </c>
      <c r="E165" s="136">
        <f>'H) Péréquation directe'!I176/C165</f>
        <v>6.781429660866463</v>
      </c>
      <c r="F165" s="415">
        <f>+'I) Dépenses thématiques'!U165</f>
        <v>0</v>
      </c>
      <c r="G165" s="136">
        <f t="shared" si="9"/>
        <v>21.862455981953246</v>
      </c>
      <c r="H165" s="110">
        <f t="shared" si="10"/>
        <v>21.862455981953246</v>
      </c>
      <c r="I165" s="136">
        <f t="shared" si="11"/>
        <v>0</v>
      </c>
      <c r="J165" s="55">
        <f t="shared" si="12"/>
        <v>0</v>
      </c>
      <c r="K165" s="36"/>
    </row>
    <row r="166" spans="1:11" x14ac:dyDescent="0.25">
      <c r="A166" s="49">
        <f>'A) Base RI'!A168</f>
        <v>5671</v>
      </c>
      <c r="B166" s="292" t="str">
        <f>'A) Base RI'!B168</f>
        <v>Dompierre</v>
      </c>
      <c r="C166" s="95">
        <f>'B) D RI'!U168</f>
        <v>6034.0657692307695</v>
      </c>
      <c r="D166" s="110">
        <f>'E) Fact soc'!G172/C166</f>
        <v>18.341301134413424</v>
      </c>
      <c r="E166" s="136">
        <f>'H) Péréquation directe'!I177/C166</f>
        <v>-9.2011196189070965</v>
      </c>
      <c r="F166" s="415">
        <f>+'I) Dépenses thématiques'!U166</f>
        <v>-7.7762833848920963</v>
      </c>
      <c r="G166" s="136">
        <f t="shared" si="9"/>
        <v>1.3638981306142313</v>
      </c>
      <c r="H166" s="110">
        <f t="shared" si="10"/>
        <v>9.1401815155063275</v>
      </c>
      <c r="I166" s="136">
        <f t="shared" si="11"/>
        <v>0</v>
      </c>
      <c r="J166" s="55">
        <f t="shared" si="12"/>
        <v>0</v>
      </c>
      <c r="K166" s="36"/>
    </row>
    <row r="167" spans="1:11" x14ac:dyDescent="0.25">
      <c r="A167" s="49">
        <f>'A) Base RI'!A169</f>
        <v>5673</v>
      </c>
      <c r="B167" s="292" t="str">
        <f>'A) Base RI'!B169</f>
        <v>Hermenches</v>
      </c>
      <c r="C167" s="95">
        <f>'B) D RI'!U169</f>
        <v>10638.728435374151</v>
      </c>
      <c r="D167" s="110">
        <f>'E) Fact soc'!G173/C167</f>
        <v>14.834590977887059</v>
      </c>
      <c r="E167" s="136">
        <f>'H) Péréquation directe'!I178/C167</f>
        <v>-1.3210285362402854</v>
      </c>
      <c r="F167" s="415">
        <f>+'I) Dépenses thématiques'!U167</f>
        <v>-5.1194636080875808</v>
      </c>
      <c r="G167" s="136">
        <f t="shared" si="9"/>
        <v>8.3940988335591911</v>
      </c>
      <c r="H167" s="110">
        <f t="shared" si="10"/>
        <v>13.513562441646773</v>
      </c>
      <c r="I167" s="136">
        <f t="shared" si="11"/>
        <v>0</v>
      </c>
      <c r="J167" s="55">
        <f t="shared" si="12"/>
        <v>0</v>
      </c>
      <c r="K167" s="36"/>
    </row>
    <row r="168" spans="1:11" x14ac:dyDescent="0.25">
      <c r="A168" s="49">
        <f>'A) Base RI'!A170</f>
        <v>5674</v>
      </c>
      <c r="B168" s="292" t="str">
        <f>'A) Base RI'!B170</f>
        <v>Lovatens</v>
      </c>
      <c r="C168" s="95">
        <f>'B) D RI'!U170</f>
        <v>3430.742038095239</v>
      </c>
      <c r="D168" s="110">
        <f>'E) Fact soc'!G174/C168</f>
        <v>24.517931513696624</v>
      </c>
      <c r="E168" s="136">
        <f>'H) Péréquation directe'!I179/C168</f>
        <v>-8.3948724477444774</v>
      </c>
      <c r="F168" s="415">
        <f>+'I) Dépenses thématiques'!U168</f>
        <v>-8.6808618779054374</v>
      </c>
      <c r="G168" s="136">
        <f t="shared" si="9"/>
        <v>7.4421971880467108</v>
      </c>
      <c r="H168" s="110">
        <f t="shared" si="10"/>
        <v>16.123059065952148</v>
      </c>
      <c r="I168" s="136">
        <f t="shared" si="11"/>
        <v>0</v>
      </c>
      <c r="J168" s="55">
        <f t="shared" si="12"/>
        <v>0</v>
      </c>
      <c r="K168" s="36"/>
    </row>
    <row r="169" spans="1:11" x14ac:dyDescent="0.25">
      <c r="A169" s="49">
        <f>'A) Base RI'!A171</f>
        <v>5675</v>
      </c>
      <c r="B169" s="292" t="str">
        <f>'A) Base RI'!B171</f>
        <v>Lucens</v>
      </c>
      <c r="C169" s="95">
        <f>'B) D RI'!U171</f>
        <v>97154.219717171698</v>
      </c>
      <c r="D169" s="110">
        <f>'E) Fact soc'!G175/C169</f>
        <v>16.184743926126885</v>
      </c>
      <c r="E169" s="136">
        <f>'H) Péréquation directe'!I180/C169</f>
        <v>-16.715294542165068</v>
      </c>
      <c r="F169" s="415">
        <f>+'I) Dépenses thématiques'!U169</f>
        <v>-5.9772461081721842</v>
      </c>
      <c r="G169" s="136">
        <f t="shared" si="9"/>
        <v>-6.507796724210368</v>
      </c>
      <c r="H169" s="110">
        <f t="shared" si="10"/>
        <v>-0.53055061603818388</v>
      </c>
      <c r="I169" s="136">
        <f t="shared" si="11"/>
        <v>0</v>
      </c>
      <c r="J169" s="55">
        <f t="shared" si="12"/>
        <v>0</v>
      </c>
      <c r="K169" s="36"/>
    </row>
    <row r="170" spans="1:11" x14ac:dyDescent="0.25">
      <c r="A170" s="49">
        <f>'A) Base RI'!A172</f>
        <v>5678</v>
      </c>
      <c r="B170" s="292" t="str">
        <f>'A) Base RI'!B172</f>
        <v>Moudon</v>
      </c>
      <c r="C170" s="95">
        <f>'B) D RI'!U172</f>
        <v>124965.41862068966</v>
      </c>
      <c r="D170" s="110">
        <f>'E) Fact soc'!G176/C170</f>
        <v>18.778837438822517</v>
      </c>
      <c r="E170" s="136">
        <f>'H) Péréquation directe'!I181/C170</f>
        <v>-29.17439017144472</v>
      </c>
      <c r="F170" s="415">
        <f>+'I) Dépenses thématiques'!U170</f>
        <v>-9.7879437509710616</v>
      </c>
      <c r="G170" s="136">
        <f t="shared" si="9"/>
        <v>-20.183496483593267</v>
      </c>
      <c r="H170" s="110">
        <f t="shared" si="10"/>
        <v>-10.395552732622205</v>
      </c>
      <c r="I170" s="136">
        <f t="shared" si="11"/>
        <v>-2.395552732622205</v>
      </c>
      <c r="J170" s="55">
        <f t="shared" si="12"/>
        <v>299361.25006007089</v>
      </c>
      <c r="K170" s="36"/>
    </row>
    <row r="171" spans="1:11" x14ac:dyDescent="0.25">
      <c r="A171" s="49">
        <f>'A) Base RI'!A173</f>
        <v>5680</v>
      </c>
      <c r="B171" s="292" t="str">
        <f>'A) Base RI'!B173</f>
        <v>Ogens</v>
      </c>
      <c r="C171" s="95">
        <f>'B) D RI'!U173</f>
        <v>8675.0652136752142</v>
      </c>
      <c r="D171" s="110">
        <f>'E) Fact soc'!G177/C171</f>
        <v>19.441582739043177</v>
      </c>
      <c r="E171" s="136">
        <f>'H) Péréquation directe'!I182/C171</f>
        <v>-1.5250994400509306</v>
      </c>
      <c r="F171" s="415">
        <f>+'I) Dépenses thématiques'!U171</f>
        <v>-0.71108411727203635</v>
      </c>
      <c r="G171" s="136">
        <f t="shared" si="9"/>
        <v>17.20539918172021</v>
      </c>
      <c r="H171" s="110">
        <f t="shared" si="10"/>
        <v>17.916483298992247</v>
      </c>
      <c r="I171" s="136">
        <f t="shared" si="11"/>
        <v>0</v>
      </c>
      <c r="J171" s="55">
        <f t="shared" si="12"/>
        <v>0</v>
      </c>
      <c r="K171" s="36"/>
    </row>
    <row r="172" spans="1:11" x14ac:dyDescent="0.25">
      <c r="A172" s="49">
        <f>'A) Base RI'!A174</f>
        <v>5683</v>
      </c>
      <c r="B172" s="292" t="str">
        <f>'A) Base RI'!B174</f>
        <v>Prévonloup</v>
      </c>
      <c r="C172" s="95">
        <f>'B) D RI'!U174</f>
        <v>5006.0282758620697</v>
      </c>
      <c r="D172" s="110">
        <f>'E) Fact soc'!G178/C172</f>
        <v>13.946526136484668</v>
      </c>
      <c r="E172" s="136">
        <f>'H) Péréquation directe'!I183/C172</f>
        <v>-5.740289580494518</v>
      </c>
      <c r="F172" s="415">
        <f>+'I) Dépenses thématiques'!U172</f>
        <v>0</v>
      </c>
      <c r="G172" s="136">
        <f t="shared" si="9"/>
        <v>8.2062365559901487</v>
      </c>
      <c r="H172" s="110">
        <f t="shared" si="10"/>
        <v>8.2062365559901487</v>
      </c>
      <c r="I172" s="136">
        <f t="shared" si="11"/>
        <v>0</v>
      </c>
      <c r="J172" s="55">
        <f t="shared" si="12"/>
        <v>0</v>
      </c>
      <c r="K172" s="36"/>
    </row>
    <row r="173" spans="1:11" x14ac:dyDescent="0.25">
      <c r="A173" s="49">
        <f>'A) Base RI'!A175</f>
        <v>5684</v>
      </c>
      <c r="B173" s="292" t="str">
        <f>'A) Base RI'!B175</f>
        <v>Rossenges</v>
      </c>
      <c r="C173" s="95">
        <f>'B) D RI'!U175</f>
        <v>4335.3234000000011</v>
      </c>
      <c r="D173" s="110">
        <f>'E) Fact soc'!G179/C173</f>
        <v>14.510605512226467</v>
      </c>
      <c r="E173" s="136">
        <f>'H) Péréquation directe'!I184/C173</f>
        <v>16.761571550590936</v>
      </c>
      <c r="F173" s="415">
        <f>+'I) Dépenses thématiques'!U173</f>
        <v>0</v>
      </c>
      <c r="G173" s="136">
        <f t="shared" si="9"/>
        <v>31.272177062817406</v>
      </c>
      <c r="H173" s="110">
        <f t="shared" si="10"/>
        <v>31.272177062817406</v>
      </c>
      <c r="I173" s="136">
        <f t="shared" si="11"/>
        <v>0</v>
      </c>
      <c r="J173" s="55">
        <f t="shared" si="12"/>
        <v>0</v>
      </c>
      <c r="K173" s="36"/>
    </row>
    <row r="174" spans="1:11" x14ac:dyDescent="0.25">
      <c r="A174" s="49">
        <f>'A) Base RI'!A176</f>
        <v>5688</v>
      </c>
      <c r="B174" s="292" t="str">
        <f>'A) Base RI'!B176</f>
        <v>Syens</v>
      </c>
      <c r="C174" s="95">
        <f>'B) D RI'!U176</f>
        <v>5094.0764550264557</v>
      </c>
      <c r="D174" s="110">
        <f>'E) Fact soc'!G180/C174</f>
        <v>13.514331952453114</v>
      </c>
      <c r="E174" s="136">
        <f>'H) Péréquation directe'!I185/C174</f>
        <v>4.4720371071813396</v>
      </c>
      <c r="F174" s="415">
        <f>+'I) Dépenses thématiques'!U174</f>
        <v>-1.9297985329884908</v>
      </c>
      <c r="G174" s="136">
        <f t="shared" si="9"/>
        <v>16.056570526645963</v>
      </c>
      <c r="H174" s="110">
        <f t="shared" si="10"/>
        <v>17.986369059634455</v>
      </c>
      <c r="I174" s="136">
        <f t="shared" si="11"/>
        <v>0</v>
      </c>
      <c r="J174" s="55">
        <f t="shared" si="12"/>
        <v>0</v>
      </c>
      <c r="K174" s="36"/>
    </row>
    <row r="175" spans="1:11" x14ac:dyDescent="0.25">
      <c r="A175" s="49">
        <f>'A) Base RI'!A177</f>
        <v>5690</v>
      </c>
      <c r="B175" s="292" t="str">
        <f>'A) Base RI'!B177</f>
        <v>Villars-le-Comte</v>
      </c>
      <c r="C175" s="95">
        <f>'B) D RI'!U177</f>
        <v>3483.7788571428573</v>
      </c>
      <c r="D175" s="110">
        <f>'E) Fact soc'!G181/C175</f>
        <v>18.613191753957668</v>
      </c>
      <c r="E175" s="136">
        <f>'H) Péréquation directe'!I186/C175</f>
        <v>1.933593395513497</v>
      </c>
      <c r="F175" s="415">
        <f>+'I) Dépenses thématiques'!U175</f>
        <v>-2.7872253823557438</v>
      </c>
      <c r="G175" s="136">
        <f t="shared" si="9"/>
        <v>17.759559767115423</v>
      </c>
      <c r="H175" s="110">
        <f t="shared" si="10"/>
        <v>20.546785149471166</v>
      </c>
      <c r="I175" s="136">
        <f t="shared" si="11"/>
        <v>0</v>
      </c>
      <c r="J175" s="55">
        <f t="shared" si="12"/>
        <v>0</v>
      </c>
      <c r="K175" s="36"/>
    </row>
    <row r="176" spans="1:11" x14ac:dyDescent="0.25">
      <c r="A176" s="49">
        <f>'A) Base RI'!A178</f>
        <v>5692</v>
      </c>
      <c r="B176" s="292" t="str">
        <f>'A) Base RI'!B178</f>
        <v>Vucherens</v>
      </c>
      <c r="C176" s="95">
        <f>'B) D RI'!U178</f>
        <v>18084.556363636369</v>
      </c>
      <c r="D176" s="110">
        <f>'E) Fact soc'!G182/C176</f>
        <v>16.505175787851599</v>
      </c>
      <c r="E176" s="136">
        <f>'H) Péréquation directe'!I187/C176</f>
        <v>-0.37158162379121207</v>
      </c>
      <c r="F176" s="415">
        <f>+'I) Dépenses thématiques'!U176</f>
        <v>-4.4129593346648521</v>
      </c>
      <c r="G176" s="136">
        <f t="shared" si="9"/>
        <v>11.720634829395536</v>
      </c>
      <c r="H176" s="110">
        <f t="shared" si="10"/>
        <v>16.133594164060387</v>
      </c>
      <c r="I176" s="136">
        <f t="shared" si="11"/>
        <v>0</v>
      </c>
      <c r="J176" s="55">
        <f t="shared" si="12"/>
        <v>0</v>
      </c>
      <c r="K176" s="36"/>
    </row>
    <row r="177" spans="1:11" x14ac:dyDescent="0.25">
      <c r="A177" s="49">
        <f>'A) Base RI'!A179</f>
        <v>5693</v>
      </c>
      <c r="B177" s="292" t="str">
        <f>'A) Base RI'!B179</f>
        <v>Montanaire</v>
      </c>
      <c r="C177" s="95">
        <f>'B) D RI'!U179</f>
        <v>71120.535138888881</v>
      </c>
      <c r="D177" s="110">
        <f>'E) Fact soc'!G183/C177</f>
        <v>17.13836471117957</v>
      </c>
      <c r="E177" s="136">
        <f>'H) Péréquation directe'!I188/C177</f>
        <v>-9.6689479888680463</v>
      </c>
      <c r="F177" s="415">
        <f>+'I) Dépenses thématiques'!U177</f>
        <v>-6.0867460708376093</v>
      </c>
      <c r="G177" s="136">
        <f t="shared" si="9"/>
        <v>1.382670651473914</v>
      </c>
      <c r="H177" s="110">
        <f t="shared" si="10"/>
        <v>7.4694167223115233</v>
      </c>
      <c r="I177" s="136">
        <f t="shared" si="11"/>
        <v>0</v>
      </c>
      <c r="J177" s="55">
        <f t="shared" si="12"/>
        <v>0</v>
      </c>
      <c r="K177" s="36"/>
    </row>
    <row r="178" spans="1:11" x14ac:dyDescent="0.25">
      <c r="A178" s="49">
        <f>'A) Base RI'!A180</f>
        <v>5701</v>
      </c>
      <c r="B178" s="292" t="str">
        <f>'A) Base RI'!B180</f>
        <v>Arnex-sur-Nyon</v>
      </c>
      <c r="C178" s="95">
        <f>'B) D RI'!U180</f>
        <v>12579.391714285715</v>
      </c>
      <c r="D178" s="110">
        <f>'E) Fact soc'!G184/C178</f>
        <v>20.803690035975613</v>
      </c>
      <c r="E178" s="136">
        <f>'H) Péréquation directe'!I189/C178</f>
        <v>16.79838451580849</v>
      </c>
      <c r="F178" s="415">
        <f>+'I) Dépenses thématiques'!U178</f>
        <v>0</v>
      </c>
      <c r="G178" s="136">
        <f t="shared" si="9"/>
        <v>37.602074551784099</v>
      </c>
      <c r="H178" s="110">
        <f t="shared" si="10"/>
        <v>37.602074551784099</v>
      </c>
      <c r="I178" s="136">
        <f t="shared" si="11"/>
        <v>0</v>
      </c>
      <c r="J178" s="55">
        <f t="shared" si="12"/>
        <v>0</v>
      </c>
      <c r="K178" s="36"/>
    </row>
    <row r="179" spans="1:11" x14ac:dyDescent="0.25">
      <c r="A179" s="49">
        <f>'A) Base RI'!A181</f>
        <v>5702</v>
      </c>
      <c r="B179" s="292" t="str">
        <f>'A) Base RI'!B181</f>
        <v>Arzier-Le Muids</v>
      </c>
      <c r="C179" s="95">
        <f>'B) D RI'!U181</f>
        <v>167751.11713541666</v>
      </c>
      <c r="D179" s="110">
        <f>'E) Fact soc'!G185/C179</f>
        <v>18.549083092349797</v>
      </c>
      <c r="E179" s="136">
        <f>'H) Péréquation directe'!I190/C179</f>
        <v>14.467752602121243</v>
      </c>
      <c r="F179" s="415">
        <f>+'I) Dépenses thématiques'!U179</f>
        <v>-2.6189865060259661</v>
      </c>
      <c r="G179" s="136">
        <f t="shared" si="9"/>
        <v>30.397849188445075</v>
      </c>
      <c r="H179" s="110">
        <f t="shared" si="10"/>
        <v>33.016835694471041</v>
      </c>
      <c r="I179" s="136">
        <f t="shared" si="11"/>
        <v>0</v>
      </c>
      <c r="J179" s="55">
        <f t="shared" si="12"/>
        <v>0</v>
      </c>
      <c r="K179" s="36"/>
    </row>
    <row r="180" spans="1:11" x14ac:dyDescent="0.25">
      <c r="A180" s="49">
        <f>'A) Base RI'!A182</f>
        <v>5703</v>
      </c>
      <c r="B180" s="292" t="str">
        <f>'A) Base RI'!B182</f>
        <v>Bassins</v>
      </c>
      <c r="C180" s="95">
        <f>'B) D RI'!U182</f>
        <v>66904.36396059113</v>
      </c>
      <c r="D180" s="110">
        <f>'E) Fact soc'!G186/C180</f>
        <v>17.444000673871827</v>
      </c>
      <c r="E180" s="136">
        <f>'H) Péréquation directe'!I191/C180</f>
        <v>13.53920693538017</v>
      </c>
      <c r="F180" s="415">
        <f>+'I) Dépenses thématiques'!U180</f>
        <v>-4.136687962426171</v>
      </c>
      <c r="G180" s="136">
        <f t="shared" si="9"/>
        <v>26.846519646825826</v>
      </c>
      <c r="H180" s="110">
        <f t="shared" si="10"/>
        <v>30.983207609251998</v>
      </c>
      <c r="I180" s="136">
        <f t="shared" si="11"/>
        <v>0</v>
      </c>
      <c r="J180" s="55">
        <f t="shared" si="12"/>
        <v>0</v>
      </c>
      <c r="K180" s="36"/>
    </row>
    <row r="181" spans="1:11" x14ac:dyDescent="0.25">
      <c r="A181" s="49">
        <f>'A) Base RI'!A183</f>
        <v>5704</v>
      </c>
      <c r="B181" s="292" t="str">
        <f>'A) Base RI'!B183</f>
        <v>Begnins</v>
      </c>
      <c r="C181" s="95">
        <f>'B) D RI'!U183</f>
        <v>141538.79477333333</v>
      </c>
      <c r="D181" s="110">
        <f>'E) Fact soc'!G187/C181</f>
        <v>20.761494089711395</v>
      </c>
      <c r="E181" s="136">
        <f>'H) Péréquation directe'!I192/C181</f>
        <v>16.011693101631906</v>
      </c>
      <c r="F181" s="415">
        <f>+'I) Dépenses thématiques'!U181</f>
        <v>0</v>
      </c>
      <c r="G181" s="136">
        <f t="shared" si="9"/>
        <v>36.773187191343297</v>
      </c>
      <c r="H181" s="110">
        <f t="shared" si="10"/>
        <v>36.773187191343297</v>
      </c>
      <c r="I181" s="136">
        <f t="shared" si="11"/>
        <v>0</v>
      </c>
      <c r="J181" s="55">
        <f t="shared" si="12"/>
        <v>0</v>
      </c>
      <c r="K181" s="36"/>
    </row>
    <row r="182" spans="1:11" x14ac:dyDescent="0.25">
      <c r="A182" s="49">
        <f>'A) Base RI'!A184</f>
        <v>5705</v>
      </c>
      <c r="B182" s="292" t="str">
        <f>'A) Base RI'!B184</f>
        <v>Bogis-Bossey</v>
      </c>
      <c r="C182" s="95">
        <f>'B) D RI'!U184</f>
        <v>56148.948053691274</v>
      </c>
      <c r="D182" s="110">
        <f>'E) Fact soc'!G188/C182</f>
        <v>22.461236737982581</v>
      </c>
      <c r="E182" s="136">
        <f>'H) Péréquation directe'!I193/C182</f>
        <v>17.320109426736572</v>
      </c>
      <c r="F182" s="415">
        <f>+'I) Dépenses thématiques'!U182</f>
        <v>0</v>
      </c>
      <c r="G182" s="136">
        <f t="shared" si="9"/>
        <v>39.781346164719153</v>
      </c>
      <c r="H182" s="110">
        <f t="shared" si="10"/>
        <v>39.781346164719153</v>
      </c>
      <c r="I182" s="136">
        <f t="shared" si="11"/>
        <v>0</v>
      </c>
      <c r="J182" s="55">
        <f t="shared" si="12"/>
        <v>0</v>
      </c>
      <c r="K182" s="36"/>
    </row>
    <row r="183" spans="1:11" x14ac:dyDescent="0.25">
      <c r="A183" s="49">
        <f>'A) Base RI'!A185</f>
        <v>5706</v>
      </c>
      <c r="B183" s="292" t="str">
        <f>'A) Base RI'!B185</f>
        <v>Borex</v>
      </c>
      <c r="C183" s="95">
        <f>'B) D RI'!U185</f>
        <v>84057.706842105254</v>
      </c>
      <c r="D183" s="110">
        <f>'E) Fact soc'!G189/C183</f>
        <v>20.107119208780361</v>
      </c>
      <c r="E183" s="136">
        <f>'H) Péréquation directe'!I194/C183</f>
        <v>17.040482019743077</v>
      </c>
      <c r="F183" s="415">
        <f>+'I) Dépenses thématiques'!U183</f>
        <v>0</v>
      </c>
      <c r="G183" s="136">
        <f t="shared" si="9"/>
        <v>37.147601228523442</v>
      </c>
      <c r="H183" s="110">
        <f t="shared" si="10"/>
        <v>37.147601228523442</v>
      </c>
      <c r="I183" s="136">
        <f t="shared" si="11"/>
        <v>0</v>
      </c>
      <c r="J183" s="55">
        <f t="shared" si="12"/>
        <v>0</v>
      </c>
      <c r="K183" s="36"/>
    </row>
    <row r="184" spans="1:11" x14ac:dyDescent="0.25">
      <c r="A184" s="49">
        <f>'A) Base RI'!A186</f>
        <v>5707</v>
      </c>
      <c r="B184" s="292" t="str">
        <f>'A) Base RI'!B186</f>
        <v>Chavannes-de-Bogis</v>
      </c>
      <c r="C184" s="95">
        <f>'B) D RI'!U186</f>
        <v>81835.320459770097</v>
      </c>
      <c r="D184" s="110">
        <f>'E) Fact soc'!G190/C184</f>
        <v>21.532718126634052</v>
      </c>
      <c r="E184" s="136">
        <f>'H) Péréquation directe'!I195/C184</f>
        <v>16.25310968758188</v>
      </c>
      <c r="F184" s="415">
        <f>+'I) Dépenses thématiques'!U184</f>
        <v>0</v>
      </c>
      <c r="G184" s="136">
        <f t="shared" si="9"/>
        <v>37.785827814215935</v>
      </c>
      <c r="H184" s="110">
        <f t="shared" si="10"/>
        <v>37.785827814215935</v>
      </c>
      <c r="I184" s="136">
        <f t="shared" si="11"/>
        <v>0</v>
      </c>
      <c r="J184" s="55">
        <f t="shared" si="12"/>
        <v>0</v>
      </c>
      <c r="K184" s="36"/>
    </row>
    <row r="185" spans="1:11" x14ac:dyDescent="0.25">
      <c r="A185" s="49">
        <f>'A) Base RI'!A187</f>
        <v>5708</v>
      </c>
      <c r="B185" s="292" t="str">
        <f>'A) Base RI'!B187</f>
        <v>Chavannes-des-Bois</v>
      </c>
      <c r="C185" s="95">
        <f>'B) D RI'!U187</f>
        <v>67256.112794117653</v>
      </c>
      <c r="D185" s="110">
        <f>'E) Fact soc'!G191/C185</f>
        <v>20.414945113143638</v>
      </c>
      <c r="E185" s="136">
        <f>'H) Péréquation directe'!I196/C185</f>
        <v>17.253327325498681</v>
      </c>
      <c r="F185" s="415">
        <f>+'I) Dépenses thématiques'!U185</f>
        <v>0</v>
      </c>
      <c r="G185" s="136">
        <f t="shared" si="9"/>
        <v>37.668272438642319</v>
      </c>
      <c r="H185" s="110">
        <f t="shared" si="10"/>
        <v>37.668272438642319</v>
      </c>
      <c r="I185" s="136">
        <f t="shared" si="11"/>
        <v>0</v>
      </c>
      <c r="J185" s="55">
        <f t="shared" si="12"/>
        <v>0</v>
      </c>
      <c r="K185" s="36"/>
    </row>
    <row r="186" spans="1:11" x14ac:dyDescent="0.25">
      <c r="A186" s="49">
        <f>'A) Base RI'!A188</f>
        <v>5709</v>
      </c>
      <c r="B186" s="292" t="str">
        <f>'A) Base RI'!B188</f>
        <v>Chéserex</v>
      </c>
      <c r="C186" s="95">
        <f>'B) D RI'!U188</f>
        <v>97368.06631578946</v>
      </c>
      <c r="D186" s="110">
        <f>'E) Fact soc'!G192/C186</f>
        <v>22.205610511486249</v>
      </c>
      <c r="E186" s="136">
        <f>'H) Péréquation directe'!I197/C186</f>
        <v>17.006299405962867</v>
      </c>
      <c r="F186" s="415">
        <f>+'I) Dépenses thématiques'!U186</f>
        <v>0</v>
      </c>
      <c r="G186" s="136">
        <f t="shared" si="9"/>
        <v>39.21190991744912</v>
      </c>
      <c r="H186" s="110">
        <f t="shared" si="10"/>
        <v>39.21190991744912</v>
      </c>
      <c r="I186" s="136">
        <f t="shared" si="11"/>
        <v>0</v>
      </c>
      <c r="J186" s="55">
        <f t="shared" si="12"/>
        <v>0</v>
      </c>
      <c r="K186" s="36"/>
    </row>
    <row r="187" spans="1:11" x14ac:dyDescent="0.25">
      <c r="A187" s="49">
        <f>'A) Base RI'!A189</f>
        <v>5710</v>
      </c>
      <c r="B187" s="292" t="str">
        <f>'A) Base RI'!B189</f>
        <v>Coinsins</v>
      </c>
      <c r="C187" s="95">
        <f>'B) D RI'!U189</f>
        <v>41108.965294117646</v>
      </c>
      <c r="D187" s="110">
        <f>'E) Fact soc'!G193/C187</f>
        <v>20.687084972668345</v>
      </c>
      <c r="E187" s="136">
        <f>'H) Péréquation directe'!I198/C187</f>
        <v>17.628784069652191</v>
      </c>
      <c r="F187" s="415">
        <f>+'I) Dépenses thématiques'!U187</f>
        <v>0</v>
      </c>
      <c r="G187" s="136">
        <f t="shared" si="9"/>
        <v>38.315869042320536</v>
      </c>
      <c r="H187" s="110">
        <f t="shared" si="10"/>
        <v>38.315869042320536</v>
      </c>
      <c r="I187" s="136">
        <f t="shared" si="11"/>
        <v>0</v>
      </c>
      <c r="J187" s="55">
        <f t="shared" si="12"/>
        <v>0</v>
      </c>
      <c r="K187" s="36"/>
    </row>
    <row r="188" spans="1:11" x14ac:dyDescent="0.25">
      <c r="A188" s="49">
        <f>'A) Base RI'!A190</f>
        <v>5711</v>
      </c>
      <c r="B188" s="292" t="str">
        <f>'A) Base RI'!B190</f>
        <v>Commugny</v>
      </c>
      <c r="C188" s="95">
        <f>'B) D RI'!U190</f>
        <v>252772.67295911297</v>
      </c>
      <c r="D188" s="110">
        <f>'E) Fact soc'!G194/C188</f>
        <v>23.352600791218578</v>
      </c>
      <c r="E188" s="136">
        <f>'H) Péréquation directe'!I199/C188</f>
        <v>15.930629870236766</v>
      </c>
      <c r="F188" s="415">
        <f>+'I) Dépenses thématiques'!U188</f>
        <v>0</v>
      </c>
      <c r="G188" s="136">
        <f t="shared" si="9"/>
        <v>39.283230661455342</v>
      </c>
      <c r="H188" s="110">
        <f t="shared" si="10"/>
        <v>39.283230661455342</v>
      </c>
      <c r="I188" s="136">
        <f t="shared" si="11"/>
        <v>0</v>
      </c>
      <c r="J188" s="55">
        <f t="shared" si="12"/>
        <v>0</v>
      </c>
      <c r="K188" s="36"/>
    </row>
    <row r="189" spans="1:11" x14ac:dyDescent="0.25">
      <c r="A189" s="49">
        <f>'A) Base RI'!A191</f>
        <v>5712</v>
      </c>
      <c r="B189" s="292" t="str">
        <f>'A) Base RI'!B191</f>
        <v>Coppet</v>
      </c>
      <c r="C189" s="95">
        <f>'B) D RI'!U191</f>
        <v>382004.08345911955</v>
      </c>
      <c r="D189" s="110">
        <f>'E) Fact soc'!G195/C189</f>
        <v>27.685039046834849</v>
      </c>
      <c r="E189" s="136">
        <f>'H) Péréquation directe'!I200/C189</f>
        <v>16.701069334748158</v>
      </c>
      <c r="F189" s="415">
        <f>+'I) Dépenses thématiques'!U189</f>
        <v>0</v>
      </c>
      <c r="G189" s="136">
        <f t="shared" si="9"/>
        <v>44.386108381583007</v>
      </c>
      <c r="H189" s="110">
        <f t="shared" si="10"/>
        <v>44.386108381583007</v>
      </c>
      <c r="I189" s="136">
        <f t="shared" si="11"/>
        <v>0</v>
      </c>
      <c r="J189" s="55">
        <f t="shared" si="12"/>
        <v>0</v>
      </c>
      <c r="K189" s="36"/>
    </row>
    <row r="190" spans="1:11" x14ac:dyDescent="0.25">
      <c r="A190" s="49">
        <f>'A) Base RI'!A192</f>
        <v>5713</v>
      </c>
      <c r="B190" s="292" t="str">
        <f>'A) Base RI'!B192</f>
        <v>Crans-près-Céligny</v>
      </c>
      <c r="C190" s="95">
        <f>'B) D RI'!U192</f>
        <v>308668.8301785714</v>
      </c>
      <c r="D190" s="110">
        <f>'E) Fact soc'!G196/C190</f>
        <v>31.004831942654175</v>
      </c>
      <c r="E190" s="136">
        <f>'H) Péréquation directe'!I201/C190</f>
        <v>17.255139032375595</v>
      </c>
      <c r="F190" s="415">
        <f>+'I) Dépenses thématiques'!U190</f>
        <v>0</v>
      </c>
      <c r="G190" s="136">
        <f t="shared" si="9"/>
        <v>48.259970975029773</v>
      </c>
      <c r="H190" s="110">
        <f t="shared" si="10"/>
        <v>48.259970975029773</v>
      </c>
      <c r="I190" s="136">
        <f t="shared" si="11"/>
        <v>0</v>
      </c>
      <c r="J190" s="55">
        <f t="shared" si="12"/>
        <v>0</v>
      </c>
      <c r="K190" s="36"/>
    </row>
    <row r="191" spans="1:11" x14ac:dyDescent="0.25">
      <c r="A191" s="49">
        <f>'A) Base RI'!A193</f>
        <v>5714</v>
      </c>
      <c r="B191" s="292" t="str">
        <f>'A) Base RI'!B193</f>
        <v>Crassier</v>
      </c>
      <c r="C191" s="95">
        <f>'B) D RI'!U193</f>
        <v>53429.691617647055</v>
      </c>
      <c r="D191" s="110">
        <f>'E) Fact soc'!G197/C191</f>
        <v>16.568265531689264</v>
      </c>
      <c r="E191" s="136">
        <f>'H) Péréquation directe'!I202/C191</f>
        <v>14.628998223604579</v>
      </c>
      <c r="F191" s="415">
        <f>+'I) Dépenses thématiques'!U191</f>
        <v>0</v>
      </c>
      <c r="G191" s="136">
        <f t="shared" si="9"/>
        <v>31.197263755293843</v>
      </c>
      <c r="H191" s="110">
        <f t="shared" si="10"/>
        <v>31.197263755293843</v>
      </c>
      <c r="I191" s="136">
        <f t="shared" si="11"/>
        <v>0</v>
      </c>
      <c r="J191" s="55">
        <f t="shared" si="12"/>
        <v>0</v>
      </c>
      <c r="K191" s="36"/>
    </row>
    <row r="192" spans="1:11" x14ac:dyDescent="0.25">
      <c r="A192" s="49">
        <f>'A) Base RI'!A194</f>
        <v>5715</v>
      </c>
      <c r="B192" s="292" t="str">
        <f>'A) Base RI'!B194</f>
        <v>Duillier</v>
      </c>
      <c r="C192" s="95">
        <f>'B) D RI'!U194</f>
        <v>61573.714242424234</v>
      </c>
      <c r="D192" s="110">
        <f>'E) Fact soc'!G198/C192</f>
        <v>18.927821424268451</v>
      </c>
      <c r="E192" s="136">
        <f>'H) Péréquation directe'!I203/C192</f>
        <v>16.428567800862321</v>
      </c>
      <c r="F192" s="415">
        <f>+'I) Dépenses thématiques'!U192</f>
        <v>0</v>
      </c>
      <c r="G192" s="136">
        <f t="shared" si="9"/>
        <v>35.356389225130769</v>
      </c>
      <c r="H192" s="110">
        <f t="shared" si="10"/>
        <v>35.356389225130769</v>
      </c>
      <c r="I192" s="136">
        <f t="shared" si="11"/>
        <v>0</v>
      </c>
      <c r="J192" s="55">
        <f t="shared" si="12"/>
        <v>0</v>
      </c>
      <c r="K192" s="36"/>
    </row>
    <row r="193" spans="1:11" x14ac:dyDescent="0.25">
      <c r="A193" s="49">
        <f>'A) Base RI'!A195</f>
        <v>5716</v>
      </c>
      <c r="B193" s="292" t="str">
        <f>'A) Base RI'!B195</f>
        <v>Eysins</v>
      </c>
      <c r="C193" s="95">
        <f>'B) D RI'!U195</f>
        <v>311499.41949579836</v>
      </c>
      <c r="D193" s="110">
        <f>'E) Fact soc'!G199/C193</f>
        <v>36.381608426382179</v>
      </c>
      <c r="E193" s="136">
        <f>'H) Péréquation directe'!I204/C193</f>
        <v>17.941217947573126</v>
      </c>
      <c r="F193" s="415">
        <f>+'I) Dépenses thématiques'!U193</f>
        <v>0</v>
      </c>
      <c r="G193" s="136">
        <f t="shared" si="9"/>
        <v>54.322826373955309</v>
      </c>
      <c r="H193" s="110">
        <f t="shared" si="10"/>
        <v>54.322826373955309</v>
      </c>
      <c r="I193" s="136">
        <f t="shared" si="11"/>
        <v>0</v>
      </c>
      <c r="J193" s="55">
        <f t="shared" si="12"/>
        <v>0</v>
      </c>
      <c r="K193" s="36"/>
    </row>
    <row r="194" spans="1:11" x14ac:dyDescent="0.25">
      <c r="A194" s="49">
        <f>'A) Base RI'!A196</f>
        <v>5717</v>
      </c>
      <c r="B194" s="292" t="str">
        <f>'A) Base RI'!B196</f>
        <v>Founex</v>
      </c>
      <c r="C194" s="95">
        <f>'B) D RI'!U196</f>
        <v>386801.60228070174</v>
      </c>
      <c r="D194" s="110">
        <f>'E) Fact soc'!G200/C194</f>
        <v>26.764813750442233</v>
      </c>
      <c r="E194" s="136">
        <f>'H) Péréquation directe'!I205/C194</f>
        <v>15.978937729574087</v>
      </c>
      <c r="F194" s="415">
        <f>+'I) Dépenses thématiques'!U194</f>
        <v>0</v>
      </c>
      <c r="G194" s="136">
        <f t="shared" si="9"/>
        <v>42.743751480016321</v>
      </c>
      <c r="H194" s="110">
        <f t="shared" si="10"/>
        <v>42.743751480016321</v>
      </c>
      <c r="I194" s="136">
        <f t="shared" si="11"/>
        <v>0</v>
      </c>
      <c r="J194" s="55">
        <f t="shared" si="12"/>
        <v>0</v>
      </c>
      <c r="K194" s="36"/>
    </row>
    <row r="195" spans="1:11" x14ac:dyDescent="0.25">
      <c r="A195" s="49">
        <f>'A) Base RI'!A197</f>
        <v>5718</v>
      </c>
      <c r="B195" s="292" t="str">
        <f>'A) Base RI'!B197</f>
        <v>Genolier</v>
      </c>
      <c r="C195" s="95">
        <f>'B) D RI'!U197</f>
        <v>245082.27927272729</v>
      </c>
      <c r="D195" s="110">
        <f>'E) Fact soc'!G201/C195</f>
        <v>28.565790025035547</v>
      </c>
      <c r="E195" s="136">
        <f>'H) Péréquation directe'!I206/C195</f>
        <v>17.247183881039366</v>
      </c>
      <c r="F195" s="415">
        <f>+'I) Dépenses thématiques'!U195</f>
        <v>0</v>
      </c>
      <c r="G195" s="136">
        <f t="shared" si="9"/>
        <v>45.812973906074916</v>
      </c>
      <c r="H195" s="110">
        <f t="shared" si="10"/>
        <v>45.812973906074916</v>
      </c>
      <c r="I195" s="136">
        <f t="shared" si="11"/>
        <v>0</v>
      </c>
      <c r="J195" s="55">
        <f t="shared" si="12"/>
        <v>0</v>
      </c>
      <c r="K195" s="36"/>
    </row>
    <row r="196" spans="1:11" x14ac:dyDescent="0.25">
      <c r="A196" s="49">
        <f>'A) Base RI'!A198</f>
        <v>5719</v>
      </c>
      <c r="B196" s="292" t="str">
        <f>'A) Base RI'!B198</f>
        <v>Gingins</v>
      </c>
      <c r="C196" s="95">
        <f>'B) D RI'!U198</f>
        <v>145761.41602339179</v>
      </c>
      <c r="D196" s="110">
        <f>'E) Fact soc'!G202/C196</f>
        <v>27.670649987809448</v>
      </c>
      <c r="E196" s="136">
        <f>'H) Péréquation directe'!I207/C196</f>
        <v>17.701242007978145</v>
      </c>
      <c r="F196" s="415">
        <f>+'I) Dépenses thématiques'!U196</f>
        <v>0</v>
      </c>
      <c r="G196" s="136">
        <f t="shared" si="9"/>
        <v>45.371891995787593</v>
      </c>
      <c r="H196" s="110">
        <f t="shared" si="10"/>
        <v>45.371891995787593</v>
      </c>
      <c r="I196" s="136">
        <f t="shared" si="11"/>
        <v>0</v>
      </c>
      <c r="J196" s="55">
        <f t="shared" si="12"/>
        <v>0</v>
      </c>
      <c r="K196" s="36"/>
    </row>
    <row r="197" spans="1:11" x14ac:dyDescent="0.25">
      <c r="A197" s="49">
        <f>'A) Base RI'!A199</f>
        <v>5720</v>
      </c>
      <c r="B197" s="292" t="str">
        <f>'A) Base RI'!B199</f>
        <v>Givrins</v>
      </c>
      <c r="C197" s="95">
        <f>'B) D RI'!U199</f>
        <v>84172.254543946925</v>
      </c>
      <c r="D197" s="110">
        <f>'E) Fact soc'!G203/C197</f>
        <v>25.094235162607315</v>
      </c>
      <c r="E197" s="136">
        <f>'H) Péréquation directe'!I208/C197</f>
        <v>17.563080823241101</v>
      </c>
      <c r="F197" s="415">
        <f>+'I) Dépenses thématiques'!U197</f>
        <v>-0.64559348429556396</v>
      </c>
      <c r="G197" s="136">
        <f t="shared" si="9"/>
        <v>42.011722501552846</v>
      </c>
      <c r="H197" s="110">
        <f t="shared" si="10"/>
        <v>42.657315985848413</v>
      </c>
      <c r="I197" s="136">
        <f t="shared" si="11"/>
        <v>0</v>
      </c>
      <c r="J197" s="55">
        <f t="shared" si="12"/>
        <v>0</v>
      </c>
      <c r="K197" s="36"/>
    </row>
    <row r="198" spans="1:11" x14ac:dyDescent="0.25">
      <c r="A198" s="49">
        <f>'A) Base RI'!A200</f>
        <v>5721</v>
      </c>
      <c r="B198" s="292" t="str">
        <f>'A) Base RI'!B200</f>
        <v>Gland</v>
      </c>
      <c r="C198" s="95">
        <f>'B) D RI'!U200</f>
        <v>651107.04049180343</v>
      </c>
      <c r="D198" s="110">
        <f>'E) Fact soc'!G204/C198</f>
        <v>17.145480398018751</v>
      </c>
      <c r="E198" s="136">
        <f>'H) Péréquation directe'!I209/C198</f>
        <v>6.9487420156126305</v>
      </c>
      <c r="F198" s="415">
        <f>+'I) Dépenses thématiques'!U198</f>
        <v>0</v>
      </c>
      <c r="G198" s="136">
        <f t="shared" ref="G198:G261" si="13">SUM(D198:F198)</f>
        <v>24.094222413631382</v>
      </c>
      <c r="H198" s="110">
        <f t="shared" ref="H198:H261" si="14">G198-F198</f>
        <v>24.094222413631382</v>
      </c>
      <c r="I198" s="136">
        <f t="shared" ref="I198:I261" si="15">IF(H198&lt;I$4,H198-I$4,0)</f>
        <v>0</v>
      </c>
      <c r="J198" s="55">
        <f t="shared" ref="J198:J261" si="16">-I198*C198</f>
        <v>0</v>
      </c>
      <c r="K198" s="36"/>
    </row>
    <row r="199" spans="1:11" x14ac:dyDescent="0.25">
      <c r="A199" s="49">
        <f>'A) Base RI'!A201</f>
        <v>5722</v>
      </c>
      <c r="B199" s="292" t="str">
        <f>'A) Base RI'!B201</f>
        <v>Grens</v>
      </c>
      <c r="C199" s="95">
        <f>'B) D RI'!U201</f>
        <v>25525.601935483872</v>
      </c>
      <c r="D199" s="110">
        <f>'E) Fact soc'!G205/C199</f>
        <v>17.492975724766158</v>
      </c>
      <c r="E199" s="136">
        <f>'H) Péréquation directe'!I210/C199</f>
        <v>17.196702832222964</v>
      </c>
      <c r="F199" s="415">
        <f>+'I) Dépenses thématiques'!U199</f>
        <v>0</v>
      </c>
      <c r="G199" s="136">
        <f t="shared" si="13"/>
        <v>34.689678556989122</v>
      </c>
      <c r="H199" s="110">
        <f t="shared" si="14"/>
        <v>34.689678556989122</v>
      </c>
      <c r="I199" s="136">
        <f t="shared" si="15"/>
        <v>0</v>
      </c>
      <c r="J199" s="55">
        <f t="shared" si="16"/>
        <v>0</v>
      </c>
      <c r="K199" s="36"/>
    </row>
    <row r="200" spans="1:11" x14ac:dyDescent="0.25">
      <c r="A200" s="49">
        <f>'A) Base RI'!A202</f>
        <v>5723</v>
      </c>
      <c r="B200" s="292" t="str">
        <f>'A) Base RI'!B202</f>
        <v>Mies</v>
      </c>
      <c r="C200" s="95">
        <f>'B) D RI'!U202</f>
        <v>197805.17519230774</v>
      </c>
      <c r="D200" s="110">
        <f>'E) Fact soc'!G206/C200</f>
        <v>24.645821718982173</v>
      </c>
      <c r="E200" s="136">
        <f>'H) Péréquation directe'!I211/C200</f>
        <v>16.48012711428683</v>
      </c>
      <c r="F200" s="415">
        <f>+'I) Dépenses thématiques'!U200</f>
        <v>0</v>
      </c>
      <c r="G200" s="136">
        <f t="shared" si="13"/>
        <v>41.125948833269007</v>
      </c>
      <c r="H200" s="110">
        <f t="shared" si="14"/>
        <v>41.125948833269007</v>
      </c>
      <c r="I200" s="136">
        <f t="shared" si="15"/>
        <v>0</v>
      </c>
      <c r="J200" s="55">
        <f t="shared" si="16"/>
        <v>0</v>
      </c>
      <c r="K200" s="36"/>
    </row>
    <row r="201" spans="1:11" x14ac:dyDescent="0.25">
      <c r="A201" s="49">
        <f>'A) Base RI'!A203</f>
        <v>5724</v>
      </c>
      <c r="B201" s="292" t="str">
        <f>'A) Base RI'!B203</f>
        <v>Nyon</v>
      </c>
      <c r="C201" s="95">
        <f>'B) D RI'!U203</f>
        <v>1415730.6761202184</v>
      </c>
      <c r="D201" s="110">
        <f>'E) Fact soc'!G207/C201</f>
        <v>23.029210501674772</v>
      </c>
      <c r="E201" s="136">
        <f>'H) Péréquation directe'!I212/C201</f>
        <v>7.3542444193210077</v>
      </c>
      <c r="F201" s="415">
        <f>+'I) Dépenses thématiques'!U201</f>
        <v>-0.80445522760006904</v>
      </c>
      <c r="G201" s="136">
        <f t="shared" si="13"/>
        <v>29.578999693395712</v>
      </c>
      <c r="H201" s="110">
        <f t="shared" si="14"/>
        <v>30.383454920995781</v>
      </c>
      <c r="I201" s="136">
        <f t="shared" si="15"/>
        <v>0</v>
      </c>
      <c r="J201" s="55">
        <f t="shared" si="16"/>
        <v>0</v>
      </c>
      <c r="K201" s="36"/>
    </row>
    <row r="202" spans="1:11" x14ac:dyDescent="0.25">
      <c r="A202" s="49">
        <f>'A) Base RI'!A204</f>
        <v>5725</v>
      </c>
      <c r="B202" s="292" t="str">
        <f>'A) Base RI'!B204</f>
        <v>Prangins</v>
      </c>
      <c r="C202" s="95">
        <f>'B) D RI'!U204</f>
        <v>312804.93402597401</v>
      </c>
      <c r="D202" s="110">
        <f>'E) Fact soc'!G208/C202</f>
        <v>22.072585737438224</v>
      </c>
      <c r="E202" s="136">
        <f>'H) Péréquation directe'!I213/C202</f>
        <v>14.802125186054063</v>
      </c>
      <c r="F202" s="415">
        <f>+'I) Dépenses thématiques'!U202</f>
        <v>0</v>
      </c>
      <c r="G202" s="136">
        <f t="shared" si="13"/>
        <v>36.874710923492287</v>
      </c>
      <c r="H202" s="110">
        <f t="shared" si="14"/>
        <v>36.874710923492287</v>
      </c>
      <c r="I202" s="136">
        <f t="shared" si="15"/>
        <v>0</v>
      </c>
      <c r="J202" s="55">
        <f t="shared" si="16"/>
        <v>0</v>
      </c>
      <c r="K202" s="36"/>
    </row>
    <row r="203" spans="1:11" x14ac:dyDescent="0.25">
      <c r="A203" s="49">
        <f>'A) Base RI'!A205</f>
        <v>5726</v>
      </c>
      <c r="B203" s="292" t="str">
        <f>'A) Base RI'!B205</f>
        <v>La Rippe</v>
      </c>
      <c r="C203" s="95">
        <f>'B) D RI'!U205</f>
        <v>66324.764153846147</v>
      </c>
      <c r="D203" s="110">
        <f>'E) Fact soc'!G209/C203</f>
        <v>20.086521849504422</v>
      </c>
      <c r="E203" s="136">
        <f>'H) Péréquation directe'!I214/C203</f>
        <v>16.608814689664996</v>
      </c>
      <c r="F203" s="415">
        <f>+'I) Dépenses thématiques'!U203</f>
        <v>0</v>
      </c>
      <c r="G203" s="136">
        <f t="shared" si="13"/>
        <v>36.695336539169418</v>
      </c>
      <c r="H203" s="110">
        <f t="shared" si="14"/>
        <v>36.695336539169418</v>
      </c>
      <c r="I203" s="136">
        <f t="shared" si="15"/>
        <v>0</v>
      </c>
      <c r="J203" s="55">
        <f t="shared" si="16"/>
        <v>0</v>
      </c>
      <c r="K203" s="36"/>
    </row>
    <row r="204" spans="1:11" x14ac:dyDescent="0.25">
      <c r="A204" s="49">
        <f>'A) Base RI'!A206</f>
        <v>5727</v>
      </c>
      <c r="B204" s="292" t="str">
        <f>'A) Base RI'!B206</f>
        <v>Saint-Cergue</v>
      </c>
      <c r="C204" s="95">
        <f>'B) D RI'!U206</f>
        <v>105125.05141414142</v>
      </c>
      <c r="D204" s="110">
        <f>'E) Fact soc'!G210/C204</f>
        <v>17.146817724793387</v>
      </c>
      <c r="E204" s="136">
        <f>'H) Péréquation directe'!I215/C204</f>
        <v>8.5194087187366261</v>
      </c>
      <c r="F204" s="415">
        <f>+'I) Dépenses thématiques'!U204</f>
        <v>-1.959470542408142</v>
      </c>
      <c r="G204" s="136">
        <f t="shared" si="13"/>
        <v>23.706755901121873</v>
      </c>
      <c r="H204" s="110">
        <f t="shared" si="14"/>
        <v>25.666226443530014</v>
      </c>
      <c r="I204" s="136">
        <f t="shared" si="15"/>
        <v>0</v>
      </c>
      <c r="J204" s="55">
        <f t="shared" si="16"/>
        <v>0</v>
      </c>
      <c r="K204" s="36"/>
    </row>
    <row r="205" spans="1:11" x14ac:dyDescent="0.25">
      <c r="A205" s="49">
        <f>'A) Base RI'!A207</f>
        <v>5728</v>
      </c>
      <c r="B205" s="292" t="str">
        <f>'A) Base RI'!B207</f>
        <v>Signy-Avenex</v>
      </c>
      <c r="C205" s="95">
        <f>'B) D RI'!U207</f>
        <v>49286.820862068969</v>
      </c>
      <c r="D205" s="110">
        <f>'E) Fact soc'!G211/C205</f>
        <v>23.686606303154591</v>
      </c>
      <c r="E205" s="136">
        <f>'H) Péréquation directe'!I216/C205</f>
        <v>17.702385178611507</v>
      </c>
      <c r="F205" s="415">
        <f>+'I) Dépenses thématiques'!U205</f>
        <v>0</v>
      </c>
      <c r="G205" s="136">
        <f t="shared" si="13"/>
        <v>41.388991481766098</v>
      </c>
      <c r="H205" s="110">
        <f t="shared" si="14"/>
        <v>41.388991481766098</v>
      </c>
      <c r="I205" s="136">
        <f t="shared" si="15"/>
        <v>0</v>
      </c>
      <c r="J205" s="55">
        <f t="shared" si="16"/>
        <v>0</v>
      </c>
      <c r="K205" s="36"/>
    </row>
    <row r="206" spans="1:11" x14ac:dyDescent="0.25">
      <c r="A206" s="49">
        <f>'A) Base RI'!A208</f>
        <v>5729</v>
      </c>
      <c r="B206" s="292" t="str">
        <f>'A) Base RI'!B208</f>
        <v>Tannay</v>
      </c>
      <c r="C206" s="95">
        <f>'B) D RI'!U208</f>
        <v>130826.66865013774</v>
      </c>
      <c r="D206" s="110">
        <f>'E) Fact soc'!G212/C206</f>
        <v>24.907857444845394</v>
      </c>
      <c r="E206" s="136">
        <f>'H) Péréquation directe'!I217/C206</f>
        <v>16.52847679866602</v>
      </c>
      <c r="F206" s="415">
        <f>+'I) Dépenses thématiques'!U206</f>
        <v>0</v>
      </c>
      <c r="G206" s="136">
        <f t="shared" si="13"/>
        <v>41.436334243511411</v>
      </c>
      <c r="H206" s="110">
        <f t="shared" si="14"/>
        <v>41.436334243511411</v>
      </c>
      <c r="I206" s="136">
        <f t="shared" si="15"/>
        <v>0</v>
      </c>
      <c r="J206" s="55">
        <f t="shared" si="16"/>
        <v>0</v>
      </c>
      <c r="K206" s="36"/>
    </row>
    <row r="207" spans="1:11" x14ac:dyDescent="0.25">
      <c r="A207" s="49">
        <f>'A) Base RI'!A209</f>
        <v>5730</v>
      </c>
      <c r="B207" s="292" t="str">
        <f>'A) Base RI'!B209</f>
        <v>Trélex</v>
      </c>
      <c r="C207" s="95">
        <f>'B) D RI'!U209</f>
        <v>111625.98756756757</v>
      </c>
      <c r="D207" s="110">
        <f>'E) Fact soc'!G213/C207</f>
        <v>23.098045693826364</v>
      </c>
      <c r="E207" s="136">
        <f>'H) Péréquation directe'!I218/C207</f>
        <v>16.669190408791358</v>
      </c>
      <c r="F207" s="415">
        <f>+'I) Dépenses thématiques'!U207</f>
        <v>0</v>
      </c>
      <c r="G207" s="136">
        <f t="shared" si="13"/>
        <v>39.767236102617723</v>
      </c>
      <c r="H207" s="110">
        <f t="shared" si="14"/>
        <v>39.767236102617723</v>
      </c>
      <c r="I207" s="136">
        <f t="shared" si="15"/>
        <v>0</v>
      </c>
      <c r="J207" s="55">
        <f t="shared" si="16"/>
        <v>0</v>
      </c>
      <c r="K207" s="36"/>
    </row>
    <row r="208" spans="1:11" x14ac:dyDescent="0.25">
      <c r="A208" s="49">
        <f>'A) Base RI'!A210</f>
        <v>5731</v>
      </c>
      <c r="B208" s="292" t="str">
        <f>'A) Base RI'!B210</f>
        <v>Le Vaud</v>
      </c>
      <c r="C208" s="95">
        <f>'B) D RI'!U210</f>
        <v>63942.206576576558</v>
      </c>
      <c r="D208" s="110">
        <f>'E) Fact soc'!G214/C208</f>
        <v>15.890878576568227</v>
      </c>
      <c r="E208" s="136">
        <f>'H) Péréquation directe'!I219/C208</f>
        <v>14.599545811137416</v>
      </c>
      <c r="F208" s="415">
        <f>+'I) Dépenses thématiques'!U208</f>
        <v>-0.74838057943464664</v>
      </c>
      <c r="G208" s="136">
        <f t="shared" si="13"/>
        <v>29.742043808270999</v>
      </c>
      <c r="H208" s="110">
        <f t="shared" si="14"/>
        <v>30.490424387705644</v>
      </c>
      <c r="I208" s="136">
        <f t="shared" si="15"/>
        <v>0</v>
      </c>
      <c r="J208" s="55">
        <f t="shared" si="16"/>
        <v>0</v>
      </c>
      <c r="K208" s="36"/>
    </row>
    <row r="209" spans="1:11" x14ac:dyDescent="0.25">
      <c r="A209" s="49">
        <f>'A) Base RI'!A211</f>
        <v>5732</v>
      </c>
      <c r="B209" s="292" t="str">
        <f>'A) Base RI'!B211</f>
        <v>Vich</v>
      </c>
      <c r="C209" s="95">
        <f>'B) D RI'!U211</f>
        <v>71006.972380952371</v>
      </c>
      <c r="D209" s="110">
        <f>'E) Fact soc'!G215/C209</f>
        <v>20.842599563729117</v>
      </c>
      <c r="E209" s="136">
        <f>'H) Péréquation directe'!I220/C209</f>
        <v>16.655071217558067</v>
      </c>
      <c r="F209" s="415">
        <f>+'I) Dépenses thématiques'!U209</f>
        <v>0</v>
      </c>
      <c r="G209" s="136">
        <f t="shared" si="13"/>
        <v>37.497670781287184</v>
      </c>
      <c r="H209" s="110">
        <f t="shared" si="14"/>
        <v>37.497670781287184</v>
      </c>
      <c r="I209" s="136">
        <f t="shared" si="15"/>
        <v>0</v>
      </c>
      <c r="J209" s="55">
        <f t="shared" si="16"/>
        <v>0</v>
      </c>
      <c r="K209" s="36"/>
    </row>
    <row r="210" spans="1:11" x14ac:dyDescent="0.25">
      <c r="A210" s="49">
        <f>'A) Base RI'!A212</f>
        <v>5741</v>
      </c>
      <c r="B210" s="292" t="str">
        <f>'A) Base RI'!B212</f>
        <v>L'Abergement</v>
      </c>
      <c r="C210" s="95">
        <f>'B) D RI'!U212</f>
        <v>7368.9297325102852</v>
      </c>
      <c r="D210" s="110">
        <f>'E) Fact soc'!G216/C210</f>
        <v>16.937249447128774</v>
      </c>
      <c r="E210" s="136">
        <f>'H) Péréquation directe'!I221/C210</f>
        <v>-2.8701619826282792</v>
      </c>
      <c r="F210" s="415">
        <f>+'I) Dépenses thématiques'!U210</f>
        <v>-14.591769525386161</v>
      </c>
      <c r="G210" s="136">
        <f t="shared" si="13"/>
        <v>-0.52468206088566482</v>
      </c>
      <c r="H210" s="110">
        <f t="shared" si="14"/>
        <v>14.067087464500496</v>
      </c>
      <c r="I210" s="136">
        <f t="shared" si="15"/>
        <v>0</v>
      </c>
      <c r="J210" s="55">
        <f t="shared" si="16"/>
        <v>0</v>
      </c>
      <c r="K210" s="36"/>
    </row>
    <row r="211" spans="1:11" x14ac:dyDescent="0.25">
      <c r="A211" s="49">
        <f>'A) Base RI'!A213</f>
        <v>5742</v>
      </c>
      <c r="B211" s="292" t="str">
        <f>'A) Base RI'!B213</f>
        <v>Agiez</v>
      </c>
      <c r="C211" s="95">
        <f>'B) D RI'!U213</f>
        <v>8960.136710526318</v>
      </c>
      <c r="D211" s="110">
        <f>'E) Fact soc'!G217/C211</f>
        <v>15.292134034191372</v>
      </c>
      <c r="E211" s="136">
        <f>'H) Péréquation directe'!I222/C211</f>
        <v>-9.8462147698156031</v>
      </c>
      <c r="F211" s="415">
        <f>+'I) Dépenses thématiques'!U211</f>
        <v>-3.9002560265505788</v>
      </c>
      <c r="G211" s="136">
        <f t="shared" si="13"/>
        <v>1.5456632378251904</v>
      </c>
      <c r="H211" s="110">
        <f t="shared" si="14"/>
        <v>5.4459192643757692</v>
      </c>
      <c r="I211" s="136">
        <f t="shared" si="15"/>
        <v>0</v>
      </c>
      <c r="J211" s="55">
        <f t="shared" si="16"/>
        <v>0</v>
      </c>
      <c r="K211" s="36"/>
    </row>
    <row r="212" spans="1:11" x14ac:dyDescent="0.25">
      <c r="A212" s="49">
        <f>'A) Base RI'!A214</f>
        <v>5743</v>
      </c>
      <c r="B212" s="292" t="str">
        <f>'A) Base RI'!B214</f>
        <v>Arnex-sur-Orbe</v>
      </c>
      <c r="C212" s="95">
        <f>'B) D RI'!U214</f>
        <v>20549.584577464786</v>
      </c>
      <c r="D212" s="110">
        <f>'E) Fact soc'!G218/C212</f>
        <v>15.118464070351266</v>
      </c>
      <c r="E212" s="136">
        <f>'H) Péréquation directe'!I223/C212</f>
        <v>5.3463716307347537</v>
      </c>
      <c r="F212" s="415">
        <f>+'I) Dépenses thématiques'!U212</f>
        <v>-4.1218104539250477</v>
      </c>
      <c r="G212" s="136">
        <f t="shared" si="13"/>
        <v>16.343025247160973</v>
      </c>
      <c r="H212" s="110">
        <f t="shared" si="14"/>
        <v>20.46483570108602</v>
      </c>
      <c r="I212" s="136">
        <f t="shared" si="15"/>
        <v>0</v>
      </c>
      <c r="J212" s="55">
        <f t="shared" si="16"/>
        <v>0</v>
      </c>
      <c r="K212" s="36"/>
    </row>
    <row r="213" spans="1:11" x14ac:dyDescent="0.25">
      <c r="A213" s="49">
        <f>'A) Base RI'!A215</f>
        <v>5744</v>
      </c>
      <c r="B213" s="292" t="str">
        <f>'A) Base RI'!B215</f>
        <v>Ballaigues</v>
      </c>
      <c r="C213" s="95">
        <f>'B) D RI'!U215</f>
        <v>40453.358769230777</v>
      </c>
      <c r="D213" s="110">
        <f>'E) Fact soc'!G219/C213</f>
        <v>24.916569072707954</v>
      </c>
      <c r="E213" s="136">
        <f>'H) Péréquation directe'!I224/C213</f>
        <v>8.7521621498508857</v>
      </c>
      <c r="F213" s="415">
        <f>+'I) Dépenses thématiques'!U213</f>
        <v>-9.2416572982328198</v>
      </c>
      <c r="G213" s="136">
        <f t="shared" si="13"/>
        <v>24.42707392432602</v>
      </c>
      <c r="H213" s="110">
        <f t="shared" si="14"/>
        <v>33.66873122255884</v>
      </c>
      <c r="I213" s="136">
        <f t="shared" si="15"/>
        <v>0</v>
      </c>
      <c r="J213" s="55">
        <f t="shared" si="16"/>
        <v>0</v>
      </c>
      <c r="K213" s="36"/>
    </row>
    <row r="214" spans="1:11" x14ac:dyDescent="0.25">
      <c r="A214" s="49">
        <f>'A) Base RI'!A216</f>
        <v>5745</v>
      </c>
      <c r="B214" s="292" t="str">
        <f>'A) Base RI'!B216</f>
        <v>Baulmes</v>
      </c>
      <c r="C214" s="95">
        <f>'B) D RI'!U216</f>
        <v>26827.589150326792</v>
      </c>
      <c r="D214" s="110">
        <f>'E) Fact soc'!G220/C214</f>
        <v>17.456623570577918</v>
      </c>
      <c r="E214" s="136">
        <f>'H) Péréquation directe'!I225/C214</f>
        <v>-8.2134716757544197</v>
      </c>
      <c r="F214" s="415">
        <f>+'I) Dépenses thématiques'!U214</f>
        <v>-15.579028398465057</v>
      </c>
      <c r="G214" s="136">
        <f t="shared" si="13"/>
        <v>-6.3358765036415594</v>
      </c>
      <c r="H214" s="110">
        <f t="shared" si="14"/>
        <v>9.2431518948234981</v>
      </c>
      <c r="I214" s="136">
        <f t="shared" si="15"/>
        <v>0</v>
      </c>
      <c r="J214" s="55">
        <f t="shared" si="16"/>
        <v>0</v>
      </c>
      <c r="K214" s="36"/>
    </row>
    <row r="215" spans="1:11" x14ac:dyDescent="0.25">
      <c r="A215" s="49">
        <f>'A) Base RI'!A217</f>
        <v>5746</v>
      </c>
      <c r="B215" s="292" t="str">
        <f>'A) Base RI'!B217</f>
        <v>Bavois</v>
      </c>
      <c r="C215" s="95">
        <f>'B) D RI'!U217</f>
        <v>30466.611141552505</v>
      </c>
      <c r="D215" s="110">
        <f>'E) Fact soc'!G221/C215</f>
        <v>20.240277921723933</v>
      </c>
      <c r="E215" s="136">
        <f>'H) Péréquation directe'!I226/C215</f>
        <v>2.8984084018712322</v>
      </c>
      <c r="F215" s="415">
        <f>+'I) Dépenses thématiques'!U215</f>
        <v>-5.9675204422901897</v>
      </c>
      <c r="G215" s="136">
        <f t="shared" si="13"/>
        <v>17.171165881304976</v>
      </c>
      <c r="H215" s="110">
        <f t="shared" si="14"/>
        <v>23.138686323595167</v>
      </c>
      <c r="I215" s="136">
        <f t="shared" si="15"/>
        <v>0</v>
      </c>
      <c r="J215" s="55">
        <f t="shared" si="16"/>
        <v>0</v>
      </c>
      <c r="K215" s="36"/>
    </row>
    <row r="216" spans="1:11" x14ac:dyDescent="0.25">
      <c r="A216" s="49">
        <f>'A) Base RI'!A218</f>
        <v>5747</v>
      </c>
      <c r="B216" s="292" t="str">
        <f>'A) Base RI'!B218</f>
        <v>Bofflens</v>
      </c>
      <c r="C216" s="95">
        <f>'B) D RI'!U218</f>
        <v>5608.7786956521741</v>
      </c>
      <c r="D216" s="110">
        <f>'E) Fact soc'!G222/C216</f>
        <v>17.857785794522059</v>
      </c>
      <c r="E216" s="136">
        <f>'H) Péréquation directe'!I227/C216</f>
        <v>-8.2221126613272563E-2</v>
      </c>
      <c r="F216" s="415">
        <f>+'I) Dépenses thématiques'!U216</f>
        <v>-4.4126946647534133</v>
      </c>
      <c r="G216" s="136">
        <f t="shared" si="13"/>
        <v>13.362870003155372</v>
      </c>
      <c r="H216" s="110">
        <f t="shared" si="14"/>
        <v>17.775564667908785</v>
      </c>
      <c r="I216" s="136">
        <f t="shared" si="15"/>
        <v>0</v>
      </c>
      <c r="J216" s="55">
        <f t="shared" si="16"/>
        <v>0</v>
      </c>
      <c r="K216" s="36"/>
    </row>
    <row r="217" spans="1:11" x14ac:dyDescent="0.25">
      <c r="A217" s="49">
        <f>'A) Base RI'!A219</f>
        <v>5748</v>
      </c>
      <c r="B217" s="292" t="str">
        <f>'A) Base RI'!B219</f>
        <v>Bretonnières</v>
      </c>
      <c r="C217" s="95">
        <f>'B) D RI'!U219</f>
        <v>5789.9884160756492</v>
      </c>
      <c r="D217" s="110">
        <f>'E) Fact soc'!G223/C217</f>
        <v>15.99662074619957</v>
      </c>
      <c r="E217" s="136">
        <f>'H) Péréquation directe'!I228/C217</f>
        <v>-11.094630406225953</v>
      </c>
      <c r="F217" s="415">
        <f>+'I) Dépenses thématiques'!U217</f>
        <v>-8.7100050237527906</v>
      </c>
      <c r="G217" s="136">
        <f t="shared" si="13"/>
        <v>-3.8080146837791737</v>
      </c>
      <c r="H217" s="110">
        <f t="shared" si="14"/>
        <v>4.9019903399736169</v>
      </c>
      <c r="I217" s="136">
        <f t="shared" si="15"/>
        <v>0</v>
      </c>
      <c r="J217" s="55">
        <f t="shared" si="16"/>
        <v>0</v>
      </c>
      <c r="K217" s="36"/>
    </row>
    <row r="218" spans="1:11" x14ac:dyDescent="0.25">
      <c r="A218" s="49">
        <f>'A) Base RI'!A220</f>
        <v>5749</v>
      </c>
      <c r="B218" s="292" t="str">
        <f>'A) Base RI'!B220</f>
        <v>Chavornay</v>
      </c>
      <c r="C218" s="95">
        <f>'B) D RI'!U220</f>
        <v>140676.80723404256</v>
      </c>
      <c r="D218" s="110">
        <f>'E) Fact soc'!G224/C218</f>
        <v>17.684034699861478</v>
      </c>
      <c r="E218" s="136">
        <f>'H) Péréquation directe'!I229/C218</f>
        <v>-10.413924082049405</v>
      </c>
      <c r="F218" s="415">
        <f>+'I) Dépenses thématiques'!U218</f>
        <v>-4.4201461733184662</v>
      </c>
      <c r="G218" s="136">
        <f t="shared" si="13"/>
        <v>2.8499644444936063</v>
      </c>
      <c r="H218" s="110">
        <f t="shared" si="14"/>
        <v>7.2701106178120725</v>
      </c>
      <c r="I218" s="136">
        <f t="shared" si="15"/>
        <v>0</v>
      </c>
      <c r="J218" s="55">
        <f t="shared" si="16"/>
        <v>0</v>
      </c>
      <c r="K218" s="36"/>
    </row>
    <row r="219" spans="1:11" x14ac:dyDescent="0.25">
      <c r="A219" s="49">
        <f>'A) Base RI'!A221</f>
        <v>5750</v>
      </c>
      <c r="B219" s="292" t="str">
        <f>'A) Base RI'!B221</f>
        <v>Les Clées</v>
      </c>
      <c r="C219" s="95">
        <f>'B) D RI'!U221</f>
        <v>6037.9437500000004</v>
      </c>
      <c r="D219" s="110">
        <f>'E) Fact soc'!G225/C219</f>
        <v>13.987954125089814</v>
      </c>
      <c r="E219" s="136">
        <f>'H) Péréquation directe'!I230/C219</f>
        <v>2.6947315608935689</v>
      </c>
      <c r="F219" s="415">
        <f>+'I) Dépenses thématiques'!U219</f>
        <v>-6.8775698162971448</v>
      </c>
      <c r="G219" s="136">
        <f t="shared" si="13"/>
        <v>9.8051158696862384</v>
      </c>
      <c r="H219" s="110">
        <f t="shared" si="14"/>
        <v>16.682685685983383</v>
      </c>
      <c r="I219" s="136">
        <f t="shared" si="15"/>
        <v>0</v>
      </c>
      <c r="J219" s="55">
        <f t="shared" si="16"/>
        <v>0</v>
      </c>
      <c r="K219" s="36"/>
    </row>
    <row r="220" spans="1:11" x14ac:dyDescent="0.25">
      <c r="A220" s="49">
        <f>'A) Base RI'!A222</f>
        <v>5752</v>
      </c>
      <c r="B220" s="292" t="str">
        <f>'A) Base RI'!B222</f>
        <v>Croy</v>
      </c>
      <c r="C220" s="95">
        <f>'B) D RI'!U222</f>
        <v>9416.7971235521236</v>
      </c>
      <c r="D220" s="110">
        <f>'E) Fact soc'!G226/C220</f>
        <v>17.13424350062208</v>
      </c>
      <c r="E220" s="136">
        <f>'H) Péréquation directe'!I231/C220</f>
        <v>-8.7090884044159793</v>
      </c>
      <c r="F220" s="415">
        <f>+'I) Dépenses thématiques'!U220</f>
        <v>-56.511063185988334</v>
      </c>
      <c r="G220" s="136">
        <f t="shared" si="13"/>
        <v>-48.085908089782237</v>
      </c>
      <c r="H220" s="110">
        <f t="shared" si="14"/>
        <v>8.4251550962060975</v>
      </c>
      <c r="I220" s="136">
        <f t="shared" si="15"/>
        <v>0</v>
      </c>
      <c r="J220" s="55">
        <f t="shared" si="16"/>
        <v>0</v>
      </c>
      <c r="K220" s="36"/>
    </row>
    <row r="221" spans="1:11" x14ac:dyDescent="0.25">
      <c r="A221" s="49">
        <f>'A) Base RI'!A223</f>
        <v>5754</v>
      </c>
      <c r="B221" s="292" t="str">
        <f>'A) Base RI'!B223</f>
        <v>Juriens</v>
      </c>
      <c r="C221" s="95">
        <f>'B) D RI'!U223</f>
        <v>8043.7859493670894</v>
      </c>
      <c r="D221" s="110">
        <f>'E) Fact soc'!G227/C221</f>
        <v>15.027671684157399</v>
      </c>
      <c r="E221" s="136">
        <f>'H) Péréquation directe'!I232/C221</f>
        <v>-11.357507959334169</v>
      </c>
      <c r="F221" s="415">
        <f>+'I) Dépenses thématiques'!U221</f>
        <v>-7.8645733787520431</v>
      </c>
      <c r="G221" s="136">
        <f t="shared" si="13"/>
        <v>-4.1944096539288136</v>
      </c>
      <c r="H221" s="110">
        <f t="shared" si="14"/>
        <v>3.6701637248232295</v>
      </c>
      <c r="I221" s="136">
        <f t="shared" si="15"/>
        <v>0</v>
      </c>
      <c r="J221" s="55">
        <f t="shared" si="16"/>
        <v>0</v>
      </c>
      <c r="K221" s="36"/>
    </row>
    <row r="222" spans="1:11" x14ac:dyDescent="0.25">
      <c r="A222" s="49">
        <f>'A) Base RI'!A224</f>
        <v>5755</v>
      </c>
      <c r="B222" s="292" t="str">
        <f>'A) Base RI'!B224</f>
        <v>Lignerolle</v>
      </c>
      <c r="C222" s="95">
        <f>'B) D RI'!U224</f>
        <v>9055.2737033666963</v>
      </c>
      <c r="D222" s="110">
        <f>'E) Fact soc'!G228/C222</f>
        <v>29.284121997977341</v>
      </c>
      <c r="E222" s="136">
        <f>'H) Péréquation directe'!I233/C222</f>
        <v>-19.278096403951501</v>
      </c>
      <c r="F222" s="415">
        <f>+'I) Dépenses thématiques'!U222</f>
        <v>-57.651725348531322</v>
      </c>
      <c r="G222" s="136">
        <f t="shared" si="13"/>
        <v>-47.645699754505486</v>
      </c>
      <c r="H222" s="110">
        <f t="shared" si="14"/>
        <v>10.006025594025836</v>
      </c>
      <c r="I222" s="136">
        <f t="shared" si="15"/>
        <v>0</v>
      </c>
      <c r="J222" s="55">
        <f t="shared" si="16"/>
        <v>0</v>
      </c>
      <c r="K222" s="36"/>
    </row>
    <row r="223" spans="1:11" x14ac:dyDescent="0.25">
      <c r="A223" s="49">
        <f>'A) Base RI'!A225</f>
        <v>5756</v>
      </c>
      <c r="B223" s="292" t="str">
        <f>'A) Base RI'!B225</f>
        <v>Montcherand</v>
      </c>
      <c r="C223" s="95">
        <f>'B) D RI'!U225</f>
        <v>15758.308611111112</v>
      </c>
      <c r="D223" s="110">
        <f>'E) Fact soc'!G229/C223</f>
        <v>16.958578528488317</v>
      </c>
      <c r="E223" s="136">
        <f>'H) Péréquation directe'!I234/C223</f>
        <v>3.8116642872866193</v>
      </c>
      <c r="F223" s="415">
        <f>+'I) Dépenses thématiques'!U223</f>
        <v>-4.6583297830310357</v>
      </c>
      <c r="G223" s="136">
        <f t="shared" si="13"/>
        <v>16.1119130327439</v>
      </c>
      <c r="H223" s="110">
        <f t="shared" si="14"/>
        <v>20.770242815774935</v>
      </c>
      <c r="I223" s="136">
        <f t="shared" si="15"/>
        <v>0</v>
      </c>
      <c r="J223" s="55">
        <f t="shared" si="16"/>
        <v>0</v>
      </c>
      <c r="K223" s="36"/>
    </row>
    <row r="224" spans="1:11" x14ac:dyDescent="0.25">
      <c r="A224" s="49">
        <f>'A) Base RI'!A226</f>
        <v>5757</v>
      </c>
      <c r="B224" s="292" t="str">
        <f>'A) Base RI'!B226</f>
        <v>Orbe</v>
      </c>
      <c r="C224" s="95">
        <f>'B) D RI'!U226</f>
        <v>203783.43483443707</v>
      </c>
      <c r="D224" s="110">
        <f>'E) Fact soc'!G230/C224</f>
        <v>20.76024438345295</v>
      </c>
      <c r="E224" s="136">
        <f>'H) Péréquation directe'!I235/C224</f>
        <v>-11.56424016844125</v>
      </c>
      <c r="F224" s="415">
        <f>+'I) Dépenses thématiques'!U224</f>
        <v>-9.6578943847539271</v>
      </c>
      <c r="G224" s="136">
        <f t="shared" si="13"/>
        <v>-0.46189016974222774</v>
      </c>
      <c r="H224" s="110">
        <f t="shared" si="14"/>
        <v>9.1960042150116994</v>
      </c>
      <c r="I224" s="136">
        <f t="shared" si="15"/>
        <v>0</v>
      </c>
      <c r="J224" s="55">
        <f t="shared" si="16"/>
        <v>0</v>
      </c>
      <c r="K224" s="36"/>
    </row>
    <row r="225" spans="1:11" x14ac:dyDescent="0.25">
      <c r="A225" s="49">
        <f>'A) Base RI'!A227</f>
        <v>5758</v>
      </c>
      <c r="B225" s="292" t="str">
        <f>'A) Base RI'!B227</f>
        <v>La Praz</v>
      </c>
      <c r="C225" s="95">
        <f>'B) D RI'!U227</f>
        <v>4313.3939759036139</v>
      </c>
      <c r="D225" s="110">
        <f>'E) Fact soc'!G231/C225</f>
        <v>16.383855333876415</v>
      </c>
      <c r="E225" s="136">
        <f>'H) Péréquation directe'!I236/C225</f>
        <v>-12.242246807386673</v>
      </c>
      <c r="F225" s="415">
        <f>+'I) Dépenses thématiques'!U225</f>
        <v>-2.4447895836923776</v>
      </c>
      <c r="G225" s="136">
        <f t="shared" si="13"/>
        <v>1.6968189427973646</v>
      </c>
      <c r="H225" s="110">
        <f t="shared" si="14"/>
        <v>4.1416085264897422</v>
      </c>
      <c r="I225" s="136">
        <f t="shared" si="15"/>
        <v>0</v>
      </c>
      <c r="J225" s="55">
        <f t="shared" si="16"/>
        <v>0</v>
      </c>
      <c r="K225" s="36"/>
    </row>
    <row r="226" spans="1:11" x14ac:dyDescent="0.25">
      <c r="A226" s="49">
        <f>'A) Base RI'!A228</f>
        <v>5759</v>
      </c>
      <c r="B226" s="292" t="str">
        <f>'A) Base RI'!B228</f>
        <v>Premier</v>
      </c>
      <c r="C226" s="95">
        <f>'B) D RI'!U228</f>
        <v>5307.4840251572332</v>
      </c>
      <c r="D226" s="110">
        <f>'E) Fact soc'!G232/C226</f>
        <v>17.379567989311617</v>
      </c>
      <c r="E226" s="136">
        <f>'H) Péréquation directe'!I237/C226</f>
        <v>-10.741141806129773</v>
      </c>
      <c r="F226" s="415">
        <f>+'I) Dépenses thématiques'!U226</f>
        <v>-10.511709986453683</v>
      </c>
      <c r="G226" s="136">
        <f t="shared" si="13"/>
        <v>-3.8732838032718391</v>
      </c>
      <c r="H226" s="110">
        <f t="shared" si="14"/>
        <v>6.6384261831818439</v>
      </c>
      <c r="I226" s="136">
        <f t="shared" si="15"/>
        <v>0</v>
      </c>
      <c r="J226" s="55">
        <f t="shared" si="16"/>
        <v>0</v>
      </c>
      <c r="K226" s="36"/>
    </row>
    <row r="227" spans="1:11" x14ac:dyDescent="0.25">
      <c r="A227" s="49">
        <f>'A) Base RI'!A229</f>
        <v>5760</v>
      </c>
      <c r="B227" s="292" t="str">
        <f>'A) Base RI'!B229</f>
        <v>Rances</v>
      </c>
      <c r="C227" s="95">
        <f>'B) D RI'!U229</f>
        <v>12826.018997821348</v>
      </c>
      <c r="D227" s="110">
        <f>'E) Fact soc'!G233/C227</f>
        <v>17.75730010278803</v>
      </c>
      <c r="E227" s="136">
        <f>'H) Péréquation directe'!I238/C227</f>
        <v>-7.5519138086680844</v>
      </c>
      <c r="F227" s="415">
        <f>+'I) Dépenses thématiques'!U227</f>
        <v>-11.976699222946651</v>
      </c>
      <c r="G227" s="136">
        <f t="shared" si="13"/>
        <v>-1.7713129288267062</v>
      </c>
      <c r="H227" s="110">
        <f t="shared" si="14"/>
        <v>10.205386294119945</v>
      </c>
      <c r="I227" s="136">
        <f t="shared" si="15"/>
        <v>0</v>
      </c>
      <c r="J227" s="55">
        <f t="shared" si="16"/>
        <v>0</v>
      </c>
      <c r="K227" s="36"/>
    </row>
    <row r="228" spans="1:11" x14ac:dyDescent="0.25">
      <c r="A228" s="49">
        <f>'A) Base RI'!A230</f>
        <v>5761</v>
      </c>
      <c r="B228" s="292" t="str">
        <f>'A) Base RI'!B230</f>
        <v>Romainmôtier-Envy</v>
      </c>
      <c r="C228" s="95">
        <f>'B) D RI'!U230</f>
        <v>12135.004377104378</v>
      </c>
      <c r="D228" s="110">
        <f>'E) Fact soc'!G234/C228</f>
        <v>20.602078238267527</v>
      </c>
      <c r="E228" s="136">
        <f>'H) Péréquation directe'!I239/C228</f>
        <v>-14.733554711163082</v>
      </c>
      <c r="F228" s="415">
        <f>+'I) Dépenses thématiques'!U228</f>
        <v>-16.438681646769535</v>
      </c>
      <c r="G228" s="136">
        <f t="shared" si="13"/>
        <v>-10.57015811966509</v>
      </c>
      <c r="H228" s="110">
        <f t="shared" si="14"/>
        <v>5.8685235271044451</v>
      </c>
      <c r="I228" s="136">
        <f t="shared" si="15"/>
        <v>0</v>
      </c>
      <c r="J228" s="55">
        <f t="shared" si="16"/>
        <v>0</v>
      </c>
      <c r="K228" s="36"/>
    </row>
    <row r="229" spans="1:11" x14ac:dyDescent="0.25">
      <c r="A229" s="49">
        <f>'A) Base RI'!A231</f>
        <v>5762</v>
      </c>
      <c r="B229" s="292" t="str">
        <f>'A) Base RI'!B231</f>
        <v>Sergey</v>
      </c>
      <c r="C229" s="95">
        <f>'B) D RI'!U231</f>
        <v>3773.0282051282052</v>
      </c>
      <c r="D229" s="110">
        <f>'E) Fact soc'!G235/C229</f>
        <v>13.51034202411587</v>
      </c>
      <c r="E229" s="136">
        <f>'H) Péréquation directe'!I240/C229</f>
        <v>-6.3778347228205856</v>
      </c>
      <c r="F229" s="415">
        <f>+'I) Dépenses thématiques'!U229</f>
        <v>-7.1466626140602552</v>
      </c>
      <c r="G229" s="136">
        <f t="shared" si="13"/>
        <v>-1.4155312764970951E-2</v>
      </c>
      <c r="H229" s="110">
        <f t="shared" si="14"/>
        <v>7.1325073012952842</v>
      </c>
      <c r="I229" s="136">
        <f t="shared" si="15"/>
        <v>0</v>
      </c>
      <c r="J229" s="55">
        <f t="shared" si="16"/>
        <v>0</v>
      </c>
      <c r="K229" s="36"/>
    </row>
    <row r="230" spans="1:11" x14ac:dyDescent="0.25">
      <c r="A230" s="49">
        <f>'A) Base RI'!A232</f>
        <v>5763</v>
      </c>
      <c r="B230" s="292" t="str">
        <f>'A) Base RI'!B232</f>
        <v>Valeyres-sous-Rances</v>
      </c>
      <c r="C230" s="95">
        <f>'B) D RI'!U232</f>
        <v>20456.385294117645</v>
      </c>
      <c r="D230" s="110">
        <f>'E) Fact soc'!G236/C230</f>
        <v>14.845193201750467</v>
      </c>
      <c r="E230" s="136">
        <f>'H) Péréquation directe'!I241/C230</f>
        <v>7.420608445388905</v>
      </c>
      <c r="F230" s="415">
        <f>+'I) Dépenses thématiques'!U230</f>
        <v>-5.6434652361530731</v>
      </c>
      <c r="G230" s="136">
        <f t="shared" si="13"/>
        <v>16.6223364109863</v>
      </c>
      <c r="H230" s="110">
        <f t="shared" si="14"/>
        <v>22.265801647139373</v>
      </c>
      <c r="I230" s="136">
        <f t="shared" si="15"/>
        <v>0</v>
      </c>
      <c r="J230" s="55">
        <f t="shared" si="16"/>
        <v>0</v>
      </c>
      <c r="K230" s="36"/>
    </row>
    <row r="231" spans="1:11" x14ac:dyDescent="0.25">
      <c r="A231" s="49">
        <f>'A) Base RI'!A233</f>
        <v>5764</v>
      </c>
      <c r="B231" s="292" t="str">
        <f>'A) Base RI'!B233</f>
        <v>Vallorbe</v>
      </c>
      <c r="C231" s="95">
        <f>'B) D RI'!U233</f>
        <v>84310.704615384602</v>
      </c>
      <c r="D231" s="110">
        <f>'E) Fact soc'!G237/C231</f>
        <v>23.850437910835829</v>
      </c>
      <c r="E231" s="136">
        <f>'H) Péréquation directe'!I242/C231</f>
        <v>-20.570192191205894</v>
      </c>
      <c r="F231" s="415">
        <f>+'I) Dépenses thématiques'!U231</f>
        <v>-23.983134799672673</v>
      </c>
      <c r="G231" s="136">
        <f t="shared" si="13"/>
        <v>-20.702889080042738</v>
      </c>
      <c r="H231" s="110">
        <f t="shared" si="14"/>
        <v>3.2802457196299351</v>
      </c>
      <c r="I231" s="136">
        <f t="shared" si="15"/>
        <v>0</v>
      </c>
      <c r="J231" s="55">
        <f t="shared" si="16"/>
        <v>0</v>
      </c>
      <c r="K231" s="36"/>
    </row>
    <row r="232" spans="1:11" x14ac:dyDescent="0.25">
      <c r="A232" s="49">
        <f>'A) Base RI'!A234</f>
        <v>5765</v>
      </c>
      <c r="B232" s="292" t="str">
        <f>'A) Base RI'!B234</f>
        <v>Vaulion</v>
      </c>
      <c r="C232" s="95">
        <f>'B) D RI'!U234</f>
        <v>11314.597037037036</v>
      </c>
      <c r="D232" s="110">
        <f>'E) Fact soc'!G238/C232</f>
        <v>19.269157365635373</v>
      </c>
      <c r="E232" s="136">
        <f>'H) Péréquation directe'!I243/C232</f>
        <v>-16.762637730058294</v>
      </c>
      <c r="F232" s="415">
        <f>+'I) Dépenses thématiques'!U232</f>
        <v>-13.704285666774867</v>
      </c>
      <c r="G232" s="136">
        <f t="shared" si="13"/>
        <v>-11.197766031197789</v>
      </c>
      <c r="H232" s="110">
        <f t="shared" si="14"/>
        <v>2.506519635577078</v>
      </c>
      <c r="I232" s="136">
        <f t="shared" si="15"/>
        <v>0</v>
      </c>
      <c r="J232" s="55">
        <f t="shared" si="16"/>
        <v>0</v>
      </c>
      <c r="K232" s="36"/>
    </row>
    <row r="233" spans="1:11" x14ac:dyDescent="0.25">
      <c r="A233" s="49">
        <f>'A) Base RI'!A235</f>
        <v>5766</v>
      </c>
      <c r="B233" s="292" t="str">
        <f>'A) Base RI'!B235</f>
        <v>Vuiteboeuf</v>
      </c>
      <c r="C233" s="95">
        <f>'B) D RI'!U235</f>
        <v>15993.559610389608</v>
      </c>
      <c r="D233" s="110">
        <f>'E) Fact soc'!G239/C233</f>
        <v>15.270033155145731</v>
      </c>
      <c r="E233" s="136">
        <f>'H) Péréquation directe'!I244/C233</f>
        <v>-3.4155776329604857</v>
      </c>
      <c r="F233" s="415">
        <f>+'I) Dépenses thématiques'!U233</f>
        <v>-7.0779048001375306</v>
      </c>
      <c r="G233" s="136">
        <f t="shared" si="13"/>
        <v>4.7765507220477135</v>
      </c>
      <c r="H233" s="110">
        <f t="shared" si="14"/>
        <v>11.854455522185244</v>
      </c>
      <c r="I233" s="136">
        <f t="shared" si="15"/>
        <v>0</v>
      </c>
      <c r="J233" s="55">
        <f t="shared" si="16"/>
        <v>0</v>
      </c>
      <c r="K233" s="36"/>
    </row>
    <row r="234" spans="1:11" x14ac:dyDescent="0.25">
      <c r="A234" s="49">
        <f>'A) Base RI'!A236</f>
        <v>5785</v>
      </c>
      <c r="B234" s="292" t="str">
        <f>'A) Base RI'!B236</f>
        <v>Corcelles-le-Jorat</v>
      </c>
      <c r="C234" s="95">
        <f>'B) D RI'!U236</f>
        <v>17506.662467532471</v>
      </c>
      <c r="D234" s="110">
        <f>'E) Fact soc'!G240/C234</f>
        <v>17.303052377853479</v>
      </c>
      <c r="E234" s="136">
        <f>'H) Péréquation directe'!I245/C234</f>
        <v>10.238878709702602</v>
      </c>
      <c r="F234" s="415">
        <f>+'I) Dépenses thématiques'!U234</f>
        <v>-3.7091180837342193</v>
      </c>
      <c r="G234" s="136">
        <f t="shared" si="13"/>
        <v>23.832813003821862</v>
      </c>
      <c r="H234" s="110">
        <f t="shared" si="14"/>
        <v>27.54193108755608</v>
      </c>
      <c r="I234" s="136">
        <f t="shared" si="15"/>
        <v>0</v>
      </c>
      <c r="J234" s="55">
        <f t="shared" si="16"/>
        <v>0</v>
      </c>
      <c r="K234" s="36"/>
    </row>
    <row r="235" spans="1:11" x14ac:dyDescent="0.25">
      <c r="A235" s="49">
        <f>'A) Base RI'!A237</f>
        <v>5788</v>
      </c>
      <c r="B235" s="292" t="str">
        <f>'A) Base RI'!B237</f>
        <v>Essertes</v>
      </c>
      <c r="C235" s="95">
        <f>'B) D RI'!U237</f>
        <v>16224.893706293702</v>
      </c>
      <c r="D235" s="110">
        <f>'E) Fact soc'!G241/C235</f>
        <v>15.774538983739081</v>
      </c>
      <c r="E235" s="136">
        <f>'H) Péréquation directe'!I246/C235</f>
        <v>13.014454646238775</v>
      </c>
      <c r="F235" s="415">
        <f>+'I) Dépenses thématiques'!U235</f>
        <v>-0.3737705695961131</v>
      </c>
      <c r="G235" s="136">
        <f t="shared" si="13"/>
        <v>28.415223060381742</v>
      </c>
      <c r="H235" s="110">
        <f t="shared" si="14"/>
        <v>28.788993629977856</v>
      </c>
      <c r="I235" s="136">
        <f t="shared" si="15"/>
        <v>0</v>
      </c>
      <c r="J235" s="55">
        <f t="shared" si="16"/>
        <v>0</v>
      </c>
      <c r="K235" s="36"/>
    </row>
    <row r="236" spans="1:11" x14ac:dyDescent="0.25">
      <c r="A236" s="49">
        <f>'A) Base RI'!A238</f>
        <v>5790</v>
      </c>
      <c r="B236" s="292" t="str">
        <f>'A) Base RI'!B238</f>
        <v>Maracon</v>
      </c>
      <c r="C236" s="95">
        <f>'B) D RI'!U238</f>
        <v>13398.084966442953</v>
      </c>
      <c r="D236" s="110">
        <f>'E) Fact soc'!G242/C236</f>
        <v>15.800346161038854</v>
      </c>
      <c r="E236" s="136">
        <f>'H) Péréquation directe'!I247/C236</f>
        <v>-6.6184548635339846</v>
      </c>
      <c r="F236" s="415">
        <f>+'I) Dépenses thématiques'!U236</f>
        <v>-4.4028113233411812</v>
      </c>
      <c r="G236" s="136">
        <f t="shared" si="13"/>
        <v>4.7790799741636878</v>
      </c>
      <c r="H236" s="110">
        <f t="shared" si="14"/>
        <v>9.181891297504869</v>
      </c>
      <c r="I236" s="136">
        <f t="shared" si="15"/>
        <v>0</v>
      </c>
      <c r="J236" s="55">
        <f t="shared" si="16"/>
        <v>0</v>
      </c>
      <c r="K236" s="36"/>
    </row>
    <row r="237" spans="1:11" x14ac:dyDescent="0.25">
      <c r="A237" s="49">
        <f>'A) Base RI'!A239</f>
        <v>5792</v>
      </c>
      <c r="B237" s="292" t="str">
        <f>'A) Base RI'!B239</f>
        <v>Montpreveyres</v>
      </c>
      <c r="C237" s="95">
        <f>'B) D RI'!U239</f>
        <v>17609.230799999998</v>
      </c>
      <c r="D237" s="110">
        <f>'E) Fact soc'!G243/C237</f>
        <v>16.68898001436812</v>
      </c>
      <c r="E237" s="136">
        <f>'H) Péréquation directe'!I248/C237</f>
        <v>-3.1780280063450421</v>
      </c>
      <c r="F237" s="415">
        <f>+'I) Dépenses thématiques'!U237</f>
        <v>-10.024038937578126</v>
      </c>
      <c r="G237" s="136">
        <f t="shared" si="13"/>
        <v>3.4869130704449525</v>
      </c>
      <c r="H237" s="110">
        <f t="shared" si="14"/>
        <v>13.510952008023079</v>
      </c>
      <c r="I237" s="136">
        <f t="shared" si="15"/>
        <v>0</v>
      </c>
      <c r="J237" s="55">
        <f t="shared" si="16"/>
        <v>0</v>
      </c>
      <c r="K237" s="36"/>
    </row>
    <row r="238" spans="1:11" x14ac:dyDescent="0.25">
      <c r="A238" s="49">
        <f>'A) Base RI'!A240</f>
        <v>5798</v>
      </c>
      <c r="B238" s="292" t="str">
        <f>'A) Base RI'!B240</f>
        <v>Ropraz</v>
      </c>
      <c r="C238" s="95">
        <f>'B) D RI'!U240</f>
        <v>15760.164903225806</v>
      </c>
      <c r="D238" s="110">
        <f>'E) Fact soc'!G244/C238</f>
        <v>16.114426451658865</v>
      </c>
      <c r="E238" s="136">
        <f>'H) Péréquation directe'!I249/C238</f>
        <v>0.21953519579026326</v>
      </c>
      <c r="F238" s="415">
        <f>+'I) Dépenses thématiques'!U238</f>
        <v>-3.6304036748330075</v>
      </c>
      <c r="G238" s="136">
        <f t="shared" si="13"/>
        <v>12.703557972616121</v>
      </c>
      <c r="H238" s="110">
        <f t="shared" si="14"/>
        <v>16.333961647449129</v>
      </c>
      <c r="I238" s="136">
        <f t="shared" si="15"/>
        <v>0</v>
      </c>
      <c r="J238" s="55">
        <f t="shared" si="16"/>
        <v>0</v>
      </c>
      <c r="K238" s="36"/>
    </row>
    <row r="239" spans="1:11" x14ac:dyDescent="0.25">
      <c r="A239" s="49">
        <f>'A) Base RI'!A241</f>
        <v>5799</v>
      </c>
      <c r="B239" s="292" t="str">
        <f>'A) Base RI'!B241</f>
        <v>Servion</v>
      </c>
      <c r="C239" s="95">
        <f>'B) D RI'!U241</f>
        <v>69387.22289855071</v>
      </c>
      <c r="D239" s="110">
        <f>'E) Fact soc'!G245/C239</f>
        <v>17.764613814638352</v>
      </c>
      <c r="E239" s="136">
        <f>'H) Péréquation directe'!I250/C239</f>
        <v>3.5660675410128548</v>
      </c>
      <c r="F239" s="415">
        <f>+'I) Dépenses thématiques'!U239</f>
        <v>-4.7415561376440047</v>
      </c>
      <c r="G239" s="136">
        <f t="shared" si="13"/>
        <v>16.589125218007204</v>
      </c>
      <c r="H239" s="110">
        <f t="shared" si="14"/>
        <v>21.330681355651208</v>
      </c>
      <c r="I239" s="136">
        <f t="shared" si="15"/>
        <v>0</v>
      </c>
      <c r="J239" s="55">
        <f t="shared" si="16"/>
        <v>0</v>
      </c>
      <c r="K239" s="36"/>
    </row>
    <row r="240" spans="1:11" x14ac:dyDescent="0.25">
      <c r="A240" s="49">
        <f>'A) Base RI'!A242</f>
        <v>5803</v>
      </c>
      <c r="B240" s="292" t="str">
        <f>'A) Base RI'!B242</f>
        <v>Vulliens</v>
      </c>
      <c r="C240" s="95">
        <f>'B) D RI'!U242</f>
        <v>18875.933421052636</v>
      </c>
      <c r="D240" s="110">
        <f>'E) Fact soc'!G246/C240</f>
        <v>15.217507666269475</v>
      </c>
      <c r="E240" s="136">
        <f>'H) Péréquation directe'!I251/C240</f>
        <v>1.3374711816878326</v>
      </c>
      <c r="F240" s="415">
        <f>+'I) Dépenses thématiques'!U240</f>
        <v>-4.3452393891374914</v>
      </c>
      <c r="G240" s="136">
        <f t="shared" si="13"/>
        <v>12.209739458819817</v>
      </c>
      <c r="H240" s="110">
        <f t="shared" si="14"/>
        <v>16.554978847957308</v>
      </c>
      <c r="I240" s="136">
        <f t="shared" si="15"/>
        <v>0</v>
      </c>
      <c r="J240" s="55">
        <f t="shared" si="16"/>
        <v>0</v>
      </c>
      <c r="K240" s="36"/>
    </row>
    <row r="241" spans="1:11" x14ac:dyDescent="0.25">
      <c r="A241" s="49">
        <f>'A) Base RI'!A243</f>
        <v>5804</v>
      </c>
      <c r="B241" s="292" t="str">
        <f>'A) Base RI'!B243</f>
        <v>Jorat-Menthue</v>
      </c>
      <c r="C241" s="95">
        <f>'B) D RI'!U243</f>
        <v>46692.865106382982</v>
      </c>
      <c r="D241" s="110">
        <f>'E) Fact soc'!G247/C241</f>
        <v>17.763763281250302</v>
      </c>
      <c r="E241" s="136">
        <f>'H) Péréquation directe'!I252/C241</f>
        <v>-0.98218194169385653</v>
      </c>
      <c r="F241" s="415">
        <f>+'I) Dépenses thématiques'!U241</f>
        <v>-10.583526185553355</v>
      </c>
      <c r="G241" s="136">
        <f t="shared" si="13"/>
        <v>6.1980551540030913</v>
      </c>
      <c r="H241" s="110">
        <f t="shared" si="14"/>
        <v>16.781581339556446</v>
      </c>
      <c r="I241" s="136">
        <f t="shared" si="15"/>
        <v>0</v>
      </c>
      <c r="J241" s="55">
        <f t="shared" si="16"/>
        <v>0</v>
      </c>
      <c r="K241" s="36"/>
    </row>
    <row r="242" spans="1:11" x14ac:dyDescent="0.25">
      <c r="A242" s="49">
        <f>'A) Base RI'!A244</f>
        <v>5805</v>
      </c>
      <c r="B242" s="292" t="str">
        <f>'A) Base RI'!B244</f>
        <v>Oron</v>
      </c>
      <c r="C242" s="95">
        <f>'B) D RI'!U244</f>
        <v>154727.47061923583</v>
      </c>
      <c r="D242" s="110">
        <f>'E) Fact soc'!G248/C242</f>
        <v>15.816237826406869</v>
      </c>
      <c r="E242" s="136">
        <f>'H) Péréquation directe'!I253/C242</f>
        <v>-9.6603855299323449</v>
      </c>
      <c r="F242" s="415">
        <f>+'I) Dépenses thématiques'!U242</f>
        <v>-5.8178142037867353</v>
      </c>
      <c r="G242" s="136">
        <f t="shared" si="13"/>
        <v>0.33803809268778906</v>
      </c>
      <c r="H242" s="110">
        <f t="shared" si="14"/>
        <v>6.1558522964745244</v>
      </c>
      <c r="I242" s="136">
        <f t="shared" si="15"/>
        <v>0</v>
      </c>
      <c r="J242" s="55">
        <f t="shared" si="16"/>
        <v>0</v>
      </c>
      <c r="K242" s="36"/>
    </row>
    <row r="243" spans="1:11" x14ac:dyDescent="0.25">
      <c r="A243" s="49">
        <f>'A) Base RI'!A245</f>
        <v>5806</v>
      </c>
      <c r="B243" s="292" t="str">
        <f>'A) Base RI'!B245</f>
        <v>Jorat-Mézières</v>
      </c>
      <c r="C243" s="95">
        <f>'B) D RI'!U245</f>
        <v>91070.268493150696</v>
      </c>
      <c r="D243" s="110">
        <f>'E) Fact soc'!G249/C243</f>
        <v>16.504972264176171</v>
      </c>
      <c r="E243" s="136">
        <f>'H) Péréquation directe'!I254/C243</f>
        <v>-1.8532494941216116</v>
      </c>
      <c r="F243" s="415">
        <f>+'I) Dépenses thématiques'!U243</f>
        <v>-4.5391530724671787</v>
      </c>
      <c r="G243" s="136">
        <f t="shared" si="13"/>
        <v>10.112569697587382</v>
      </c>
      <c r="H243" s="110">
        <f t="shared" si="14"/>
        <v>14.651722770054562</v>
      </c>
      <c r="I243" s="136">
        <f t="shared" si="15"/>
        <v>0</v>
      </c>
      <c r="J243" s="55">
        <f t="shared" si="16"/>
        <v>0</v>
      </c>
      <c r="K243" s="36"/>
    </row>
    <row r="244" spans="1:11" x14ac:dyDescent="0.25">
      <c r="A244" s="49">
        <f>'A) Base RI'!A246</f>
        <v>5812</v>
      </c>
      <c r="B244" s="292" t="str">
        <f>'A) Base RI'!B246</f>
        <v>Champtauroz</v>
      </c>
      <c r="C244" s="95">
        <f>'B) D RI'!U246</f>
        <v>2503.1327272727272</v>
      </c>
      <c r="D244" s="110">
        <f>'E) Fact soc'!G250/C244</f>
        <v>18.850640145088644</v>
      </c>
      <c r="E244" s="136">
        <f>'H) Péréquation directe'!I255/C244</f>
        <v>-30.098545654337922</v>
      </c>
      <c r="F244" s="415">
        <f>+'I) Dépenses thématiques'!U244</f>
        <v>-11.827660320921494</v>
      </c>
      <c r="G244" s="136">
        <f t="shared" si="13"/>
        <v>-23.075565830170774</v>
      </c>
      <c r="H244" s="110">
        <f t="shared" si="14"/>
        <v>-11.24790550924928</v>
      </c>
      <c r="I244" s="136">
        <f t="shared" si="15"/>
        <v>-3.2479055092492803</v>
      </c>
      <c r="J244" s="55">
        <f t="shared" si="16"/>
        <v>8129.9385752912667</v>
      </c>
      <c r="K244" s="36"/>
    </row>
    <row r="245" spans="1:11" x14ac:dyDescent="0.25">
      <c r="A245" s="49">
        <f>'A) Base RI'!A247</f>
        <v>5813</v>
      </c>
      <c r="B245" s="292" t="str">
        <f>'A) Base RI'!B247</f>
        <v>Chevroux</v>
      </c>
      <c r="C245" s="95">
        <f>'B) D RI'!U247</f>
        <v>15179.777080291971</v>
      </c>
      <c r="D245" s="110">
        <f>'E) Fact soc'!G251/C245</f>
        <v>15.262569666149755</v>
      </c>
      <c r="E245" s="136">
        <f>'H) Péréquation directe'!I256/C245</f>
        <v>4.3757949975064685</v>
      </c>
      <c r="F245" s="415">
        <f>+'I) Dépenses thématiques'!U245</f>
        <v>-21.553023195776426</v>
      </c>
      <c r="G245" s="136">
        <f t="shared" si="13"/>
        <v>-1.9146585321202032</v>
      </c>
      <c r="H245" s="110">
        <f t="shared" si="14"/>
        <v>19.638364663656223</v>
      </c>
      <c r="I245" s="136">
        <f t="shared" si="15"/>
        <v>0</v>
      </c>
      <c r="J245" s="55">
        <f t="shared" si="16"/>
        <v>0</v>
      </c>
      <c r="K245" s="36"/>
    </row>
    <row r="246" spans="1:11" x14ac:dyDescent="0.25">
      <c r="A246" s="49">
        <f>'A) Base RI'!A248</f>
        <v>5816</v>
      </c>
      <c r="B246" s="292" t="str">
        <f>'A) Base RI'!B248</f>
        <v>Corcelles-près-Payerne</v>
      </c>
      <c r="C246" s="95">
        <f>'B) D RI'!U248</f>
        <v>60528.996913451512</v>
      </c>
      <c r="D246" s="110">
        <f>'E) Fact soc'!G252/C246</f>
        <v>16.449490433503502</v>
      </c>
      <c r="E246" s="136">
        <f>'H) Péréquation directe'!I257/C246</f>
        <v>-13.866157402905012</v>
      </c>
      <c r="F246" s="415">
        <f>+'I) Dépenses thématiques'!U246</f>
        <v>-5.5760013502600323</v>
      </c>
      <c r="G246" s="136">
        <f t="shared" si="13"/>
        <v>-2.9926683196615418</v>
      </c>
      <c r="H246" s="110">
        <f t="shared" si="14"/>
        <v>2.5833330305984905</v>
      </c>
      <c r="I246" s="136">
        <f t="shared" si="15"/>
        <v>0</v>
      </c>
      <c r="J246" s="55">
        <f t="shared" si="16"/>
        <v>0</v>
      </c>
      <c r="K246" s="36"/>
    </row>
    <row r="247" spans="1:11" x14ac:dyDescent="0.25">
      <c r="A247" s="49">
        <f>'A) Base RI'!A249</f>
        <v>5817</v>
      </c>
      <c r="B247" s="292" t="str">
        <f>'A) Base RI'!B249</f>
        <v>Grandcour</v>
      </c>
      <c r="C247" s="95">
        <f>'B) D RI'!U249</f>
        <v>21854.748299319726</v>
      </c>
      <c r="D247" s="110">
        <f>'E) Fact soc'!G253/C247</f>
        <v>14.759357095172517</v>
      </c>
      <c r="E247" s="136">
        <f>'H) Péréquation directe'!I258/C247</f>
        <v>-10.842889442296931</v>
      </c>
      <c r="F247" s="415">
        <f>+'I) Dépenses thématiques'!U247</f>
        <v>-6.7580828182857262</v>
      </c>
      <c r="G247" s="136">
        <f t="shared" si="13"/>
        <v>-2.8416151654101407</v>
      </c>
      <c r="H247" s="110">
        <f t="shared" si="14"/>
        <v>3.9164676528755855</v>
      </c>
      <c r="I247" s="136">
        <f t="shared" si="15"/>
        <v>0</v>
      </c>
      <c r="J247" s="55">
        <f t="shared" si="16"/>
        <v>0</v>
      </c>
      <c r="K247" s="36"/>
    </row>
    <row r="248" spans="1:11" x14ac:dyDescent="0.25">
      <c r="A248" s="49">
        <f>'A) Base RI'!A250</f>
        <v>5819</v>
      </c>
      <c r="B248" s="292" t="str">
        <f>'A) Base RI'!B250</f>
        <v>Henniez</v>
      </c>
      <c r="C248" s="95">
        <f>'B) D RI'!U250</f>
        <v>11468.217826086959</v>
      </c>
      <c r="D248" s="110">
        <f>'E) Fact soc'!G254/C248</f>
        <v>15.329008212384155</v>
      </c>
      <c r="E248" s="136">
        <f>'H) Péréquation directe'!I259/C248</f>
        <v>2.2126190092065574</v>
      </c>
      <c r="F248" s="415">
        <f>+'I) Dépenses thématiques'!U248</f>
        <v>-8.8297453518136919</v>
      </c>
      <c r="G248" s="136">
        <f t="shared" si="13"/>
        <v>8.7118818697770202</v>
      </c>
      <c r="H248" s="110">
        <f t="shared" si="14"/>
        <v>17.541627221590712</v>
      </c>
      <c r="I248" s="136">
        <f t="shared" si="15"/>
        <v>0</v>
      </c>
      <c r="J248" s="55">
        <f t="shared" si="16"/>
        <v>0</v>
      </c>
      <c r="K248" s="36"/>
    </row>
    <row r="249" spans="1:11" x14ac:dyDescent="0.25">
      <c r="A249" s="49">
        <f>'A) Base RI'!A251</f>
        <v>5821</v>
      </c>
      <c r="B249" s="292" t="str">
        <f>'A) Base RI'!B251</f>
        <v>Missy</v>
      </c>
      <c r="C249" s="95">
        <f>'B) D RI'!U251</f>
        <v>7872.7337500000012</v>
      </c>
      <c r="D249" s="110">
        <f>'E) Fact soc'!G255/C249</f>
        <v>15.545232382245914</v>
      </c>
      <c r="E249" s="136">
        <f>'H) Péréquation directe'!I260/C249</f>
        <v>-12.663411721593526</v>
      </c>
      <c r="F249" s="415">
        <f>+'I) Dépenses thématiques'!U249</f>
        <v>-2.4584341493829878</v>
      </c>
      <c r="G249" s="136">
        <f t="shared" si="13"/>
        <v>0.42338651126939952</v>
      </c>
      <c r="H249" s="110">
        <f t="shared" si="14"/>
        <v>2.8818206606523873</v>
      </c>
      <c r="I249" s="136">
        <f t="shared" si="15"/>
        <v>0</v>
      </c>
      <c r="J249" s="55">
        <f t="shared" si="16"/>
        <v>0</v>
      </c>
      <c r="K249" s="36"/>
    </row>
    <row r="250" spans="1:11" x14ac:dyDescent="0.25">
      <c r="A250" s="49">
        <f>'A) Base RI'!A252</f>
        <v>5822</v>
      </c>
      <c r="B250" s="292" t="str">
        <f>'A) Base RI'!B252</f>
        <v>Payerne</v>
      </c>
      <c r="C250" s="95">
        <f>'B) D RI'!U252</f>
        <v>237851.57178082189</v>
      </c>
      <c r="D250" s="110">
        <f>'E) Fact soc'!G256/C250</f>
        <v>16.984683580124166</v>
      </c>
      <c r="E250" s="136">
        <f>'H) Péréquation directe'!I261/C250</f>
        <v>-24.770203153442818</v>
      </c>
      <c r="F250" s="415">
        <f>+'I) Dépenses thématiques'!U250</f>
        <v>-7.1618375550815641</v>
      </c>
      <c r="G250" s="136">
        <f t="shared" si="13"/>
        <v>-14.947357128400217</v>
      </c>
      <c r="H250" s="110">
        <f t="shared" si="14"/>
        <v>-7.7855195733186529</v>
      </c>
      <c r="I250" s="136">
        <f t="shared" si="15"/>
        <v>0</v>
      </c>
      <c r="J250" s="55">
        <f t="shared" si="16"/>
        <v>0</v>
      </c>
      <c r="K250" s="36"/>
    </row>
    <row r="251" spans="1:11" x14ac:dyDescent="0.25">
      <c r="A251" s="49">
        <f>'A) Base RI'!A253</f>
        <v>5827</v>
      </c>
      <c r="B251" s="292" t="str">
        <f>'A) Base RI'!B253</f>
        <v>Trey</v>
      </c>
      <c r="C251" s="95">
        <f>'B) D RI'!U253</f>
        <v>6163.6291025641031</v>
      </c>
      <c r="D251" s="110">
        <f>'E) Fact soc'!G257/C251</f>
        <v>15.613765962231581</v>
      </c>
      <c r="E251" s="136">
        <f>'H) Péréquation directe'!I262/C251</f>
        <v>-20.111810507540561</v>
      </c>
      <c r="F251" s="415">
        <f>+'I) Dépenses thématiques'!U251</f>
        <v>-8.8563449351465344</v>
      </c>
      <c r="G251" s="136">
        <f t="shared" si="13"/>
        <v>-13.354389480455515</v>
      </c>
      <c r="H251" s="110">
        <f t="shared" si="14"/>
        <v>-4.4980445453089803</v>
      </c>
      <c r="I251" s="136">
        <f t="shared" si="15"/>
        <v>0</v>
      </c>
      <c r="J251" s="55">
        <f t="shared" si="16"/>
        <v>0</v>
      </c>
      <c r="K251" s="36"/>
    </row>
    <row r="252" spans="1:11" x14ac:dyDescent="0.25">
      <c r="A252" s="49">
        <f>'A) Base RI'!A254</f>
        <v>5828</v>
      </c>
      <c r="B252" s="292" t="str">
        <f>'A) Base RI'!B254</f>
        <v>Treytorrens (Payerne)</v>
      </c>
      <c r="C252" s="95">
        <f>'B) D RI'!U254</f>
        <v>2288.4160317460314</v>
      </c>
      <c r="D252" s="110">
        <f>'E) Fact soc'!G258/C252</f>
        <v>14.832020406910763</v>
      </c>
      <c r="E252" s="136">
        <f>'H) Péréquation directe'!I263/C252</f>
        <v>-26.634407476684004</v>
      </c>
      <c r="F252" s="415">
        <f>+'I) Dépenses thématiques'!U252</f>
        <v>-11.332267134104889</v>
      </c>
      <c r="G252" s="136">
        <f t="shared" si="13"/>
        <v>-23.134654203878128</v>
      </c>
      <c r="H252" s="110">
        <f t="shared" si="14"/>
        <v>-11.802387069773239</v>
      </c>
      <c r="I252" s="136">
        <f t="shared" si="15"/>
        <v>-3.8023870697732391</v>
      </c>
      <c r="J252" s="55">
        <f t="shared" si="16"/>
        <v>8701.4435293728966</v>
      </c>
      <c r="K252" s="36"/>
    </row>
    <row r="253" spans="1:11" x14ac:dyDescent="0.25">
      <c r="A253" s="49">
        <f>'A) Base RI'!A255</f>
        <v>5830</v>
      </c>
      <c r="B253" s="292" t="str">
        <f>'A) Base RI'!B255</f>
        <v>Villarzel</v>
      </c>
      <c r="C253" s="95">
        <f>'B) D RI'!U255</f>
        <v>12470.916233766235</v>
      </c>
      <c r="D253" s="110">
        <f>'E) Fact soc'!G259/C253</f>
        <v>16.788912277782959</v>
      </c>
      <c r="E253" s="136">
        <f>'H) Péréquation directe'!I264/C253</f>
        <v>-5.6178186741706897</v>
      </c>
      <c r="F253" s="415">
        <f>+'I) Dépenses thématiques'!U253</f>
        <v>-7.442596907683023</v>
      </c>
      <c r="G253" s="136">
        <f t="shared" si="13"/>
        <v>3.7284966959292474</v>
      </c>
      <c r="H253" s="110">
        <f t="shared" si="14"/>
        <v>11.17109360361227</v>
      </c>
      <c r="I253" s="136">
        <f t="shared" si="15"/>
        <v>0</v>
      </c>
      <c r="J253" s="55">
        <f t="shared" si="16"/>
        <v>0</v>
      </c>
      <c r="K253" s="36"/>
    </row>
    <row r="254" spans="1:11" x14ac:dyDescent="0.25">
      <c r="A254" s="49">
        <f>'A) Base RI'!A256</f>
        <v>5831</v>
      </c>
      <c r="B254" s="292" t="str">
        <f>'A) Base RI'!B256</f>
        <v>Valbroye</v>
      </c>
      <c r="C254" s="95">
        <f>'B) D RI'!U256</f>
        <v>83756.732765957451</v>
      </c>
      <c r="D254" s="110">
        <f>'E) Fact soc'!G260/C254</f>
        <v>16.533897703008464</v>
      </c>
      <c r="E254" s="136">
        <f>'H) Péréquation directe'!I265/C254</f>
        <v>-11.556762995887395</v>
      </c>
      <c r="F254" s="415">
        <f>+'I) Dépenses thématiques'!U254</f>
        <v>-9.4022931339118969</v>
      </c>
      <c r="G254" s="136">
        <f t="shared" si="13"/>
        <v>-4.4251584267908282</v>
      </c>
      <c r="H254" s="110">
        <f t="shared" si="14"/>
        <v>4.9771347071210688</v>
      </c>
      <c r="I254" s="136">
        <f t="shared" si="15"/>
        <v>0</v>
      </c>
      <c r="J254" s="55">
        <f t="shared" si="16"/>
        <v>0</v>
      </c>
      <c r="K254" s="36"/>
    </row>
    <row r="255" spans="1:11" x14ac:dyDescent="0.25">
      <c r="A255" s="49">
        <f>'A) Base RI'!A257</f>
        <v>5841</v>
      </c>
      <c r="B255" s="292" t="str">
        <f>'A) Base RI'!B257</f>
        <v>Château-d'Oex</v>
      </c>
      <c r="C255" s="95">
        <f>'B) D RI'!U257</f>
        <v>108658.39067484663</v>
      </c>
      <c r="D255" s="110">
        <f>'E) Fact soc'!G261/C255</f>
        <v>21.018035722995986</v>
      </c>
      <c r="E255" s="136">
        <f>'H) Péréquation directe'!I266/C255</f>
        <v>-5.2506488256420187</v>
      </c>
      <c r="F255" s="415">
        <f>+'I) Dépenses thématiques'!U255</f>
        <v>-19.02649572767417</v>
      </c>
      <c r="G255" s="136">
        <f t="shared" si="13"/>
        <v>-3.2591088303202032</v>
      </c>
      <c r="H255" s="110">
        <f t="shared" si="14"/>
        <v>15.767386897353967</v>
      </c>
      <c r="I255" s="136">
        <f t="shared" si="15"/>
        <v>0</v>
      </c>
      <c r="J255" s="55">
        <f t="shared" si="16"/>
        <v>0</v>
      </c>
      <c r="K255" s="36"/>
    </row>
    <row r="256" spans="1:11" x14ac:dyDescent="0.25">
      <c r="A256" s="49">
        <f>'A) Base RI'!A258</f>
        <v>5842</v>
      </c>
      <c r="B256" s="292" t="str">
        <f>'A) Base RI'!B258</f>
        <v>Rossinière</v>
      </c>
      <c r="C256" s="95">
        <f>'B) D RI'!U258</f>
        <v>14509.951028806583</v>
      </c>
      <c r="D256" s="110">
        <f>'E) Fact soc'!G262/C256</f>
        <v>15.998877300927886</v>
      </c>
      <c r="E256" s="136">
        <f>'H) Péréquation directe'!I267/C256</f>
        <v>-6.0279917292402638</v>
      </c>
      <c r="F256" s="415">
        <f>+'I) Dépenses thématiques'!U256</f>
        <v>-26.245146732137655</v>
      </c>
      <c r="G256" s="136">
        <f t="shared" si="13"/>
        <v>-16.274261160450035</v>
      </c>
      <c r="H256" s="110">
        <f t="shared" si="14"/>
        <v>9.9708855716876208</v>
      </c>
      <c r="I256" s="136">
        <f t="shared" si="15"/>
        <v>0</v>
      </c>
      <c r="J256" s="55">
        <f t="shared" si="16"/>
        <v>0</v>
      </c>
      <c r="K256" s="36"/>
    </row>
    <row r="257" spans="1:11" x14ac:dyDescent="0.25">
      <c r="A257" s="49">
        <f>'A) Base RI'!A259</f>
        <v>5843</v>
      </c>
      <c r="B257" s="292" t="str">
        <f>'A) Base RI'!B259</f>
        <v>Rougemont</v>
      </c>
      <c r="C257" s="95">
        <f>'B) D RI'!U259</f>
        <v>100468.99797297297</v>
      </c>
      <c r="D257" s="110">
        <f>'E) Fact soc'!G263/C257</f>
        <v>36.334498585391344</v>
      </c>
      <c r="E257" s="136">
        <f>'H) Péréquation directe'!I268/C257</f>
        <v>18.098970784626339</v>
      </c>
      <c r="F257" s="415">
        <f>+'I) Dépenses thématiques'!U257</f>
        <v>-0.70442637619617499</v>
      </c>
      <c r="G257" s="136">
        <f t="shared" si="13"/>
        <v>53.729042993821508</v>
      </c>
      <c r="H257" s="110">
        <f t="shared" si="14"/>
        <v>54.433469370017683</v>
      </c>
      <c r="I257" s="136">
        <f t="shared" si="15"/>
        <v>0</v>
      </c>
      <c r="J257" s="55">
        <f t="shared" si="16"/>
        <v>0</v>
      </c>
      <c r="K257" s="36"/>
    </row>
    <row r="258" spans="1:11" x14ac:dyDescent="0.25">
      <c r="A258" s="49">
        <f>'A) Base RI'!A260</f>
        <v>5851</v>
      </c>
      <c r="B258" s="292" t="str">
        <f>'A) Base RI'!B260</f>
        <v>Allaman</v>
      </c>
      <c r="C258" s="95">
        <f>'B) D RI'!U260</f>
        <v>24314.213954545452</v>
      </c>
      <c r="D258" s="110">
        <f>'E) Fact soc'!G264/C258</f>
        <v>15.892567698651819</v>
      </c>
      <c r="E258" s="136">
        <f>'H) Péréquation directe'!I269/C258</f>
        <v>16.904898889737193</v>
      </c>
      <c r="F258" s="415">
        <f>+'I) Dépenses thématiques'!U258</f>
        <v>0</v>
      </c>
      <c r="G258" s="136">
        <f t="shared" si="13"/>
        <v>32.797466588389014</v>
      </c>
      <c r="H258" s="110">
        <f t="shared" si="14"/>
        <v>32.797466588389014</v>
      </c>
      <c r="I258" s="136">
        <f t="shared" si="15"/>
        <v>0</v>
      </c>
      <c r="J258" s="55">
        <f t="shared" si="16"/>
        <v>0</v>
      </c>
      <c r="K258" s="36"/>
    </row>
    <row r="259" spans="1:11" x14ac:dyDescent="0.25">
      <c r="A259" s="49">
        <f>'A) Base RI'!A261</f>
        <v>5852</v>
      </c>
      <c r="B259" s="292" t="str">
        <f>'A) Base RI'!B261</f>
        <v>Bursinel</v>
      </c>
      <c r="C259" s="95">
        <f>'B) D RI'!U261</f>
        <v>40706.215623409669</v>
      </c>
      <c r="D259" s="110">
        <f>'E) Fact soc'!G265/C259</f>
        <v>22.808280633963843</v>
      </c>
      <c r="E259" s="136">
        <f>'H) Péréquation directe'!I270/C259</f>
        <v>17.668423374959335</v>
      </c>
      <c r="F259" s="415">
        <f>+'I) Dépenses thématiques'!U259</f>
        <v>0</v>
      </c>
      <c r="G259" s="136">
        <f t="shared" si="13"/>
        <v>40.476704008923178</v>
      </c>
      <c r="H259" s="110">
        <f t="shared" si="14"/>
        <v>40.476704008923178</v>
      </c>
      <c r="I259" s="136">
        <f t="shared" si="15"/>
        <v>0</v>
      </c>
      <c r="J259" s="55">
        <f t="shared" si="16"/>
        <v>0</v>
      </c>
      <c r="K259" s="36"/>
    </row>
    <row r="260" spans="1:11" x14ac:dyDescent="0.25">
      <c r="A260" s="49">
        <f>'A) Base RI'!A262</f>
        <v>5853</v>
      </c>
      <c r="B260" s="292" t="str">
        <f>'A) Base RI'!B262</f>
        <v>Bursins</v>
      </c>
      <c r="C260" s="95">
        <f>'B) D RI'!U262</f>
        <v>42015.881830985905</v>
      </c>
      <c r="D260" s="110">
        <f>'E) Fact soc'!G266/C260</f>
        <v>100.40551721216612</v>
      </c>
      <c r="E260" s="136">
        <f>'H) Péréquation directe'!I271/C260</f>
        <v>16.882826758116511</v>
      </c>
      <c r="F260" s="415">
        <f>+'I) Dépenses thématiques'!U260</f>
        <v>-0.10480176625766292</v>
      </c>
      <c r="G260" s="136">
        <f t="shared" si="13"/>
        <v>117.18354220402496</v>
      </c>
      <c r="H260" s="110">
        <f t="shared" si="14"/>
        <v>117.28834397028263</v>
      </c>
      <c r="I260" s="136">
        <f t="shared" si="15"/>
        <v>0</v>
      </c>
      <c r="J260" s="55">
        <f t="shared" si="16"/>
        <v>0</v>
      </c>
      <c r="K260" s="36"/>
    </row>
    <row r="261" spans="1:11" x14ac:dyDescent="0.25">
      <c r="A261" s="49">
        <f>'A) Base RI'!A263</f>
        <v>5854</v>
      </c>
      <c r="B261" s="292" t="str">
        <f>'A) Base RI'!B263</f>
        <v>Burtigny</v>
      </c>
      <c r="C261" s="95">
        <f>'B) D RI'!U263</f>
        <v>10782.893958333336</v>
      </c>
      <c r="D261" s="110">
        <f>'E) Fact soc'!G267/C261</f>
        <v>19.112645564652325</v>
      </c>
      <c r="E261" s="136">
        <f>'H) Péréquation directe'!I272/C261</f>
        <v>-6.1452248078679901</v>
      </c>
      <c r="F261" s="415">
        <f>+'I) Dépenses thématiques'!U261</f>
        <v>-3.4058079327459434</v>
      </c>
      <c r="G261" s="136">
        <f t="shared" si="13"/>
        <v>9.5616128240383915</v>
      </c>
      <c r="H261" s="110">
        <f t="shared" si="14"/>
        <v>12.967420756784335</v>
      </c>
      <c r="I261" s="136">
        <f t="shared" si="15"/>
        <v>0</v>
      </c>
      <c r="J261" s="55">
        <f t="shared" si="16"/>
        <v>0</v>
      </c>
      <c r="K261" s="36"/>
    </row>
    <row r="262" spans="1:11" x14ac:dyDescent="0.25">
      <c r="A262" s="49">
        <f>'A) Base RI'!A264</f>
        <v>5855</v>
      </c>
      <c r="B262" s="292" t="str">
        <f>'A) Base RI'!B264</f>
        <v>Dully</v>
      </c>
      <c r="C262" s="95">
        <f>'B) D RI'!U264</f>
        <v>98158.514897959176</v>
      </c>
      <c r="D262" s="110">
        <f>'E) Fact soc'!G268/C262</f>
        <v>31.022541877730916</v>
      </c>
      <c r="E262" s="136">
        <f>'H) Péréquation directe'!I273/C262</f>
        <v>18.370753105111785</v>
      </c>
      <c r="F262" s="415">
        <f>+'I) Dépenses thématiques'!U262</f>
        <v>0</v>
      </c>
      <c r="G262" s="136">
        <f t="shared" ref="G262:G313" si="17">SUM(D262:F262)</f>
        <v>49.393294982842704</v>
      </c>
      <c r="H262" s="110">
        <f t="shared" ref="H262:H313" si="18">G262-F262</f>
        <v>49.393294982842704</v>
      </c>
      <c r="I262" s="136">
        <f t="shared" ref="I262:I313" si="19">IF(H262&lt;I$4,H262-I$4,0)</f>
        <v>0</v>
      </c>
      <c r="J262" s="55">
        <f t="shared" ref="J262:J313" si="20">-I262*C262</f>
        <v>0</v>
      </c>
      <c r="K262" s="36"/>
    </row>
    <row r="263" spans="1:11" x14ac:dyDescent="0.25">
      <c r="A263" s="49">
        <f>'A) Base RI'!A265</f>
        <v>5856</v>
      </c>
      <c r="B263" s="292" t="str">
        <f>'A) Base RI'!B265</f>
        <v>Essertines-sur-Rolle</v>
      </c>
      <c r="C263" s="95">
        <f>'B) D RI'!U265</f>
        <v>35711.648536726432</v>
      </c>
      <c r="D263" s="110">
        <f>'E) Fact soc'!G269/C263</f>
        <v>17.450825873641048</v>
      </c>
      <c r="E263" s="136">
        <f>'H) Péréquation directe'!I274/C263</f>
        <v>16.594698870036467</v>
      </c>
      <c r="F263" s="415">
        <f>+'I) Dépenses thématiques'!U263</f>
        <v>0</v>
      </c>
      <c r="G263" s="136">
        <f t="shared" si="17"/>
        <v>34.045524743677518</v>
      </c>
      <c r="H263" s="110">
        <f t="shared" si="18"/>
        <v>34.045524743677518</v>
      </c>
      <c r="I263" s="136">
        <f t="shared" si="19"/>
        <v>0</v>
      </c>
      <c r="J263" s="55">
        <f t="shared" si="20"/>
        <v>0</v>
      </c>
      <c r="K263" s="36"/>
    </row>
    <row r="264" spans="1:11" x14ac:dyDescent="0.25">
      <c r="A264" s="49">
        <f>'A) Base RI'!A266</f>
        <v>5857</v>
      </c>
      <c r="B264" s="292" t="str">
        <f>'A) Base RI'!B266</f>
        <v>Gilly</v>
      </c>
      <c r="C264" s="95">
        <f>'B) D RI'!U266</f>
        <v>82128.423720930223</v>
      </c>
      <c r="D264" s="110">
        <f>'E) Fact soc'!G270/C264</f>
        <v>17.314583586889263</v>
      </c>
      <c r="E264" s="136">
        <f>'H) Péréquation directe'!I275/C264</f>
        <v>15.844993702372973</v>
      </c>
      <c r="F264" s="415">
        <f>+'I) Dépenses thématiques'!U264</f>
        <v>0</v>
      </c>
      <c r="G264" s="136">
        <f t="shared" si="17"/>
        <v>33.159577289262238</v>
      </c>
      <c r="H264" s="110">
        <f t="shared" si="18"/>
        <v>33.159577289262238</v>
      </c>
      <c r="I264" s="136">
        <f t="shared" si="19"/>
        <v>0</v>
      </c>
      <c r="J264" s="55">
        <f t="shared" si="20"/>
        <v>0</v>
      </c>
      <c r="K264" s="36"/>
    </row>
    <row r="265" spans="1:11" x14ac:dyDescent="0.25">
      <c r="A265" s="49">
        <f>'A) Base RI'!A267</f>
        <v>5858</v>
      </c>
      <c r="B265" s="292" t="str">
        <f>'A) Base RI'!B267</f>
        <v>Luins</v>
      </c>
      <c r="C265" s="95">
        <f>'B) D RI'!U267</f>
        <v>40290.677378917375</v>
      </c>
      <c r="D265" s="110">
        <f>'E) Fact soc'!G271/C265</f>
        <v>18.660225654815818</v>
      </c>
      <c r="E265" s="136">
        <f>'H) Péréquation directe'!I276/C265</f>
        <v>17.259080176789141</v>
      </c>
      <c r="F265" s="415">
        <f>+'I) Dépenses thématiques'!U265</f>
        <v>0</v>
      </c>
      <c r="G265" s="136">
        <f t="shared" si="17"/>
        <v>35.919305831604959</v>
      </c>
      <c r="H265" s="110">
        <f t="shared" si="18"/>
        <v>35.919305831604959</v>
      </c>
      <c r="I265" s="136">
        <f t="shared" si="19"/>
        <v>0</v>
      </c>
      <c r="J265" s="55">
        <f t="shared" si="20"/>
        <v>0</v>
      </c>
      <c r="K265" s="36"/>
    </row>
    <row r="266" spans="1:11" x14ac:dyDescent="0.25">
      <c r="A266" s="49">
        <f>'A) Base RI'!A268</f>
        <v>5859</v>
      </c>
      <c r="B266" s="292" t="str">
        <f>'A) Base RI'!B268</f>
        <v>Mont-sur-Rolle</v>
      </c>
      <c r="C266" s="95">
        <f>'B) D RI'!U268</f>
        <v>146465.78251968499</v>
      </c>
      <c r="D266" s="110">
        <f>'E) Fact soc'!G272/C266</f>
        <v>17.627474243257545</v>
      </c>
      <c r="E266" s="136">
        <f>'H) Péréquation directe'!I277/C266</f>
        <v>14.415785382630055</v>
      </c>
      <c r="F266" s="415">
        <f>+'I) Dépenses thématiques'!U266</f>
        <v>0</v>
      </c>
      <c r="G266" s="136">
        <f t="shared" si="17"/>
        <v>32.0432596258876</v>
      </c>
      <c r="H266" s="110">
        <f t="shared" si="18"/>
        <v>32.0432596258876</v>
      </c>
      <c r="I266" s="136">
        <f t="shared" si="19"/>
        <v>0</v>
      </c>
      <c r="J266" s="55">
        <f t="shared" si="20"/>
        <v>0</v>
      </c>
      <c r="K266" s="36"/>
    </row>
    <row r="267" spans="1:11" x14ac:dyDescent="0.25">
      <c r="A267" s="49">
        <f>'A) Base RI'!A269</f>
        <v>5860</v>
      </c>
      <c r="B267" s="292" t="str">
        <f>'A) Base RI'!B269</f>
        <v>Perroy</v>
      </c>
      <c r="C267" s="95">
        <f>'B) D RI'!U269</f>
        <v>187175.54426035503</v>
      </c>
      <c r="D267" s="110">
        <f>'E) Fact soc'!G273/C267</f>
        <v>30.742186823125213</v>
      </c>
      <c r="E267" s="136">
        <f>'H) Péréquation directe'!I278/C267</f>
        <v>17.540782267670544</v>
      </c>
      <c r="F267" s="415">
        <f>+'I) Dépenses thématiques'!U267</f>
        <v>0</v>
      </c>
      <c r="G267" s="136">
        <f t="shared" si="17"/>
        <v>48.28296909079576</v>
      </c>
      <c r="H267" s="110">
        <f t="shared" si="18"/>
        <v>48.28296909079576</v>
      </c>
      <c r="I267" s="136">
        <f t="shared" si="19"/>
        <v>0</v>
      </c>
      <c r="J267" s="55">
        <f t="shared" si="20"/>
        <v>0</v>
      </c>
      <c r="K267" s="36"/>
    </row>
    <row r="268" spans="1:11" x14ac:dyDescent="0.25">
      <c r="A268" s="49">
        <f>'A) Base RI'!A270</f>
        <v>5861</v>
      </c>
      <c r="B268" s="292" t="str">
        <f>'A) Base RI'!B270</f>
        <v>Rolle</v>
      </c>
      <c r="C268" s="95">
        <f>'B) D RI'!U270</f>
        <v>1938335.8673949579</v>
      </c>
      <c r="D268" s="110">
        <f>'E) Fact soc'!G274/C268</f>
        <v>40.768698915252486</v>
      </c>
      <c r="E268" s="136">
        <f>'H) Péréquation directe'!I279/C268</f>
        <v>17.843512733085777</v>
      </c>
      <c r="F268" s="415">
        <f>+'I) Dépenses thématiques'!U268</f>
        <v>0</v>
      </c>
      <c r="G268" s="136">
        <f t="shared" si="17"/>
        <v>58.61221164833826</v>
      </c>
      <c r="H268" s="110">
        <f t="shared" si="18"/>
        <v>58.61221164833826</v>
      </c>
      <c r="I268" s="136">
        <f t="shared" si="19"/>
        <v>0</v>
      </c>
      <c r="J268" s="55">
        <f t="shared" si="20"/>
        <v>0</v>
      </c>
      <c r="K268" s="36"/>
    </row>
    <row r="269" spans="1:11" x14ac:dyDescent="0.25">
      <c r="A269" s="49">
        <f>'A) Base RI'!A271</f>
        <v>5862</v>
      </c>
      <c r="B269" s="292" t="str">
        <f>'A) Base RI'!B271</f>
        <v>Tartegnin</v>
      </c>
      <c r="C269" s="95">
        <f>'B) D RI'!U271</f>
        <v>8096.4381012658214</v>
      </c>
      <c r="D269" s="110">
        <f>'E) Fact soc'!G275/C269</f>
        <v>13.796813058784483</v>
      </c>
      <c r="E269" s="136">
        <f>'H) Péréquation directe'!I280/C269</f>
        <v>5.4322059408758978</v>
      </c>
      <c r="F269" s="415">
        <f>+'I) Dépenses thématiques'!U269</f>
        <v>0</v>
      </c>
      <c r="G269" s="136">
        <f t="shared" si="17"/>
        <v>19.229018999660383</v>
      </c>
      <c r="H269" s="110">
        <f t="shared" si="18"/>
        <v>19.229018999660383</v>
      </c>
      <c r="I269" s="136">
        <f t="shared" si="19"/>
        <v>0</v>
      </c>
      <c r="J269" s="55">
        <f t="shared" si="20"/>
        <v>0</v>
      </c>
      <c r="K269" s="36"/>
    </row>
    <row r="270" spans="1:11" x14ac:dyDescent="0.25">
      <c r="A270" s="49">
        <f>'A) Base RI'!A272</f>
        <v>5863</v>
      </c>
      <c r="B270" s="292" t="str">
        <f>'A) Base RI'!B272</f>
        <v>Vinzel</v>
      </c>
      <c r="C270" s="95">
        <f>'B) D RI'!U272</f>
        <v>21933.69492537314</v>
      </c>
      <c r="D270" s="110">
        <f>'E) Fact soc'!G276/C270</f>
        <v>18.20155584464398</v>
      </c>
      <c r="E270" s="136">
        <f>'H) Péréquation directe'!I281/C270</f>
        <v>16.987589613647433</v>
      </c>
      <c r="F270" s="415">
        <f>+'I) Dépenses thématiques'!U270</f>
        <v>0</v>
      </c>
      <c r="G270" s="136">
        <f t="shared" si="17"/>
        <v>35.189145458291414</v>
      </c>
      <c r="H270" s="110">
        <f t="shared" si="18"/>
        <v>35.189145458291414</v>
      </c>
      <c r="I270" s="136">
        <f t="shared" si="19"/>
        <v>0</v>
      </c>
      <c r="J270" s="55">
        <f t="shared" si="20"/>
        <v>0</v>
      </c>
      <c r="K270" s="36"/>
    </row>
    <row r="271" spans="1:11" x14ac:dyDescent="0.25">
      <c r="A271" s="49">
        <f>'A) Base RI'!A273</f>
        <v>5871</v>
      </c>
      <c r="B271" s="292" t="str">
        <f>'A) Base RI'!B273</f>
        <v>L'Abbaye</v>
      </c>
      <c r="C271" s="95">
        <f>'B) D RI'!U273</f>
        <v>49513.521273852508</v>
      </c>
      <c r="D271" s="110">
        <f>'E) Fact soc'!G277/C271</f>
        <v>20.791529581066801</v>
      </c>
      <c r="E271" s="136">
        <f>'H) Péréquation directe'!I282/C271</f>
        <v>2.8925799776259473</v>
      </c>
      <c r="F271" s="415">
        <f>+'I) Dépenses thématiques'!U271</f>
        <v>-7.0605081877200186</v>
      </c>
      <c r="G271" s="136">
        <f t="shared" si="17"/>
        <v>16.623601370972729</v>
      </c>
      <c r="H271" s="110">
        <f t="shared" si="18"/>
        <v>23.684109558692747</v>
      </c>
      <c r="I271" s="136">
        <f t="shared" si="19"/>
        <v>0</v>
      </c>
      <c r="J271" s="55">
        <f t="shared" si="20"/>
        <v>0</v>
      </c>
      <c r="K271" s="36"/>
    </row>
    <row r="272" spans="1:11" x14ac:dyDescent="0.25">
      <c r="A272" s="49">
        <f>'A) Base RI'!A274</f>
        <v>5872</v>
      </c>
      <c r="B272" s="292" t="str">
        <f>'A) Base RI'!B274</f>
        <v>Le Chenit</v>
      </c>
      <c r="C272" s="95">
        <f>'B) D RI'!U274</f>
        <v>236042.78222554145</v>
      </c>
      <c r="D272" s="110">
        <f>'E) Fact soc'!G278/C272</f>
        <v>30.462511467604831</v>
      </c>
      <c r="E272" s="136">
        <f>'H) Péréquation directe'!I283/C272</f>
        <v>12.335105505534008</v>
      </c>
      <c r="F272" s="415">
        <f>+'I) Dépenses thématiques'!U272</f>
        <v>-6.461235355717502</v>
      </c>
      <c r="G272" s="136">
        <f t="shared" si="17"/>
        <v>36.336381617421338</v>
      </c>
      <c r="H272" s="110">
        <f t="shared" si="18"/>
        <v>42.797616973138844</v>
      </c>
      <c r="I272" s="136">
        <f t="shared" si="19"/>
        <v>0</v>
      </c>
      <c r="J272" s="55">
        <f t="shared" si="20"/>
        <v>0</v>
      </c>
      <c r="K272" s="36"/>
    </row>
    <row r="273" spans="1:11" x14ac:dyDescent="0.25">
      <c r="A273" s="49">
        <f>'A) Base RI'!A275</f>
        <v>5873</v>
      </c>
      <c r="B273" s="292" t="str">
        <f>'A) Base RI'!B275</f>
        <v>Le Lieu</v>
      </c>
      <c r="C273" s="95">
        <f>'B) D RI'!U275</f>
        <v>30440.408392857149</v>
      </c>
      <c r="D273" s="110">
        <f>'E) Fact soc'!G279/C273</f>
        <v>25.671955633967066</v>
      </c>
      <c r="E273" s="136">
        <f>'H) Péréquation directe'!I284/C273</f>
        <v>7.5813939181263859</v>
      </c>
      <c r="F273" s="415">
        <f>+'I) Dépenses thématiques'!U273</f>
        <v>-22.770160781116793</v>
      </c>
      <c r="G273" s="136">
        <f t="shared" si="17"/>
        <v>10.48318877097666</v>
      </c>
      <c r="H273" s="110">
        <f t="shared" si="18"/>
        <v>33.253349552093454</v>
      </c>
      <c r="I273" s="136">
        <f t="shared" si="19"/>
        <v>0</v>
      </c>
      <c r="J273" s="55">
        <f t="shared" si="20"/>
        <v>0</v>
      </c>
      <c r="K273" s="36"/>
    </row>
    <row r="274" spans="1:11" x14ac:dyDescent="0.25">
      <c r="A274" s="49">
        <f>'A) Base RI'!A276</f>
        <v>5881</v>
      </c>
      <c r="B274" s="292" t="str">
        <f>'A) Base RI'!B276</f>
        <v>Blonay</v>
      </c>
      <c r="C274" s="95">
        <f>'B) D RI'!U276</f>
        <v>363266.43007299263</v>
      </c>
      <c r="D274" s="110">
        <f>'E) Fact soc'!G280/C274</f>
        <v>21.071436820334455</v>
      </c>
      <c r="E274" s="136">
        <f>'H) Péréquation directe'!I285/C274</f>
        <v>12.189975845803662</v>
      </c>
      <c r="F274" s="415">
        <f>+'I) Dépenses thématiques'!U274</f>
        <v>-1.9582778316850251</v>
      </c>
      <c r="G274" s="136">
        <f t="shared" si="17"/>
        <v>31.30313483445309</v>
      </c>
      <c r="H274" s="110">
        <f t="shared" si="18"/>
        <v>33.261412666138114</v>
      </c>
      <c r="I274" s="136">
        <f t="shared" si="19"/>
        <v>0</v>
      </c>
      <c r="J274" s="55">
        <f t="shared" si="20"/>
        <v>0</v>
      </c>
      <c r="K274" s="36"/>
    </row>
    <row r="275" spans="1:11" x14ac:dyDescent="0.25">
      <c r="A275" s="49">
        <f>'A) Base RI'!A277</f>
        <v>5882</v>
      </c>
      <c r="B275" s="292" t="str">
        <f>'A) Base RI'!B277</f>
        <v>Chardonne</v>
      </c>
      <c r="C275" s="95">
        <f>'B) D RI'!U277</f>
        <v>179032.37397058826</v>
      </c>
      <c r="D275" s="110">
        <f>'E) Fact soc'!G281/C275</f>
        <v>19.272475813415713</v>
      </c>
      <c r="E275" s="136">
        <f>'H) Péréquation directe'!I286/C275</f>
        <v>14.335386580088743</v>
      </c>
      <c r="F275" s="415">
        <f>+'I) Dépenses thématiques'!U275</f>
        <v>-2.1469790499433183</v>
      </c>
      <c r="G275" s="136">
        <f t="shared" si="17"/>
        <v>31.460883343561136</v>
      </c>
      <c r="H275" s="110">
        <f t="shared" si="18"/>
        <v>33.607862393504455</v>
      </c>
      <c r="I275" s="136">
        <f t="shared" si="19"/>
        <v>0</v>
      </c>
      <c r="J275" s="55">
        <f t="shared" si="20"/>
        <v>0</v>
      </c>
      <c r="K275" s="36"/>
    </row>
    <row r="276" spans="1:11" x14ac:dyDescent="0.25">
      <c r="A276" s="49">
        <f>'A) Base RI'!A278</f>
        <v>5883</v>
      </c>
      <c r="B276" s="292" t="str">
        <f>'A) Base RI'!B278</f>
        <v>Corseaux</v>
      </c>
      <c r="C276" s="95">
        <f>'B) D RI'!U278</f>
        <v>167893.40074074076</v>
      </c>
      <c r="D276" s="110">
        <f>'E) Fact soc'!G282/C276</f>
        <v>22.024615478605256</v>
      </c>
      <c r="E276" s="136">
        <f>'H) Péréquation directe'!I287/C276</f>
        <v>15.714527320685457</v>
      </c>
      <c r="F276" s="415">
        <f>+'I) Dépenses thématiques'!U276</f>
        <v>0</v>
      </c>
      <c r="G276" s="136">
        <f t="shared" si="17"/>
        <v>37.739142799290711</v>
      </c>
      <c r="H276" s="110">
        <f t="shared" si="18"/>
        <v>37.739142799290711</v>
      </c>
      <c r="I276" s="136">
        <f t="shared" si="19"/>
        <v>0</v>
      </c>
      <c r="J276" s="55">
        <f t="shared" si="20"/>
        <v>0</v>
      </c>
      <c r="K276" s="36"/>
    </row>
    <row r="277" spans="1:11" x14ac:dyDescent="0.25">
      <c r="A277" s="49">
        <f>'A) Base RI'!A279</f>
        <v>5884</v>
      </c>
      <c r="B277" s="292" t="str">
        <f>'A) Base RI'!B279</f>
        <v>Corsier-sur-Vevey</v>
      </c>
      <c r="C277" s="95">
        <f>'B) D RI'!U279</f>
        <v>122170.7416919192</v>
      </c>
      <c r="D277" s="110">
        <f>'E) Fact soc'!G283/C277</f>
        <v>16.825116039495249</v>
      </c>
      <c r="E277" s="136">
        <f>'H) Péréquation directe'!I288/C277</f>
        <v>4.6710791094128226</v>
      </c>
      <c r="F277" s="415">
        <f>+'I) Dépenses thématiques'!U277</f>
        <v>-10.792420767759783</v>
      </c>
      <c r="G277" s="136">
        <f t="shared" si="17"/>
        <v>10.703774381148289</v>
      </c>
      <c r="H277" s="110">
        <f t="shared" si="18"/>
        <v>21.496195148908072</v>
      </c>
      <c r="I277" s="136">
        <f t="shared" si="19"/>
        <v>0</v>
      </c>
      <c r="J277" s="55">
        <f t="shared" si="20"/>
        <v>0</v>
      </c>
      <c r="K277" s="36"/>
    </row>
    <row r="278" spans="1:11" x14ac:dyDescent="0.25">
      <c r="A278" s="49">
        <f>'A) Base RI'!A280</f>
        <v>5885</v>
      </c>
      <c r="B278" s="292" t="str">
        <f>'A) Base RI'!B280</f>
        <v>Jongny</v>
      </c>
      <c r="C278" s="95">
        <f>'B) D RI'!U280</f>
        <v>85101.213069544348</v>
      </c>
      <c r="D278" s="110">
        <f>'E) Fact soc'!G284/C278</f>
        <v>18.2607643909631</v>
      </c>
      <c r="E278" s="136">
        <f>'H) Péréquation directe'!I289/C278</f>
        <v>14.973660953617591</v>
      </c>
      <c r="F278" s="415">
        <f>+'I) Dépenses thématiques'!U278</f>
        <v>-0.86551318043542291</v>
      </c>
      <c r="G278" s="136">
        <f t="shared" si="17"/>
        <v>32.368912164145272</v>
      </c>
      <c r="H278" s="110">
        <f t="shared" si="18"/>
        <v>33.234425344580693</v>
      </c>
      <c r="I278" s="136">
        <f t="shared" si="19"/>
        <v>0</v>
      </c>
      <c r="J278" s="55">
        <f t="shared" si="20"/>
        <v>0</v>
      </c>
      <c r="K278" s="36"/>
    </row>
    <row r="279" spans="1:11" x14ac:dyDescent="0.25">
      <c r="A279" s="49">
        <f>'A) Base RI'!A281</f>
        <v>5886</v>
      </c>
      <c r="B279" s="292" t="str">
        <f>'A) Base RI'!B281</f>
        <v>Montreux</v>
      </c>
      <c r="C279" s="95">
        <f>'B) D RI'!U281</f>
        <v>1097075.3945128203</v>
      </c>
      <c r="D279" s="110">
        <f>'E) Fact soc'!G285/C279</f>
        <v>23.579132068309054</v>
      </c>
      <c r="E279" s="136">
        <f>'H) Péréquation directe'!I290/C279</f>
        <v>-2.8223817822738586</v>
      </c>
      <c r="F279" s="415">
        <f>+'I) Dépenses thématiques'!U279</f>
        <v>-5.7642531850299044</v>
      </c>
      <c r="G279" s="136">
        <f t="shared" si="17"/>
        <v>14.992497101005291</v>
      </c>
      <c r="H279" s="110">
        <f t="shared" si="18"/>
        <v>20.756750286035196</v>
      </c>
      <c r="I279" s="136">
        <f t="shared" si="19"/>
        <v>0</v>
      </c>
      <c r="J279" s="55">
        <f t="shared" si="20"/>
        <v>0</v>
      </c>
      <c r="K279" s="36"/>
    </row>
    <row r="280" spans="1:11" x14ac:dyDescent="0.25">
      <c r="A280" s="49">
        <f>'A) Base RI'!A282</f>
        <v>5888</v>
      </c>
      <c r="B280" s="292" t="str">
        <f>'A) Base RI'!B282</f>
        <v>Saint-Légier-La Chiésaz</v>
      </c>
      <c r="C280" s="95">
        <f>'B) D RI'!U282</f>
        <v>325586.52158150851</v>
      </c>
      <c r="D280" s="110">
        <f>'E) Fact soc'!G286/C280</f>
        <v>19.352952072677059</v>
      </c>
      <c r="E280" s="136">
        <f>'H) Péréquation directe'!I291/C280</f>
        <v>12.649673282072435</v>
      </c>
      <c r="F280" s="415">
        <f>+'I) Dépenses thématiques'!U280</f>
        <v>-3.6668209529243074</v>
      </c>
      <c r="G280" s="136">
        <f t="shared" si="17"/>
        <v>28.33580440182519</v>
      </c>
      <c r="H280" s="110">
        <f t="shared" si="18"/>
        <v>32.002625354749497</v>
      </c>
      <c r="I280" s="136">
        <f t="shared" si="19"/>
        <v>0</v>
      </c>
      <c r="J280" s="55">
        <f t="shared" si="20"/>
        <v>0</v>
      </c>
      <c r="K280" s="36"/>
    </row>
    <row r="281" spans="1:11" x14ac:dyDescent="0.25">
      <c r="A281" s="49">
        <f>'A) Base RI'!A283</f>
        <v>5889</v>
      </c>
      <c r="B281" s="292" t="str">
        <f>'A) Base RI'!B283</f>
        <v>La Tour-de-Peilz</v>
      </c>
      <c r="C281" s="95">
        <f>'B) D RI'!U283</f>
        <v>675962.70015625004</v>
      </c>
      <c r="D281" s="110">
        <f>'E) Fact soc'!G287/C281</f>
        <v>17.805409123546365</v>
      </c>
      <c r="E281" s="136">
        <f>'H) Péréquation directe'!I292/C281</f>
        <v>9.0928301464686374</v>
      </c>
      <c r="F281" s="415">
        <f>+'I) Dépenses thématiques'!U281</f>
        <v>-0.20387633671302291</v>
      </c>
      <c r="G281" s="136">
        <f t="shared" si="17"/>
        <v>26.694362933301981</v>
      </c>
      <c r="H281" s="110">
        <f t="shared" si="18"/>
        <v>26.898239270015004</v>
      </c>
      <c r="I281" s="136">
        <f t="shared" si="19"/>
        <v>0</v>
      </c>
      <c r="J281" s="55">
        <f t="shared" si="20"/>
        <v>0</v>
      </c>
      <c r="K281" s="36"/>
    </row>
    <row r="282" spans="1:11" x14ac:dyDescent="0.25">
      <c r="A282" s="49">
        <f>'A) Base RI'!A284</f>
        <v>5890</v>
      </c>
      <c r="B282" s="292" t="str">
        <f>'A) Base RI'!B284</f>
        <v>Vevey</v>
      </c>
      <c r="C282" s="95">
        <f>'B) D RI'!U284</f>
        <v>862625.86017897108</v>
      </c>
      <c r="D282" s="110">
        <f>'E) Fact soc'!G288/C282</f>
        <v>17.441762685787651</v>
      </c>
      <c r="E282" s="136">
        <f>'H) Péréquation directe'!I293/C282</f>
        <v>-0.1753852859631152</v>
      </c>
      <c r="F282" s="415">
        <f>+'I) Dépenses thématiques'!U282</f>
        <v>-4.3086791858466249</v>
      </c>
      <c r="G282" s="136">
        <f t="shared" si="17"/>
        <v>12.95769821397791</v>
      </c>
      <c r="H282" s="110">
        <f t="shared" si="18"/>
        <v>17.266377399824535</v>
      </c>
      <c r="I282" s="136">
        <f t="shared" si="19"/>
        <v>0</v>
      </c>
      <c r="J282" s="55">
        <f t="shared" si="20"/>
        <v>0</v>
      </c>
      <c r="K282" s="36"/>
    </row>
    <row r="283" spans="1:11" x14ac:dyDescent="0.25">
      <c r="A283" s="49">
        <f>'A) Base RI'!A285</f>
        <v>5891</v>
      </c>
      <c r="B283" s="292" t="str">
        <f>'A) Base RI'!B285</f>
        <v>Veytaux</v>
      </c>
      <c r="C283" s="95">
        <f>'B) D RI'!U285</f>
        <v>43950.38565947242</v>
      </c>
      <c r="D283" s="110">
        <f>'E) Fact soc'!G289/C283</f>
        <v>17.091130853123136</v>
      </c>
      <c r="E283" s="136">
        <f>'H) Péréquation directe'!I294/C283</f>
        <v>15.541205293370526</v>
      </c>
      <c r="F283" s="415">
        <f>+'I) Dépenses thématiques'!U283</f>
        <v>-10.401965533151799</v>
      </c>
      <c r="G283" s="136">
        <f t="shared" si="17"/>
        <v>22.230370613341865</v>
      </c>
      <c r="H283" s="110">
        <f t="shared" si="18"/>
        <v>32.632336146493664</v>
      </c>
      <c r="I283" s="136">
        <f t="shared" si="19"/>
        <v>0</v>
      </c>
      <c r="J283" s="55">
        <f t="shared" si="20"/>
        <v>0</v>
      </c>
      <c r="K283" s="36"/>
    </row>
    <row r="284" spans="1:11" x14ac:dyDescent="0.25">
      <c r="A284" s="49">
        <f>'A) Base RI'!A286</f>
        <v>5902</v>
      </c>
      <c r="B284" s="292" t="str">
        <f>'A) Base RI'!B286</f>
        <v>Belmont-sur-Yverdon</v>
      </c>
      <c r="C284" s="95">
        <f>'B) D RI'!U286</f>
        <v>11719.310285714289</v>
      </c>
      <c r="D284" s="110">
        <f>'E) Fact soc'!G290/C284</f>
        <v>20.70105102878523</v>
      </c>
      <c r="E284" s="136">
        <f>'H) Péréquation directe'!I295/C284</f>
        <v>2.6350384523752886</v>
      </c>
      <c r="F284" s="415">
        <f>+'I) Dépenses thématiques'!U284</f>
        <v>-0.37481022164493016</v>
      </c>
      <c r="G284" s="136">
        <f t="shared" si="17"/>
        <v>22.961279259515585</v>
      </c>
      <c r="H284" s="110">
        <f t="shared" si="18"/>
        <v>23.336089481160517</v>
      </c>
      <c r="I284" s="136">
        <f t="shared" si="19"/>
        <v>0</v>
      </c>
      <c r="J284" s="55">
        <f t="shared" si="20"/>
        <v>0</v>
      </c>
      <c r="K284" s="36"/>
    </row>
    <row r="285" spans="1:11" x14ac:dyDescent="0.25">
      <c r="A285" s="49">
        <f>'A) Base RI'!A287</f>
        <v>5903</v>
      </c>
      <c r="B285" s="292" t="str">
        <f>'A) Base RI'!B287</f>
        <v>Bioley-Magnoux</v>
      </c>
      <c r="C285" s="95">
        <f>'B) D RI'!U287</f>
        <v>5017.2132738095233</v>
      </c>
      <c r="D285" s="110">
        <f>'E) Fact soc'!G291/C285</f>
        <v>15.692724833544691</v>
      </c>
      <c r="E285" s="136">
        <f>'H) Péréquation directe'!I296/C285</f>
        <v>-11.648545152175139</v>
      </c>
      <c r="F285" s="415">
        <f>+'I) Dépenses thématiques'!U285</f>
        <v>-27.711012630766632</v>
      </c>
      <c r="G285" s="136">
        <f t="shared" si="17"/>
        <v>-23.666832949397079</v>
      </c>
      <c r="H285" s="110">
        <f t="shared" si="18"/>
        <v>4.0441796813695525</v>
      </c>
      <c r="I285" s="136">
        <f t="shared" si="19"/>
        <v>0</v>
      </c>
      <c r="J285" s="55">
        <f t="shared" si="20"/>
        <v>0</v>
      </c>
      <c r="K285" s="36"/>
    </row>
    <row r="286" spans="1:11" x14ac:dyDescent="0.25">
      <c r="A286" s="49">
        <f>'A) Base RI'!A288</f>
        <v>5904</v>
      </c>
      <c r="B286" s="292" t="str">
        <f>'A) Base RI'!B288</f>
        <v>Chamblon</v>
      </c>
      <c r="C286" s="95">
        <f>'B) D RI'!U288</f>
        <v>21694.056363636359</v>
      </c>
      <c r="D286" s="110">
        <f>'E) Fact soc'!G292/C286</f>
        <v>15.651860844813386</v>
      </c>
      <c r="E286" s="136">
        <f>'H) Péréquation directe'!I297/C286</f>
        <v>11.753708927239517</v>
      </c>
      <c r="F286" s="415">
        <f>+'I) Dépenses thématiques'!U286</f>
        <v>0</v>
      </c>
      <c r="G286" s="136">
        <f t="shared" si="17"/>
        <v>27.405569772052903</v>
      </c>
      <c r="H286" s="110">
        <f t="shared" si="18"/>
        <v>27.405569772052903</v>
      </c>
      <c r="I286" s="136">
        <f t="shared" si="19"/>
        <v>0</v>
      </c>
      <c r="J286" s="55">
        <f t="shared" si="20"/>
        <v>0</v>
      </c>
      <c r="K286" s="36"/>
    </row>
    <row r="287" spans="1:11" x14ac:dyDescent="0.25">
      <c r="A287" s="49">
        <f>'A) Base RI'!A289</f>
        <v>5905</v>
      </c>
      <c r="B287" s="292" t="str">
        <f>'A) Base RI'!B289</f>
        <v>Champvent</v>
      </c>
      <c r="C287" s="95">
        <f>'B) D RI'!U289</f>
        <v>21673.362816901412</v>
      </c>
      <c r="D287" s="110">
        <f>'E) Fact soc'!G293/C287</f>
        <v>16.81017212451119</v>
      </c>
      <c r="E287" s="136">
        <f>'H) Péréquation directe'!I298/C287</f>
        <v>4.1219176090481469</v>
      </c>
      <c r="F287" s="415">
        <f>+'I) Dépenses thématiques'!U287</f>
        <v>-4.0963681477872518</v>
      </c>
      <c r="G287" s="136">
        <f t="shared" si="17"/>
        <v>16.835721585772085</v>
      </c>
      <c r="H287" s="110">
        <f t="shared" si="18"/>
        <v>20.932089733559337</v>
      </c>
      <c r="I287" s="136">
        <f t="shared" si="19"/>
        <v>0</v>
      </c>
      <c r="J287" s="55">
        <f t="shared" si="20"/>
        <v>0</v>
      </c>
      <c r="K287" s="36"/>
    </row>
    <row r="288" spans="1:11" x14ac:dyDescent="0.25">
      <c r="A288" s="49">
        <f>'A) Base RI'!A290</f>
        <v>5907</v>
      </c>
      <c r="B288" s="292" t="str">
        <f>'A) Base RI'!B290</f>
        <v>Chavannes-le-Chêne</v>
      </c>
      <c r="C288" s="95">
        <f>'B) D RI'!U290</f>
        <v>9891.0456000000013</v>
      </c>
      <c r="D288" s="110">
        <f>'E) Fact soc'!G294/C288</f>
        <v>15.345209209441556</v>
      </c>
      <c r="E288" s="136">
        <f>'H) Péréquation directe'!I299/C288</f>
        <v>2.0609593821917915</v>
      </c>
      <c r="F288" s="415">
        <f>+'I) Dépenses thématiques'!U288</f>
        <v>-4.9006928448494858</v>
      </c>
      <c r="G288" s="136">
        <f t="shared" si="17"/>
        <v>12.50547574678386</v>
      </c>
      <c r="H288" s="110">
        <f t="shared" si="18"/>
        <v>17.406168591633346</v>
      </c>
      <c r="I288" s="136">
        <f t="shared" si="19"/>
        <v>0</v>
      </c>
      <c r="J288" s="55">
        <f t="shared" si="20"/>
        <v>0</v>
      </c>
      <c r="K288" s="36"/>
    </row>
    <row r="289" spans="1:11" x14ac:dyDescent="0.25">
      <c r="A289" s="49">
        <f>'A) Base RI'!A291</f>
        <v>5908</v>
      </c>
      <c r="B289" s="292" t="str">
        <f>'A) Base RI'!B291</f>
        <v>Chêne-Pâquier</v>
      </c>
      <c r="C289" s="95">
        <f>'B) D RI'!U291</f>
        <v>6502.4863291139245</v>
      </c>
      <c r="D289" s="110">
        <f>'E) Fact soc'!G295/C289</f>
        <v>14.390252370775478</v>
      </c>
      <c r="E289" s="136">
        <f>'H) Péréquation directe'!I300/C289</f>
        <v>14.747326316457364</v>
      </c>
      <c r="F289" s="415">
        <f>+'I) Dépenses thématiques'!U289</f>
        <v>-1.0345481578399942</v>
      </c>
      <c r="G289" s="136">
        <f t="shared" si="17"/>
        <v>28.10303052939285</v>
      </c>
      <c r="H289" s="110">
        <f t="shared" si="18"/>
        <v>29.137578687232843</v>
      </c>
      <c r="I289" s="136">
        <f t="shared" si="19"/>
        <v>0</v>
      </c>
      <c r="J289" s="55">
        <f t="shared" si="20"/>
        <v>0</v>
      </c>
      <c r="K289" s="36"/>
    </row>
    <row r="290" spans="1:11" x14ac:dyDescent="0.25">
      <c r="A290" s="49">
        <f>'A) Base RI'!A292</f>
        <v>5909</v>
      </c>
      <c r="B290" s="292" t="str">
        <f>'A) Base RI'!B292</f>
        <v>Cheseaux-Noréaz</v>
      </c>
      <c r="C290" s="95">
        <f>'B) D RI'!U292</f>
        <v>39259.116417910453</v>
      </c>
      <c r="D290" s="110">
        <f>'E) Fact soc'!G296/C290</f>
        <v>15.951577742525034</v>
      </c>
      <c r="E290" s="136">
        <f>'H) Péréquation directe'!I301/C290</f>
        <v>16.823707428733716</v>
      </c>
      <c r="F290" s="415">
        <f>+'I) Dépenses thématiques'!U290</f>
        <v>-0.72205016513323872</v>
      </c>
      <c r="G290" s="136">
        <f t="shared" si="17"/>
        <v>32.053235006125512</v>
      </c>
      <c r="H290" s="110">
        <f t="shared" si="18"/>
        <v>32.775285171258751</v>
      </c>
      <c r="I290" s="136">
        <f t="shared" si="19"/>
        <v>0</v>
      </c>
      <c r="J290" s="55">
        <f t="shared" si="20"/>
        <v>0</v>
      </c>
      <c r="K290" s="36"/>
    </row>
    <row r="291" spans="1:11" x14ac:dyDescent="0.25">
      <c r="A291" s="49">
        <f>'A) Base RI'!A293</f>
        <v>5910</v>
      </c>
      <c r="B291" s="292" t="str">
        <f>'A) Base RI'!B293</f>
        <v>Cronay</v>
      </c>
      <c r="C291" s="95">
        <f>'B) D RI'!U293</f>
        <v>9976.0020779220758</v>
      </c>
      <c r="D291" s="110">
        <f>'E) Fact soc'!G297/C291</f>
        <v>12.993789906368782</v>
      </c>
      <c r="E291" s="136">
        <f>'H) Péréquation directe'!I302/C291</f>
        <v>-7.0724525470034765</v>
      </c>
      <c r="F291" s="415">
        <f>+'I) Dépenses thématiques'!U291</f>
        <v>-10.057033387760054</v>
      </c>
      <c r="G291" s="136">
        <f t="shared" si="17"/>
        <v>-4.1356960283947481</v>
      </c>
      <c r="H291" s="110">
        <f t="shared" si="18"/>
        <v>5.9213373593653058</v>
      </c>
      <c r="I291" s="136">
        <f t="shared" si="19"/>
        <v>0</v>
      </c>
      <c r="J291" s="55">
        <f t="shared" si="20"/>
        <v>0</v>
      </c>
      <c r="K291" s="36"/>
    </row>
    <row r="292" spans="1:11" x14ac:dyDescent="0.25">
      <c r="A292" s="49">
        <f>'A) Base RI'!A294</f>
        <v>5911</v>
      </c>
      <c r="B292" s="292" t="str">
        <f>'A) Base RI'!B294</f>
        <v>Cuarny</v>
      </c>
      <c r="C292" s="95">
        <f>'B) D RI'!U294</f>
        <v>6939.4670129870128</v>
      </c>
      <c r="D292" s="110">
        <f>'E) Fact soc'!G298/C292</f>
        <v>13.6545605927937</v>
      </c>
      <c r="E292" s="136">
        <f>'H) Péréquation directe'!I303/C292</f>
        <v>0.13296711986236681</v>
      </c>
      <c r="F292" s="415">
        <f>+'I) Dépenses thématiques'!U292</f>
        <v>-1.2277380447796657</v>
      </c>
      <c r="G292" s="136">
        <f t="shared" si="17"/>
        <v>12.559789667876402</v>
      </c>
      <c r="H292" s="110">
        <f t="shared" si="18"/>
        <v>13.787527712656068</v>
      </c>
      <c r="I292" s="136">
        <f t="shared" si="19"/>
        <v>0</v>
      </c>
      <c r="J292" s="55">
        <f t="shared" si="20"/>
        <v>0</v>
      </c>
      <c r="K292" s="36"/>
    </row>
    <row r="293" spans="1:11" x14ac:dyDescent="0.25">
      <c r="A293" s="49">
        <f>'A) Base RI'!A295</f>
        <v>5912</v>
      </c>
      <c r="B293" s="292" t="str">
        <f>'A) Base RI'!B295</f>
        <v>Démoret</v>
      </c>
      <c r="C293" s="95">
        <f>'B) D RI'!U295</f>
        <v>4070.6311111111104</v>
      </c>
      <c r="D293" s="110">
        <f>'E) Fact soc'!G299/C293</f>
        <v>16.305714458857082</v>
      </c>
      <c r="E293" s="136">
        <f>'H) Péréquation directe'!I304/C293</f>
        <v>-8.5412205283884397</v>
      </c>
      <c r="F293" s="415">
        <f>+'I) Dépenses thématiques'!U293</f>
        <v>-2.6803034637271654</v>
      </c>
      <c r="G293" s="136">
        <f t="shared" si="17"/>
        <v>5.084190466741477</v>
      </c>
      <c r="H293" s="110">
        <f t="shared" si="18"/>
        <v>7.7644939304686424</v>
      </c>
      <c r="I293" s="136">
        <f t="shared" si="19"/>
        <v>0</v>
      </c>
      <c r="J293" s="55">
        <f t="shared" si="20"/>
        <v>0</v>
      </c>
      <c r="K293" s="36"/>
    </row>
    <row r="294" spans="1:11" x14ac:dyDescent="0.25">
      <c r="A294" s="49">
        <f>'A) Base RI'!A296</f>
        <v>5913</v>
      </c>
      <c r="B294" s="292" t="str">
        <f>'A) Base RI'!B296</f>
        <v>Donneloye</v>
      </c>
      <c r="C294" s="95">
        <f>'B) D RI'!U296</f>
        <v>19880.828493150682</v>
      </c>
      <c r="D294" s="110">
        <f>'E) Fact soc'!G300/C294</f>
        <v>15.827268605715291</v>
      </c>
      <c r="E294" s="136">
        <f>'H) Péréquation directe'!I305/C294</f>
        <v>-7.5701181621100639</v>
      </c>
      <c r="F294" s="415">
        <f>+'I) Dépenses thématiques'!U294</f>
        <v>-2.1595758791453044</v>
      </c>
      <c r="G294" s="136">
        <f t="shared" si="17"/>
        <v>6.0975745644599222</v>
      </c>
      <c r="H294" s="110">
        <f t="shared" si="18"/>
        <v>8.2571504436052265</v>
      </c>
      <c r="I294" s="136">
        <f t="shared" si="19"/>
        <v>0</v>
      </c>
      <c r="J294" s="55">
        <f t="shared" si="20"/>
        <v>0</v>
      </c>
      <c r="K294" s="36"/>
    </row>
    <row r="295" spans="1:11" x14ac:dyDescent="0.25">
      <c r="A295" s="49">
        <f>'A) Base RI'!A297</f>
        <v>5914</v>
      </c>
      <c r="B295" s="292" t="str">
        <f>'A) Base RI'!B297</f>
        <v>Ependes</v>
      </c>
      <c r="C295" s="95">
        <f>'B) D RI'!U297</f>
        <v>10662.074965986394</v>
      </c>
      <c r="D295" s="110">
        <f>'E) Fact soc'!G301/C295</f>
        <v>15.788207737635839</v>
      </c>
      <c r="E295" s="136">
        <f>'H) Péréquation directe'!I306/C295</f>
        <v>-1.6669096499591061</v>
      </c>
      <c r="F295" s="415">
        <f>+'I) Dépenses thématiques'!U295</f>
        <v>-6.0592093176691586</v>
      </c>
      <c r="G295" s="136">
        <f t="shared" si="17"/>
        <v>8.0620887700075734</v>
      </c>
      <c r="H295" s="110">
        <f t="shared" si="18"/>
        <v>14.121298087676731</v>
      </c>
      <c r="I295" s="136">
        <f t="shared" si="19"/>
        <v>0</v>
      </c>
      <c r="J295" s="55">
        <f t="shared" si="20"/>
        <v>0</v>
      </c>
      <c r="K295" s="36"/>
    </row>
    <row r="296" spans="1:11" x14ac:dyDescent="0.25">
      <c r="A296" s="49">
        <f>'A) Base RI'!A298</f>
        <v>5919</v>
      </c>
      <c r="B296" s="292" t="str">
        <f>'A) Base RI'!B298</f>
        <v>Mathod</v>
      </c>
      <c r="C296" s="95">
        <f>'B) D RI'!U298</f>
        <v>21565.598078703704</v>
      </c>
      <c r="D296" s="110">
        <f>'E) Fact soc'!G302/C296</f>
        <v>19.84080893265088</v>
      </c>
      <c r="E296" s="136">
        <f>'H) Péréquation directe'!I307/C296</f>
        <v>5.9767453783239297</v>
      </c>
      <c r="F296" s="415">
        <f>+'I) Dépenses thématiques'!U296</f>
        <v>-9.6747913397224536</v>
      </c>
      <c r="G296" s="136">
        <f t="shared" si="17"/>
        <v>16.142762971252356</v>
      </c>
      <c r="H296" s="110">
        <f t="shared" si="18"/>
        <v>25.81755431097481</v>
      </c>
      <c r="I296" s="136">
        <f t="shared" si="19"/>
        <v>0</v>
      </c>
      <c r="J296" s="55">
        <f t="shared" si="20"/>
        <v>0</v>
      </c>
      <c r="K296" s="36"/>
    </row>
    <row r="297" spans="1:11" x14ac:dyDescent="0.25">
      <c r="A297" s="49">
        <f>'A) Base RI'!A299</f>
        <v>5921</v>
      </c>
      <c r="B297" s="292" t="str">
        <f>'A) Base RI'!B299</f>
        <v>Molondin</v>
      </c>
      <c r="C297" s="95">
        <f>'B) D RI'!U299</f>
        <v>5675.8933333333334</v>
      </c>
      <c r="D297" s="110">
        <f>'E) Fact soc'!G303/C297</f>
        <v>15.615087356421855</v>
      </c>
      <c r="E297" s="136">
        <f>'H) Péréquation directe'!I308/C297</f>
        <v>-16.313461005005699</v>
      </c>
      <c r="F297" s="415">
        <f>+'I) Dépenses thématiques'!U297</f>
        <v>-11.331490255865742</v>
      </c>
      <c r="G297" s="136">
        <f t="shared" si="17"/>
        <v>-12.029863904449586</v>
      </c>
      <c r="H297" s="110">
        <f t="shared" si="18"/>
        <v>-0.69837364858384454</v>
      </c>
      <c r="I297" s="136">
        <f t="shared" si="19"/>
        <v>0</v>
      </c>
      <c r="J297" s="55">
        <f t="shared" si="20"/>
        <v>0</v>
      </c>
      <c r="K297" s="36"/>
    </row>
    <row r="298" spans="1:11" x14ac:dyDescent="0.25">
      <c r="A298" s="49">
        <f>'A) Base RI'!A300</f>
        <v>5922</v>
      </c>
      <c r="B298" s="292" t="str">
        <f>'A) Base RI'!B300</f>
        <v>Montagny-près-Yverdon</v>
      </c>
      <c r="C298" s="95">
        <f>'B) D RI'!U300</f>
        <v>33326.398149606292</v>
      </c>
      <c r="D298" s="110">
        <f>'E) Fact soc'!G304/C298</f>
        <v>17.872057303020597</v>
      </c>
      <c r="E298" s="136">
        <f>'H) Péréquation directe'!I309/C298</f>
        <v>15.366444168284332</v>
      </c>
      <c r="F298" s="415">
        <f>+'I) Dépenses thématiques'!U298</f>
        <v>-4.753997428438991</v>
      </c>
      <c r="G298" s="136">
        <f t="shared" si="17"/>
        <v>28.484504042865936</v>
      </c>
      <c r="H298" s="110">
        <f t="shared" si="18"/>
        <v>33.238501471304929</v>
      </c>
      <c r="I298" s="136">
        <f t="shared" si="19"/>
        <v>0</v>
      </c>
      <c r="J298" s="55">
        <f t="shared" si="20"/>
        <v>0</v>
      </c>
      <c r="K298" s="36"/>
    </row>
    <row r="299" spans="1:11" x14ac:dyDescent="0.25">
      <c r="A299" s="49">
        <f>'A) Base RI'!A301</f>
        <v>5923</v>
      </c>
      <c r="B299" s="292" t="str">
        <f>'A) Base RI'!B301</f>
        <v>Oppens</v>
      </c>
      <c r="C299" s="95">
        <f>'B) D RI'!U301</f>
        <v>4799.240617283951</v>
      </c>
      <c r="D299" s="110">
        <f>'E) Fact soc'!G305/C299</f>
        <v>16.863192252556075</v>
      </c>
      <c r="E299" s="136">
        <f>'H) Péréquation directe'!I310/C299</f>
        <v>-12.810361707432701</v>
      </c>
      <c r="F299" s="415">
        <f>+'I) Dépenses thématiques'!U299</f>
        <v>-12.308015068176037</v>
      </c>
      <c r="G299" s="136">
        <f t="shared" si="17"/>
        <v>-8.2551845230526624</v>
      </c>
      <c r="H299" s="110">
        <f t="shared" si="18"/>
        <v>4.0528305451233742</v>
      </c>
      <c r="I299" s="136">
        <f t="shared" si="19"/>
        <v>0</v>
      </c>
      <c r="J299" s="55">
        <f t="shared" si="20"/>
        <v>0</v>
      </c>
      <c r="K299" s="36"/>
    </row>
    <row r="300" spans="1:11" x14ac:dyDescent="0.25">
      <c r="A300" s="49">
        <f>'A) Base RI'!A302</f>
        <v>5924</v>
      </c>
      <c r="B300" s="292" t="str">
        <f>'A) Base RI'!B302</f>
        <v>Orges</v>
      </c>
      <c r="C300" s="95">
        <f>'B) D RI'!U302</f>
        <v>12525.425270270271</v>
      </c>
      <c r="D300" s="110">
        <f>'E) Fact soc'!G306/C300</f>
        <v>20.652419284544866</v>
      </c>
      <c r="E300" s="136">
        <f>'H) Péréquation directe'!I311/C300</f>
        <v>8.758292329834374</v>
      </c>
      <c r="F300" s="415">
        <f>+'I) Dépenses thématiques'!U300</f>
        <v>0</v>
      </c>
      <c r="G300" s="136">
        <f t="shared" si="17"/>
        <v>29.410711614379238</v>
      </c>
      <c r="H300" s="110">
        <f t="shared" si="18"/>
        <v>29.410711614379238</v>
      </c>
      <c r="I300" s="136">
        <f t="shared" si="19"/>
        <v>0</v>
      </c>
      <c r="J300" s="55">
        <f t="shared" si="20"/>
        <v>0</v>
      </c>
      <c r="K300" s="36"/>
    </row>
    <row r="301" spans="1:11" x14ac:dyDescent="0.25">
      <c r="A301" s="49">
        <f>'A) Base RI'!A303</f>
        <v>5925</v>
      </c>
      <c r="B301" s="292" t="str">
        <f>'A) Base RI'!B303</f>
        <v>Orzens</v>
      </c>
      <c r="C301" s="95">
        <f>'B) D RI'!U303</f>
        <v>5879.4616455696196</v>
      </c>
      <c r="D301" s="110">
        <f>'E) Fact soc'!G307/C301</f>
        <v>25.158167816398109</v>
      </c>
      <c r="E301" s="136">
        <f>'H) Péréquation directe'!I312/C301</f>
        <v>-1.2691564829666233</v>
      </c>
      <c r="F301" s="415">
        <f>+'I) Dépenses thématiques'!U301</f>
        <v>-1.9564093765409127</v>
      </c>
      <c r="G301" s="136">
        <f t="shared" si="17"/>
        <v>21.932601956890576</v>
      </c>
      <c r="H301" s="110">
        <f t="shared" si="18"/>
        <v>23.889011333431487</v>
      </c>
      <c r="I301" s="136">
        <f t="shared" si="19"/>
        <v>0</v>
      </c>
      <c r="J301" s="55">
        <f t="shared" si="20"/>
        <v>0</v>
      </c>
      <c r="K301" s="36"/>
    </row>
    <row r="302" spans="1:11" x14ac:dyDescent="0.25">
      <c r="A302" s="49">
        <f>'A) Base RI'!A304</f>
        <v>5926</v>
      </c>
      <c r="B302" s="292" t="str">
        <f>'A) Base RI'!B304</f>
        <v>Pomy</v>
      </c>
      <c r="C302" s="95">
        <f>'B) D RI'!U304</f>
        <v>27363.186197183099</v>
      </c>
      <c r="D302" s="110">
        <f>'E) Fact soc'!G308/C302</f>
        <v>16.760871014382232</v>
      </c>
      <c r="E302" s="136">
        <f>'H) Péréquation directe'!I313/C302</f>
        <v>7.1608225109251888</v>
      </c>
      <c r="F302" s="415">
        <f>+'I) Dépenses thématiques'!U302</f>
        <v>-0.54591570811120949</v>
      </c>
      <c r="G302" s="136">
        <f t="shared" si="17"/>
        <v>23.375777817196212</v>
      </c>
      <c r="H302" s="110">
        <f t="shared" si="18"/>
        <v>23.921693525307422</v>
      </c>
      <c r="I302" s="136">
        <f t="shared" si="19"/>
        <v>0</v>
      </c>
      <c r="J302" s="55">
        <f t="shared" si="20"/>
        <v>0</v>
      </c>
      <c r="K302" s="36"/>
    </row>
    <row r="303" spans="1:11" x14ac:dyDescent="0.25">
      <c r="A303" s="49">
        <f>'A) Base RI'!A305</f>
        <v>5928</v>
      </c>
      <c r="B303" s="292" t="str">
        <f>'A) Base RI'!B305</f>
        <v>Rovray</v>
      </c>
      <c r="C303" s="95">
        <f>'B) D RI'!U305</f>
        <v>5563.4060139860139</v>
      </c>
      <c r="D303" s="110">
        <f>'E) Fact soc'!G309/C303</f>
        <v>14.227186164193766</v>
      </c>
      <c r="E303" s="136">
        <f>'H) Péréquation directe'!I314/C303</f>
        <v>-1.0994934167234311</v>
      </c>
      <c r="F303" s="415">
        <f>+'I) Dépenses thématiques'!U303</f>
        <v>0</v>
      </c>
      <c r="G303" s="136">
        <f t="shared" si="17"/>
        <v>13.127692747470334</v>
      </c>
      <c r="H303" s="110">
        <f t="shared" si="18"/>
        <v>13.127692747470334</v>
      </c>
      <c r="I303" s="136">
        <f t="shared" si="19"/>
        <v>0</v>
      </c>
      <c r="J303" s="55">
        <f t="shared" si="20"/>
        <v>0</v>
      </c>
      <c r="K303" s="36"/>
    </row>
    <row r="304" spans="1:11" x14ac:dyDescent="0.25">
      <c r="A304" s="49">
        <f>'A) Base RI'!A306</f>
        <v>5929</v>
      </c>
      <c r="B304" s="292" t="str">
        <f>'A) Base RI'!B306</f>
        <v>Suchy</v>
      </c>
      <c r="C304" s="95">
        <f>'B) D RI'!U306</f>
        <v>19827.403178571429</v>
      </c>
      <c r="D304" s="110">
        <f>'E) Fact soc'!G310/C304</f>
        <v>15.931963986788816</v>
      </c>
      <c r="E304" s="136">
        <f>'H) Péréquation directe'!I315/C304</f>
        <v>3.3899145284343701</v>
      </c>
      <c r="F304" s="415">
        <f>+'I) Dépenses thématiques'!U304</f>
        <v>-0.69856337167948668</v>
      </c>
      <c r="G304" s="136">
        <f t="shared" si="17"/>
        <v>18.623315143543699</v>
      </c>
      <c r="H304" s="110">
        <f t="shared" si="18"/>
        <v>19.321878515223187</v>
      </c>
      <c r="I304" s="136">
        <f t="shared" si="19"/>
        <v>0</v>
      </c>
      <c r="J304" s="55">
        <f t="shared" si="20"/>
        <v>0</v>
      </c>
      <c r="K304" s="36"/>
    </row>
    <row r="305" spans="1:13" x14ac:dyDescent="0.25">
      <c r="A305" s="49">
        <f>'A) Base RI'!A307</f>
        <v>5930</v>
      </c>
      <c r="B305" s="292" t="str">
        <f>'A) Base RI'!B307</f>
        <v>Suscévaz</v>
      </c>
      <c r="C305" s="95">
        <f>'B) D RI'!U307</f>
        <v>5769.1548611111102</v>
      </c>
      <c r="D305" s="110">
        <f>'E) Fact soc'!G311/C305</f>
        <v>13.947120904326876</v>
      </c>
      <c r="E305" s="136">
        <f>'H) Péréquation directe'!I316/C305</f>
        <v>0.1522062018867264</v>
      </c>
      <c r="F305" s="415">
        <f>+'I) Dépenses thématiques'!U305</f>
        <v>-5.9796374890265938</v>
      </c>
      <c r="G305" s="136">
        <f t="shared" si="17"/>
        <v>8.1196896171870083</v>
      </c>
      <c r="H305" s="110">
        <f t="shared" si="18"/>
        <v>14.099327106213602</v>
      </c>
      <c r="I305" s="136">
        <f t="shared" si="19"/>
        <v>0</v>
      </c>
      <c r="J305" s="55">
        <f t="shared" si="20"/>
        <v>0</v>
      </c>
      <c r="K305" s="36"/>
    </row>
    <row r="306" spans="1:13" x14ac:dyDescent="0.25">
      <c r="A306" s="49">
        <f>'A) Base RI'!A308</f>
        <v>5931</v>
      </c>
      <c r="B306" s="292" t="str">
        <f>'A) Base RI'!B308</f>
        <v>Treycovagnes</v>
      </c>
      <c r="C306" s="95">
        <f>'B) D RI'!U308</f>
        <v>15383.603066666663</v>
      </c>
      <c r="D306" s="110">
        <f>'E) Fact soc'!G312/C306</f>
        <v>16.617142153635594</v>
      </c>
      <c r="E306" s="136">
        <f>'H) Péréquation directe'!I317/C306</f>
        <v>3.5503629241882799</v>
      </c>
      <c r="F306" s="415">
        <f>+'I) Dépenses thématiques'!U306</f>
        <v>-2.0760664105538607</v>
      </c>
      <c r="G306" s="136">
        <f t="shared" si="17"/>
        <v>18.091438667270015</v>
      </c>
      <c r="H306" s="110">
        <f t="shared" si="18"/>
        <v>20.167505077823876</v>
      </c>
      <c r="I306" s="136">
        <f t="shared" si="19"/>
        <v>0</v>
      </c>
      <c r="J306" s="55">
        <f t="shared" si="20"/>
        <v>0</v>
      </c>
      <c r="K306" s="36"/>
    </row>
    <row r="307" spans="1:13" x14ac:dyDescent="0.25">
      <c r="A307" s="49">
        <f>'A) Base RI'!A309</f>
        <v>5932</v>
      </c>
      <c r="B307" s="292" t="str">
        <f>'A) Base RI'!B309</f>
        <v>Ursins</v>
      </c>
      <c r="C307" s="95">
        <f>'B) D RI'!U309</f>
        <v>6819.4023999999999</v>
      </c>
      <c r="D307" s="110">
        <f>'E) Fact soc'!G313/C307</f>
        <v>13.51034202411587</v>
      </c>
      <c r="E307" s="136">
        <f>'H) Péréquation directe'!I318/C307</f>
        <v>-0.53498703138751347</v>
      </c>
      <c r="F307" s="415">
        <f>+'I) Dépenses thématiques'!U307</f>
        <v>-3.1668388127381952</v>
      </c>
      <c r="G307" s="136">
        <f t="shared" si="17"/>
        <v>9.8085161799901606</v>
      </c>
      <c r="H307" s="110">
        <f t="shared" si="18"/>
        <v>12.975354992728356</v>
      </c>
      <c r="I307" s="136">
        <f t="shared" si="19"/>
        <v>0</v>
      </c>
      <c r="J307" s="55">
        <f t="shared" si="20"/>
        <v>0</v>
      </c>
      <c r="K307" s="36"/>
    </row>
    <row r="308" spans="1:13" x14ac:dyDescent="0.25">
      <c r="A308" s="49">
        <f>'A) Base RI'!A310</f>
        <v>5933</v>
      </c>
      <c r="B308" s="292" t="str">
        <f>'A) Base RI'!B310</f>
        <v>Valeyres-sous-Montagny</v>
      </c>
      <c r="C308" s="95">
        <f>'B) D RI'!U310</f>
        <v>22572.377872340428</v>
      </c>
      <c r="D308" s="110">
        <f>'E) Fact soc'!G314/C308</f>
        <v>15.141883025612559</v>
      </c>
      <c r="E308" s="136">
        <f>'H) Péréquation directe'!I319/C308</f>
        <v>4.7994275508681108</v>
      </c>
      <c r="F308" s="415">
        <f>+'I) Dépenses thématiques'!U308</f>
        <v>-8.2678698638411134</v>
      </c>
      <c r="G308" s="136">
        <f t="shared" si="17"/>
        <v>11.673440712639557</v>
      </c>
      <c r="H308" s="110">
        <f t="shared" si="18"/>
        <v>19.941310576480671</v>
      </c>
      <c r="I308" s="136">
        <f t="shared" si="19"/>
        <v>0</v>
      </c>
      <c r="J308" s="55">
        <f t="shared" si="20"/>
        <v>0</v>
      </c>
      <c r="K308" s="36"/>
    </row>
    <row r="309" spans="1:13" x14ac:dyDescent="0.25">
      <c r="A309" s="49">
        <f>'A) Base RI'!A311</f>
        <v>5934</v>
      </c>
      <c r="B309" s="292" t="str">
        <f>'A) Base RI'!B311</f>
        <v>Valeyres-sous-Ursins</v>
      </c>
      <c r="C309" s="95">
        <f>'B) D RI'!U311</f>
        <v>7577.3788607594925</v>
      </c>
      <c r="D309" s="110">
        <f>'E) Fact soc'!G315/C309</f>
        <v>15.869111504755056</v>
      </c>
      <c r="E309" s="136">
        <f>'H) Péréquation directe'!I320/C309</f>
        <v>1.8986585683964052</v>
      </c>
      <c r="F309" s="415">
        <f>+'I) Dépenses thématiques'!U309</f>
        <v>-0.73913631050368411</v>
      </c>
      <c r="G309" s="136">
        <f t="shared" si="17"/>
        <v>17.028633762647775</v>
      </c>
      <c r="H309" s="110">
        <f t="shared" si="18"/>
        <v>17.767770073151461</v>
      </c>
      <c r="I309" s="136">
        <f t="shared" si="19"/>
        <v>0</v>
      </c>
      <c r="J309" s="55">
        <f t="shared" si="20"/>
        <v>0</v>
      </c>
      <c r="K309" s="36"/>
    </row>
    <row r="310" spans="1:13" x14ac:dyDescent="0.25">
      <c r="A310" s="49">
        <f>'A) Base RI'!A312</f>
        <v>5935</v>
      </c>
      <c r="B310" s="292" t="str">
        <f>'A) Base RI'!B312</f>
        <v>Villars-Epeney</v>
      </c>
      <c r="C310" s="95">
        <f>'B) D RI'!U312</f>
        <v>3928.2205000000004</v>
      </c>
      <c r="D310" s="110">
        <f>'E) Fact soc'!G316/C310</f>
        <v>17.181629061083374</v>
      </c>
      <c r="E310" s="136">
        <f>'H) Péréquation directe'!I321/C310</f>
        <v>12.531231148724331</v>
      </c>
      <c r="F310" s="415">
        <f>+'I) Dépenses thématiques'!U310</f>
        <v>-1.3068473689295188</v>
      </c>
      <c r="G310" s="136">
        <f t="shared" si="17"/>
        <v>28.406012840878187</v>
      </c>
      <c r="H310" s="110">
        <f t="shared" si="18"/>
        <v>29.712860209807705</v>
      </c>
      <c r="I310" s="136">
        <f t="shared" si="19"/>
        <v>0</v>
      </c>
      <c r="J310" s="55">
        <f t="shared" si="20"/>
        <v>0</v>
      </c>
      <c r="K310" s="36"/>
    </row>
    <row r="311" spans="1:13" x14ac:dyDescent="0.25">
      <c r="A311" s="49">
        <f>'A) Base RI'!A313</f>
        <v>5937</v>
      </c>
      <c r="B311" s="292" t="str">
        <f>'A) Base RI'!B313</f>
        <v>Vugelles-La Mothe</v>
      </c>
      <c r="C311" s="95">
        <f>'B) D RI'!U313</f>
        <v>3187.6957755102044</v>
      </c>
      <c r="D311" s="110">
        <f>'E) Fact soc'!G317/C311</f>
        <v>16.031559720529721</v>
      </c>
      <c r="E311" s="136">
        <f>'H) Péréquation directe'!I322/C311</f>
        <v>-7.5401976686329082</v>
      </c>
      <c r="F311" s="415">
        <f>+'I) Dépenses thématiques'!U311</f>
        <v>-7.3623096958020842</v>
      </c>
      <c r="G311" s="136">
        <f t="shared" si="17"/>
        <v>1.1290523560947285</v>
      </c>
      <c r="H311" s="110">
        <f t="shared" si="18"/>
        <v>8.4913620518968127</v>
      </c>
      <c r="I311" s="136">
        <f t="shared" si="19"/>
        <v>0</v>
      </c>
      <c r="J311" s="55">
        <f t="shared" si="20"/>
        <v>0</v>
      </c>
      <c r="K311" s="36"/>
    </row>
    <row r="312" spans="1:13" x14ac:dyDescent="0.25">
      <c r="A312" s="49">
        <f>'A) Base RI'!A314</f>
        <v>5938</v>
      </c>
      <c r="B312" s="292" t="str">
        <f>'A) Base RI'!B314</f>
        <v>Yverdon-les-Bains</v>
      </c>
      <c r="C312" s="95">
        <f>'B) D RI'!U314</f>
        <v>796551.402</v>
      </c>
      <c r="D312" s="110">
        <f>'E) Fact soc'!G318/C312</f>
        <v>17.769783664016465</v>
      </c>
      <c r="E312" s="136">
        <f>'H) Péréquation directe'!I323/C312</f>
        <v>-30.945682107725151</v>
      </c>
      <c r="F312" s="415">
        <f>+'I) Dépenses thématiques'!U312</f>
        <v>-13.785001897467</v>
      </c>
      <c r="G312" s="136">
        <f t="shared" si="17"/>
        <v>-26.960900341175687</v>
      </c>
      <c r="H312" s="110">
        <f t="shared" si="18"/>
        <v>-13.175898443708688</v>
      </c>
      <c r="I312" s="136">
        <f t="shared" si="19"/>
        <v>-5.1758984437086877</v>
      </c>
      <c r="J312" s="55">
        <f t="shared" si="20"/>
        <v>4122869.1619457733</v>
      </c>
      <c r="K312" s="36"/>
    </row>
    <row r="313" spans="1:13" x14ac:dyDescent="0.25">
      <c r="A313" s="49">
        <f>'A) Base RI'!A315</f>
        <v>5939</v>
      </c>
      <c r="B313" s="292" t="str">
        <f>'A) Base RI'!B315</f>
        <v>Yvonand</v>
      </c>
      <c r="C313" s="95">
        <f>'B) D RI'!U315</f>
        <v>92890.042937062928</v>
      </c>
      <c r="D313" s="110">
        <f>'E) Fact soc'!G319/C313</f>
        <v>17.384217507668076</v>
      </c>
      <c r="E313" s="136">
        <f>'H) Péréquation directe'!I324/C313</f>
        <v>-8.5039771213890898</v>
      </c>
      <c r="F313" s="415">
        <f>+'I) Dépenses thématiques'!U313</f>
        <v>-6.3547522588053349</v>
      </c>
      <c r="G313" s="136">
        <f t="shared" si="17"/>
        <v>2.5254881274736514</v>
      </c>
      <c r="H313" s="110">
        <f t="shared" si="18"/>
        <v>8.8802403862789863</v>
      </c>
      <c r="I313" s="136">
        <f t="shared" si="19"/>
        <v>0</v>
      </c>
      <c r="J313" s="55">
        <f t="shared" si="20"/>
        <v>0</v>
      </c>
      <c r="K313" s="36"/>
    </row>
    <row r="314" spans="1:13" x14ac:dyDescent="0.25">
      <c r="A314" s="30"/>
      <c r="B314" s="298">
        <f>COUNTA(B5:B313)</f>
        <v>309</v>
      </c>
      <c r="C314" s="97">
        <f>'B) D RI'!U316</f>
        <v>39272473.833379671</v>
      </c>
      <c r="D314" s="305">
        <f>'E) Fact soc'!G320/C314</f>
        <v>21.49783712587033</v>
      </c>
      <c r="E314" s="109">
        <f>'H) Péréquation directe'!I325/C314</f>
        <v>4.4628637289509108</v>
      </c>
      <c r="F314" s="305">
        <f>'I) Dépenses thématiques'!U314</f>
        <v>-4.0791039654430508</v>
      </c>
      <c r="G314" s="109">
        <f t="shared" ref="G314" si="21">SUM(D314:F314)</f>
        <v>21.881596889378191</v>
      </c>
      <c r="H314" s="305">
        <f t="shared" ref="H314" si="22">G314-F314</f>
        <v>25.960700854821241</v>
      </c>
      <c r="I314" s="109"/>
      <c r="J314" s="37">
        <f>SUM(J5:J313)</f>
        <v>7174574.3002752736</v>
      </c>
      <c r="L314" s="12"/>
      <c r="M314" s="12"/>
    </row>
    <row r="315" spans="1:13" x14ac:dyDescent="0.25">
      <c r="I315" s="28"/>
      <c r="J315" s="6"/>
    </row>
    <row r="316" spans="1:13" x14ac:dyDescent="0.25">
      <c r="I316" s="28"/>
    </row>
  </sheetData>
  <mergeCells count="9">
    <mergeCell ref="C3:C4"/>
    <mergeCell ref="B3:B4"/>
    <mergeCell ref="A3:A4"/>
    <mergeCell ref="J3:J4"/>
    <mergeCell ref="H3:H4"/>
    <mergeCell ref="G3:G4"/>
    <mergeCell ref="F3:F4"/>
    <mergeCell ref="E3:E4"/>
    <mergeCell ref="D3:D4"/>
  </mergeCells>
  <phoneticPr fontId="21" type="noConversion"/>
  <pageMargins left="0.78740157499999996" right="0.78740157499999996" top="0.984251969" bottom="0.984251969" header="0.4921259845" footer="0.4921259845"/>
  <pageSetup paperSize="9" orientation="portrait" horizontalDpi="4294967292" verticalDpi="4294967292"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5">
    <tabColor rgb="FF00B050"/>
  </sheetPr>
  <dimension ref="A1:V320"/>
  <sheetViews>
    <sheetView workbookViewId="0">
      <pane ySplit="5" topLeftCell="A6" activePane="bottomLeft" state="frozen"/>
      <selection pane="bottomLeft" activeCell="A4" sqref="A4:A5"/>
    </sheetView>
  </sheetViews>
  <sheetFormatPr baseColWidth="10" defaultColWidth="10.75" defaultRowHeight="15" x14ac:dyDescent="0.25"/>
  <cols>
    <col min="1" max="1" width="7.25" style="13" customWidth="1"/>
    <col min="2" max="2" width="18" style="13" customWidth="1"/>
    <col min="3" max="3" width="11.125" style="6" customWidth="1"/>
    <col min="4" max="4" width="11.25" style="6" customWidth="1"/>
    <col min="5" max="5" width="11.25" style="6" bestFit="1" customWidth="1"/>
    <col min="6" max="6" width="12.125" style="6" bestFit="1" customWidth="1"/>
    <col min="7" max="7" width="11" style="6" customWidth="1"/>
    <col min="8" max="8" width="11" style="13" customWidth="1"/>
    <col min="9" max="9" width="9" style="13" bestFit="1" customWidth="1"/>
    <col min="10" max="10" width="12.125" style="13" bestFit="1" customWidth="1"/>
    <col min="11" max="11" width="10" style="13" customWidth="1"/>
    <col min="12" max="12" width="8.875" style="15" bestFit="1" customWidth="1"/>
    <col min="13" max="13" width="10.375" style="15" customWidth="1"/>
    <col min="14" max="14" width="13.375" style="15" customWidth="1"/>
    <col min="15" max="15" width="6.75" style="13" customWidth="1"/>
    <col min="16" max="16" width="12.25" style="13" customWidth="1"/>
    <col min="17" max="17" width="12.625" style="13" customWidth="1"/>
    <col min="18" max="18" width="8.25" style="13" customWidth="1"/>
    <col min="19" max="19" width="8.125" style="13" customWidth="1"/>
    <col min="20" max="20" width="9.625" style="13" customWidth="1"/>
    <col min="21" max="21" width="11.25" style="6" bestFit="1" customWidth="1"/>
    <col min="22" max="16384" width="10.75" style="13"/>
  </cols>
  <sheetData>
    <row r="1" spans="1:22" s="43" customFormat="1" ht="21" x14ac:dyDescent="0.25">
      <c r="A1" s="51" t="s">
        <v>126</v>
      </c>
      <c r="B1" s="42"/>
      <c r="C1" s="44"/>
      <c r="D1" s="44"/>
      <c r="E1" s="44"/>
      <c r="F1" s="44"/>
      <c r="G1" s="44"/>
      <c r="H1" s="68"/>
      <c r="I1" s="68"/>
      <c r="J1" s="68"/>
      <c r="K1" s="68"/>
      <c r="L1" s="134"/>
      <c r="M1" s="134"/>
      <c r="N1" s="134"/>
      <c r="O1" s="68"/>
      <c r="P1" s="68"/>
      <c r="Q1" s="68"/>
      <c r="R1" s="68"/>
      <c r="S1" s="68"/>
      <c r="T1" s="68"/>
      <c r="U1" s="6"/>
    </row>
    <row r="2" spans="1:22" x14ac:dyDescent="0.25">
      <c r="H2" s="141"/>
      <c r="I2" s="141"/>
    </row>
    <row r="3" spans="1:22" x14ac:dyDescent="0.25">
      <c r="C3" s="601" t="str">
        <f>Paramètres!B6</f>
        <v>Décompte 2019</v>
      </c>
      <c r="D3" s="602"/>
      <c r="E3" s="602"/>
      <c r="F3" s="602"/>
      <c r="G3" s="602"/>
      <c r="H3" s="602"/>
      <c r="I3" s="603"/>
    </row>
    <row r="4" spans="1:22" ht="30" x14ac:dyDescent="0.25">
      <c r="A4" s="572" t="s">
        <v>46</v>
      </c>
      <c r="B4" s="572" t="s">
        <v>96</v>
      </c>
      <c r="C4" s="569" t="s">
        <v>587</v>
      </c>
      <c r="D4" s="569" t="s">
        <v>145</v>
      </c>
      <c r="E4" s="569" t="s">
        <v>438</v>
      </c>
      <c r="F4" s="569" t="s">
        <v>252</v>
      </c>
      <c r="G4" s="569" t="s">
        <v>253</v>
      </c>
      <c r="H4" s="572" t="s">
        <v>358</v>
      </c>
      <c r="I4" s="61" t="s">
        <v>369</v>
      </c>
      <c r="J4" s="61" t="s">
        <v>369</v>
      </c>
      <c r="K4" s="586" t="s">
        <v>456</v>
      </c>
      <c r="L4" s="593" t="s">
        <v>357</v>
      </c>
      <c r="M4" s="593" t="s">
        <v>262</v>
      </c>
      <c r="N4" s="593" t="s">
        <v>263</v>
      </c>
      <c r="O4" s="588" t="s">
        <v>125</v>
      </c>
      <c r="P4" s="112" t="s">
        <v>126</v>
      </c>
      <c r="Q4" s="586" t="s">
        <v>370</v>
      </c>
      <c r="R4" s="572" t="s">
        <v>127</v>
      </c>
      <c r="S4" s="572" t="s">
        <v>256</v>
      </c>
      <c r="T4" s="142"/>
    </row>
    <row r="5" spans="1:22" ht="30" x14ac:dyDescent="0.25">
      <c r="A5" s="574"/>
      <c r="B5" s="574"/>
      <c r="C5" s="570"/>
      <c r="D5" s="571"/>
      <c r="E5" s="570"/>
      <c r="F5" s="571"/>
      <c r="G5" s="570"/>
      <c r="H5" s="574"/>
      <c r="I5" s="350" t="str">
        <f>Paramètres!B6</f>
        <v>Décompte 2019</v>
      </c>
      <c r="J5" s="357">
        <f>Paramètres!B5</f>
        <v>2020</v>
      </c>
      <c r="K5" s="587"/>
      <c r="L5" s="594"/>
      <c r="M5" s="594"/>
      <c r="N5" s="594"/>
      <c r="O5" s="589"/>
      <c r="P5" s="383">
        <f>Paramètres!B49</f>
        <v>93.881913911826331</v>
      </c>
      <c r="Q5" s="587"/>
      <c r="R5" s="574"/>
      <c r="S5" s="574"/>
      <c r="T5" s="137"/>
    </row>
    <row r="6" spans="1:22" x14ac:dyDescent="0.25">
      <c r="A6" s="46">
        <f>'A) Base RI'!A7</f>
        <v>5401</v>
      </c>
      <c r="B6" s="353" t="str">
        <f>'A) Base RI'!B7</f>
        <v>Aigle</v>
      </c>
      <c r="C6" s="403">
        <v>5210182.734449177</v>
      </c>
      <c r="D6" s="403">
        <v>-3402725.6145400498</v>
      </c>
      <c r="E6" s="404">
        <v>0</v>
      </c>
      <c r="F6" s="404">
        <v>0</v>
      </c>
      <c r="G6" s="404">
        <v>0</v>
      </c>
      <c r="H6" s="403">
        <f>SUM(C6:G6)</f>
        <v>1807457.1199091272</v>
      </c>
      <c r="I6" s="404">
        <v>277789.63254320994</v>
      </c>
      <c r="J6" s="354">
        <f>'B) D RI'!U7</f>
        <v>284723.80196969694</v>
      </c>
      <c r="K6" s="67">
        <f>H6/I6</f>
        <v>6.5065679498603277</v>
      </c>
      <c r="L6" s="87">
        <f>'B) D RI'!S7</f>
        <v>66</v>
      </c>
      <c r="M6" s="466">
        <f>L6-K6</f>
        <v>59.493432050139674</v>
      </c>
      <c r="N6" s="87">
        <f>+'J) Plafonnement effort'!H5+'J) Plafonnement effort'!I5-'K) Plafonnement aide'!I5</f>
        <v>-11.247788271732293</v>
      </c>
      <c r="O6" s="143">
        <f>M6+N6</f>
        <v>48.245643778407384</v>
      </c>
      <c r="P6" s="47">
        <f>IF(O6&gt;$P$5,$P$5-O6,0)</f>
        <v>0</v>
      </c>
      <c r="Q6" s="100">
        <f>P6*J6</f>
        <v>0</v>
      </c>
      <c r="R6" s="143">
        <f>O6+P6</f>
        <v>48.245643778407384</v>
      </c>
      <c r="S6" s="123">
        <f>R6-L6</f>
        <v>-17.754356221592616</v>
      </c>
      <c r="T6" s="144">
        <f>+C6+D6+E6+F6+G6-H6</f>
        <v>0</v>
      </c>
      <c r="V6" s="12"/>
    </row>
    <row r="7" spans="1:22" x14ac:dyDescent="0.25">
      <c r="A7" s="49">
        <f>'A) Base RI'!A8</f>
        <v>5402</v>
      </c>
      <c r="B7" s="351" t="str">
        <f>'A) Base RI'!B8</f>
        <v>Bex</v>
      </c>
      <c r="C7" s="403">
        <v>3363248.323230288</v>
      </c>
      <c r="D7" s="403">
        <v>-3542791.298948817</v>
      </c>
      <c r="E7" s="404">
        <v>0</v>
      </c>
      <c r="F7" s="404">
        <v>0</v>
      </c>
      <c r="G7" s="404">
        <v>0</v>
      </c>
      <c r="H7" s="403">
        <f t="shared" ref="H7:H70" si="0">SUM(C7:G7)</f>
        <v>-179542.97571852896</v>
      </c>
      <c r="I7" s="404">
        <v>185729.53788732394</v>
      </c>
      <c r="J7" s="355">
        <f>'B) D RI'!U8</f>
        <v>179259.20338028169</v>
      </c>
      <c r="K7" s="62">
        <f t="shared" ref="K7:K70" si="1">H7/I7</f>
        <v>-0.96669047778200923</v>
      </c>
      <c r="L7" s="33">
        <f>'B) D RI'!S8</f>
        <v>71</v>
      </c>
      <c r="M7" s="465">
        <f t="shared" ref="M7:M60" si="2">L7-K7</f>
        <v>71.966690477782009</v>
      </c>
      <c r="N7" s="457">
        <f>+'J) Plafonnement effort'!H6+'J) Plafonnement effort'!I6-'K) Plafonnement aide'!I6</f>
        <v>-20.588997084448128</v>
      </c>
      <c r="O7" s="145">
        <f t="shared" ref="O7:O60" si="3">M7+N7</f>
        <v>51.377693393333885</v>
      </c>
      <c r="P7" s="47">
        <f t="shared" ref="P7:P60" si="4">IF(O7&gt;$P$5,$P$5-O7,0)</f>
        <v>0</v>
      </c>
      <c r="Q7" s="55">
        <f t="shared" ref="Q7:Q62" si="5">P7*J7</f>
        <v>0</v>
      </c>
      <c r="R7" s="145">
        <f t="shared" ref="R7:R60" si="6">O7+P7</f>
        <v>51.377693393333885</v>
      </c>
      <c r="S7" s="125">
        <f t="shared" ref="S7:S60" si="7">R7-L7</f>
        <v>-19.622306606666115</v>
      </c>
      <c r="T7" s="144">
        <f t="shared" ref="T7:T70" si="8">+C7+D7+E7+F7+G7-H7</f>
        <v>0</v>
      </c>
      <c r="V7" s="12"/>
    </row>
    <row r="8" spans="1:22" x14ac:dyDescent="0.25">
      <c r="A8" s="49">
        <f>'A) Base RI'!A9</f>
        <v>5403</v>
      </c>
      <c r="B8" s="351" t="str">
        <f>'A) Base RI'!B9</f>
        <v>Chessel</v>
      </c>
      <c r="C8" s="403">
        <v>206354.19600788265</v>
      </c>
      <c r="D8" s="403">
        <v>-48075.693635283824</v>
      </c>
      <c r="E8" s="404">
        <v>0</v>
      </c>
      <c r="F8" s="404">
        <v>0</v>
      </c>
      <c r="G8" s="404">
        <v>0</v>
      </c>
      <c r="H8" s="403">
        <f t="shared" si="0"/>
        <v>158278.50237259883</v>
      </c>
      <c r="I8" s="404">
        <v>10653.993243243245</v>
      </c>
      <c r="J8" s="355">
        <f>'B) D RI'!U9</f>
        <v>10797.740270270273</v>
      </c>
      <c r="K8" s="62">
        <f t="shared" si="1"/>
        <v>14.856260817790451</v>
      </c>
      <c r="L8" s="33">
        <f>'B) D RI'!S9</f>
        <v>74</v>
      </c>
      <c r="M8" s="465">
        <f t="shared" si="2"/>
        <v>59.143739182209551</v>
      </c>
      <c r="N8" s="457">
        <f>+'J) Plafonnement effort'!H7+'J) Plafonnement effort'!I7-'K) Plafonnement aide'!I7</f>
        <v>4.5373468937495174</v>
      </c>
      <c r="O8" s="145">
        <f t="shared" si="3"/>
        <v>63.681086075959065</v>
      </c>
      <c r="P8" s="47">
        <f t="shared" si="4"/>
        <v>0</v>
      </c>
      <c r="Q8" s="55">
        <f t="shared" si="5"/>
        <v>0</v>
      </c>
      <c r="R8" s="145">
        <f t="shared" si="6"/>
        <v>63.681086075959065</v>
      </c>
      <c r="S8" s="125">
        <f t="shared" si="7"/>
        <v>-10.318913924040935</v>
      </c>
      <c r="T8" s="144">
        <f t="shared" si="8"/>
        <v>0</v>
      </c>
      <c r="V8" s="12"/>
    </row>
    <row r="9" spans="1:22" x14ac:dyDescent="0.25">
      <c r="A9" s="49">
        <f>'A) Base RI'!A10</f>
        <v>5404</v>
      </c>
      <c r="B9" s="351" t="str">
        <f>'A) Base RI'!B10</f>
        <v>Corbeyrier</v>
      </c>
      <c r="C9" s="403">
        <v>309847.84535203007</v>
      </c>
      <c r="D9" s="403">
        <v>107062.79349909286</v>
      </c>
      <c r="E9" s="404">
        <v>0</v>
      </c>
      <c r="F9" s="404">
        <v>0</v>
      </c>
      <c r="G9" s="404">
        <v>0</v>
      </c>
      <c r="H9" s="403">
        <f t="shared" si="0"/>
        <v>416910.63885112293</v>
      </c>
      <c r="I9" s="404">
        <v>14595.552612612611</v>
      </c>
      <c r="J9" s="355">
        <f>'B) D RI'!U10</f>
        <v>11267.87027027027</v>
      </c>
      <c r="K9" s="62">
        <f t="shared" si="1"/>
        <v>28.564224316580756</v>
      </c>
      <c r="L9" s="33">
        <f>'B) D RI'!S10</f>
        <v>74</v>
      </c>
      <c r="M9" s="465">
        <f t="shared" si="2"/>
        <v>45.435775683419244</v>
      </c>
      <c r="N9" s="457">
        <f>+'J) Plafonnement effort'!H8+'J) Plafonnement effort'!I8-'K) Plafonnement aide'!I8</f>
        <v>-3.8081380337580759</v>
      </c>
      <c r="O9" s="145">
        <f t="shared" si="3"/>
        <v>41.627637649661168</v>
      </c>
      <c r="P9" s="47">
        <f t="shared" si="4"/>
        <v>0</v>
      </c>
      <c r="Q9" s="55">
        <f t="shared" si="5"/>
        <v>0</v>
      </c>
      <c r="R9" s="145">
        <f t="shared" si="6"/>
        <v>41.627637649661168</v>
      </c>
      <c r="S9" s="125">
        <f t="shared" si="7"/>
        <v>-32.372362350338832</v>
      </c>
      <c r="T9" s="144">
        <f t="shared" si="8"/>
        <v>0</v>
      </c>
      <c r="V9" s="12"/>
    </row>
    <row r="10" spans="1:22" x14ac:dyDescent="0.25">
      <c r="A10" s="49">
        <f>'A) Base RI'!A11</f>
        <v>5405</v>
      </c>
      <c r="B10" s="351" t="str">
        <f>'A) Base RI'!B11</f>
        <v>Gryon</v>
      </c>
      <c r="C10" s="403">
        <v>1312105.8004444193</v>
      </c>
      <c r="D10" s="403">
        <v>1066861.0578884447</v>
      </c>
      <c r="E10" s="404">
        <v>0</v>
      </c>
      <c r="F10" s="404">
        <v>0</v>
      </c>
      <c r="G10" s="404">
        <v>0</v>
      </c>
      <c r="H10" s="403">
        <f t="shared" si="0"/>
        <v>2378966.858332864</v>
      </c>
      <c r="I10" s="404">
        <v>65705.555822222203</v>
      </c>
      <c r="J10" s="355">
        <f>'B) D RI'!U11</f>
        <v>68185.794013605453</v>
      </c>
      <c r="K10" s="62">
        <f t="shared" si="1"/>
        <v>36.206479475945265</v>
      </c>
      <c r="L10" s="33">
        <f>'B) D RI'!S11</f>
        <v>73.5</v>
      </c>
      <c r="M10" s="465">
        <f t="shared" si="2"/>
        <v>37.293520524054735</v>
      </c>
      <c r="N10" s="457">
        <f>+'J) Plafonnement effort'!H9+'J) Plafonnement effort'!I9-'K) Plafonnement aide'!I9</f>
        <v>16.73312418958168</v>
      </c>
      <c r="O10" s="145">
        <f t="shared" si="3"/>
        <v>54.026644713636415</v>
      </c>
      <c r="P10" s="47">
        <f t="shared" si="4"/>
        <v>0</v>
      </c>
      <c r="Q10" s="55">
        <f t="shared" si="5"/>
        <v>0</v>
      </c>
      <c r="R10" s="145">
        <f t="shared" si="6"/>
        <v>54.026644713636415</v>
      </c>
      <c r="S10" s="125">
        <f t="shared" si="7"/>
        <v>-19.473355286363585</v>
      </c>
      <c r="T10" s="144">
        <f t="shared" si="8"/>
        <v>0</v>
      </c>
      <c r="V10" s="12"/>
    </row>
    <row r="11" spans="1:22" x14ac:dyDescent="0.25">
      <c r="A11" s="49">
        <f>'A) Base RI'!A12</f>
        <v>5406</v>
      </c>
      <c r="B11" s="351" t="str">
        <f>'A) Base RI'!B12</f>
        <v>Lavey-Morcles</v>
      </c>
      <c r="C11" s="403">
        <v>386576.126299511</v>
      </c>
      <c r="D11" s="403">
        <v>804.16877104144078</v>
      </c>
      <c r="E11" s="404">
        <v>0</v>
      </c>
      <c r="F11" s="404">
        <v>0</v>
      </c>
      <c r="G11" s="404">
        <v>0</v>
      </c>
      <c r="H11" s="403">
        <f t="shared" si="0"/>
        <v>387380.29507055244</v>
      </c>
      <c r="I11" s="404">
        <v>24857.219750812561</v>
      </c>
      <c r="J11" s="355">
        <f>'B) D RI'!U12</f>
        <v>21842.545067240455</v>
      </c>
      <c r="K11" s="62">
        <f t="shared" si="1"/>
        <v>15.584216535636063</v>
      </c>
      <c r="L11" s="33">
        <f>'B) D RI'!S12</f>
        <v>71.5</v>
      </c>
      <c r="M11" s="465">
        <f t="shared" si="2"/>
        <v>55.91578346436394</v>
      </c>
      <c r="N11" s="457">
        <f>+'J) Plafonnement effort'!H10+'J) Plafonnement effort'!I10-'K) Plafonnement aide'!I10</f>
        <v>-2.9455941941875192</v>
      </c>
      <c r="O11" s="145">
        <f t="shared" si="3"/>
        <v>52.970189270176419</v>
      </c>
      <c r="P11" s="47">
        <f t="shared" si="4"/>
        <v>0</v>
      </c>
      <c r="Q11" s="55">
        <f t="shared" si="5"/>
        <v>0</v>
      </c>
      <c r="R11" s="145">
        <f t="shared" si="6"/>
        <v>52.970189270176419</v>
      </c>
      <c r="S11" s="125">
        <f t="shared" si="7"/>
        <v>-18.529810729823581</v>
      </c>
      <c r="T11" s="144">
        <f t="shared" si="8"/>
        <v>0</v>
      </c>
      <c r="V11" s="12"/>
    </row>
    <row r="12" spans="1:22" x14ac:dyDescent="0.25">
      <c r="A12" s="49">
        <f>'A) Base RI'!A13</f>
        <v>5407</v>
      </c>
      <c r="B12" s="351" t="str">
        <f>'A) Base RI'!B13</f>
        <v>Leysin</v>
      </c>
      <c r="C12" s="403">
        <v>1730472.4034701895</v>
      </c>
      <c r="D12" s="403">
        <v>-1510782.0045539604</v>
      </c>
      <c r="E12" s="404">
        <v>0</v>
      </c>
      <c r="F12" s="404">
        <v>0</v>
      </c>
      <c r="G12" s="404">
        <v>0</v>
      </c>
      <c r="H12" s="403">
        <f t="shared" si="0"/>
        <v>219690.39891622914</v>
      </c>
      <c r="I12" s="404">
        <v>90593.766196581171</v>
      </c>
      <c r="J12" s="355">
        <f>'B) D RI'!U13</f>
        <v>90822.200982905983</v>
      </c>
      <c r="K12" s="62">
        <f t="shared" si="1"/>
        <v>2.425005694536627</v>
      </c>
      <c r="L12" s="33">
        <f>'B) D RI'!S13</f>
        <v>78</v>
      </c>
      <c r="M12" s="465">
        <f t="shared" si="2"/>
        <v>75.574994305463377</v>
      </c>
      <c r="N12" s="457">
        <f>+'J) Plafonnement effort'!H11+'J) Plafonnement effort'!I11-'K) Plafonnement aide'!I11</f>
        <v>-21.543158226919118</v>
      </c>
      <c r="O12" s="145">
        <f t="shared" si="3"/>
        <v>54.031836078544259</v>
      </c>
      <c r="P12" s="47">
        <f t="shared" si="4"/>
        <v>0</v>
      </c>
      <c r="Q12" s="55">
        <f t="shared" si="5"/>
        <v>0</v>
      </c>
      <c r="R12" s="145">
        <f t="shared" si="6"/>
        <v>54.031836078544259</v>
      </c>
      <c r="S12" s="125">
        <f t="shared" si="7"/>
        <v>-23.968163921455741</v>
      </c>
      <c r="T12" s="144">
        <f t="shared" si="8"/>
        <v>0</v>
      </c>
      <c r="V12" s="12"/>
    </row>
    <row r="13" spans="1:22" x14ac:dyDescent="0.25">
      <c r="A13" s="49">
        <f>'A) Base RI'!A14</f>
        <v>5408</v>
      </c>
      <c r="B13" s="351" t="str">
        <f>'A) Base RI'!B14</f>
        <v>Noville</v>
      </c>
      <c r="C13" s="403">
        <v>773752.70598031348</v>
      </c>
      <c r="D13" s="403">
        <v>-252999.15894871007</v>
      </c>
      <c r="E13" s="404">
        <v>0</v>
      </c>
      <c r="F13" s="404">
        <v>0</v>
      </c>
      <c r="G13" s="404">
        <v>0</v>
      </c>
      <c r="H13" s="403">
        <f t="shared" si="0"/>
        <v>520753.5470316034</v>
      </c>
      <c r="I13" s="404">
        <v>28671.623864118894</v>
      </c>
      <c r="J13" s="355">
        <f>'B) D RI'!U14</f>
        <v>43840.045520169842</v>
      </c>
      <c r="K13" s="62">
        <f t="shared" si="1"/>
        <v>18.162680617587917</v>
      </c>
      <c r="L13" s="33">
        <f>'B) D RI'!S14</f>
        <v>78.5</v>
      </c>
      <c r="M13" s="465">
        <f t="shared" si="2"/>
        <v>60.337319382412083</v>
      </c>
      <c r="N13" s="457">
        <f>+'J) Plafonnement effort'!H12+'J) Plafonnement effort'!I12-'K) Plafonnement aide'!I12</f>
        <v>19.013620433675602</v>
      </c>
      <c r="O13" s="145">
        <f t="shared" si="3"/>
        <v>79.350939816087688</v>
      </c>
      <c r="P13" s="47">
        <f t="shared" si="4"/>
        <v>0</v>
      </c>
      <c r="Q13" s="55">
        <f t="shared" si="5"/>
        <v>0</v>
      </c>
      <c r="R13" s="145">
        <f t="shared" si="6"/>
        <v>79.350939816087688</v>
      </c>
      <c r="S13" s="125">
        <f t="shared" si="7"/>
        <v>0.85093981608768843</v>
      </c>
      <c r="T13" s="144">
        <f t="shared" si="8"/>
        <v>0</v>
      </c>
      <c r="V13" s="12"/>
    </row>
    <row r="14" spans="1:22" x14ac:dyDescent="0.25">
      <c r="A14" s="49">
        <f>'A) Base RI'!A15</f>
        <v>5409</v>
      </c>
      <c r="B14" s="351" t="str">
        <f>'A) Base RI'!B15</f>
        <v>Ollon</v>
      </c>
      <c r="C14" s="403">
        <v>8030699.6367016761</v>
      </c>
      <c r="D14" s="403">
        <v>4620289.0554518336</v>
      </c>
      <c r="E14" s="404">
        <v>0</v>
      </c>
      <c r="F14" s="404">
        <v>0</v>
      </c>
      <c r="G14" s="404">
        <v>0</v>
      </c>
      <c r="H14" s="403">
        <f t="shared" si="0"/>
        <v>12650988.69215351</v>
      </c>
      <c r="I14" s="404">
        <v>399776.03154977376</v>
      </c>
      <c r="J14" s="355">
        <f>'B) D RI'!U15</f>
        <v>389186.78990950214</v>
      </c>
      <c r="K14" s="62">
        <f t="shared" si="1"/>
        <v>31.64519054109028</v>
      </c>
      <c r="L14" s="33">
        <f>'B) D RI'!S15</f>
        <v>68</v>
      </c>
      <c r="M14" s="465">
        <f t="shared" si="2"/>
        <v>36.35480945890972</v>
      </c>
      <c r="N14" s="457">
        <f>+'J) Plafonnement effort'!H13+'J) Plafonnement effort'!I13-'K) Plafonnement aide'!I13</f>
        <v>17.612332546132855</v>
      </c>
      <c r="O14" s="145">
        <f t="shared" si="3"/>
        <v>53.967142005042575</v>
      </c>
      <c r="P14" s="47">
        <f t="shared" si="4"/>
        <v>0</v>
      </c>
      <c r="Q14" s="55">
        <f t="shared" si="5"/>
        <v>0</v>
      </c>
      <c r="R14" s="145">
        <f t="shared" si="6"/>
        <v>53.967142005042575</v>
      </c>
      <c r="S14" s="125">
        <f t="shared" si="7"/>
        <v>-14.032857994957425</v>
      </c>
      <c r="T14" s="144">
        <f t="shared" si="8"/>
        <v>0</v>
      </c>
      <c r="V14" s="12"/>
    </row>
    <row r="15" spans="1:22" x14ac:dyDescent="0.25">
      <c r="A15" s="49">
        <f>'A) Base RI'!A16</f>
        <v>5410</v>
      </c>
      <c r="B15" s="351" t="str">
        <f>'A) Base RI'!B16</f>
        <v>Ormont-Dessous</v>
      </c>
      <c r="C15" s="403">
        <v>749270.30253441597</v>
      </c>
      <c r="D15" s="403">
        <v>219452.25443192711</v>
      </c>
      <c r="E15" s="404">
        <v>0</v>
      </c>
      <c r="F15" s="404">
        <v>0</v>
      </c>
      <c r="G15" s="404">
        <v>0</v>
      </c>
      <c r="H15" s="403">
        <f t="shared" si="0"/>
        <v>968722.55696634308</v>
      </c>
      <c r="I15" s="404">
        <v>38431.903864118896</v>
      </c>
      <c r="J15" s="355">
        <f>'B) D RI'!U16</f>
        <v>39522.545108225109</v>
      </c>
      <c r="K15" s="62">
        <f t="shared" si="1"/>
        <v>25.206207852501674</v>
      </c>
      <c r="L15" s="33">
        <f>'B) D RI'!S16</f>
        <v>77</v>
      </c>
      <c r="M15" s="465">
        <f t="shared" si="2"/>
        <v>51.793792147498323</v>
      </c>
      <c r="N15" s="457">
        <f>+'J) Plafonnement effort'!H14+'J) Plafonnement effort'!I14-'K) Plafonnement aide'!I14</f>
        <v>-2.745142568945953</v>
      </c>
      <c r="O15" s="145">
        <f t="shared" si="3"/>
        <v>49.048649578552372</v>
      </c>
      <c r="P15" s="47">
        <f t="shared" si="4"/>
        <v>0</v>
      </c>
      <c r="Q15" s="55">
        <f t="shared" si="5"/>
        <v>0</v>
      </c>
      <c r="R15" s="145">
        <f t="shared" si="6"/>
        <v>49.048649578552372</v>
      </c>
      <c r="S15" s="125">
        <f t="shared" si="7"/>
        <v>-27.951350421447628</v>
      </c>
      <c r="T15" s="144">
        <f t="shared" si="8"/>
        <v>0</v>
      </c>
      <c r="V15" s="12"/>
    </row>
    <row r="16" spans="1:22" x14ac:dyDescent="0.25">
      <c r="A16" s="49">
        <f>'A) Base RI'!A17</f>
        <v>5411</v>
      </c>
      <c r="B16" s="351" t="str">
        <f>'A) Base RI'!B17</f>
        <v>Ormont-Dessus</v>
      </c>
      <c r="C16" s="403">
        <v>1518692.2547864781</v>
      </c>
      <c r="D16" s="403">
        <v>1187198.9258265225</v>
      </c>
      <c r="E16" s="404">
        <v>0</v>
      </c>
      <c r="F16" s="404">
        <v>0</v>
      </c>
      <c r="G16" s="404">
        <v>0</v>
      </c>
      <c r="H16" s="403">
        <f t="shared" si="0"/>
        <v>2705891.1806130009</v>
      </c>
      <c r="I16" s="404">
        <v>73250.08368421052</v>
      </c>
      <c r="J16" s="355">
        <f>'B) D RI'!U17</f>
        <v>68049.385526315804</v>
      </c>
      <c r="K16" s="62">
        <f t="shared" si="1"/>
        <v>36.940451730791281</v>
      </c>
      <c r="L16" s="33">
        <f>'B) D RI'!S17</f>
        <v>76</v>
      </c>
      <c r="M16" s="465">
        <f t="shared" si="2"/>
        <v>39.059548269208719</v>
      </c>
      <c r="N16" s="457">
        <f>+'J) Plafonnement effort'!H15+'J) Plafonnement effort'!I15-'K) Plafonnement aide'!I15</f>
        <v>13.956793708578779</v>
      </c>
      <c r="O16" s="145">
        <f t="shared" si="3"/>
        <v>53.016341977787498</v>
      </c>
      <c r="P16" s="47">
        <f t="shared" si="4"/>
        <v>0</v>
      </c>
      <c r="Q16" s="55">
        <f t="shared" si="5"/>
        <v>0</v>
      </c>
      <c r="R16" s="145">
        <f t="shared" si="6"/>
        <v>53.016341977787498</v>
      </c>
      <c r="S16" s="125">
        <f t="shared" si="7"/>
        <v>-22.983658022212502</v>
      </c>
      <c r="T16" s="144">
        <f t="shared" si="8"/>
        <v>0</v>
      </c>
      <c r="V16" s="12"/>
    </row>
    <row r="17" spans="1:22" x14ac:dyDescent="0.25">
      <c r="A17" s="49">
        <f>'A) Base RI'!A18</f>
        <v>5412</v>
      </c>
      <c r="B17" s="351" t="str">
        <f>'A) Base RI'!B18</f>
        <v>Rennaz</v>
      </c>
      <c r="C17" s="403">
        <v>415965.80905807531</v>
      </c>
      <c r="D17" s="403">
        <v>74741.997396932042</v>
      </c>
      <c r="E17" s="404">
        <v>0</v>
      </c>
      <c r="F17" s="404">
        <v>0</v>
      </c>
      <c r="G17" s="404">
        <v>0</v>
      </c>
      <c r="H17" s="403">
        <f t="shared" si="0"/>
        <v>490707.80645500735</v>
      </c>
      <c r="I17" s="404">
        <v>24302.490518518523</v>
      </c>
      <c r="J17" s="355">
        <f>'B) D RI'!U18</f>
        <v>24274.281449275361</v>
      </c>
      <c r="K17" s="62">
        <f t="shared" si="1"/>
        <v>20.191667437585767</v>
      </c>
      <c r="L17" s="33">
        <f>'B) D RI'!S18</f>
        <v>69</v>
      </c>
      <c r="M17" s="465">
        <f t="shared" si="2"/>
        <v>48.808332562414236</v>
      </c>
      <c r="N17" s="457">
        <f>+'J) Plafonnement effort'!H16+'J) Plafonnement effort'!I16-'K) Plafonnement aide'!I16</f>
        <v>9.8701049508544809</v>
      </c>
      <c r="O17" s="145">
        <f t="shared" si="3"/>
        <v>58.678437513268719</v>
      </c>
      <c r="P17" s="47">
        <f t="shared" si="4"/>
        <v>0</v>
      </c>
      <c r="Q17" s="55">
        <f t="shared" si="5"/>
        <v>0</v>
      </c>
      <c r="R17" s="145">
        <f t="shared" si="6"/>
        <v>58.678437513268719</v>
      </c>
      <c r="S17" s="125">
        <f t="shared" si="7"/>
        <v>-10.321562486731281</v>
      </c>
      <c r="T17" s="144">
        <f t="shared" si="8"/>
        <v>0</v>
      </c>
      <c r="V17" s="12"/>
    </row>
    <row r="18" spans="1:22" x14ac:dyDescent="0.25">
      <c r="A18" s="49">
        <f>'A) Base RI'!A19</f>
        <v>5413</v>
      </c>
      <c r="B18" s="351" t="str">
        <f>'A) Base RI'!B19</f>
        <v>Roche</v>
      </c>
      <c r="C18" s="403">
        <v>932862.73318605835</v>
      </c>
      <c r="D18" s="403">
        <v>-264203.43344149389</v>
      </c>
      <c r="E18" s="404">
        <v>0</v>
      </c>
      <c r="F18" s="404">
        <v>0</v>
      </c>
      <c r="G18" s="404">
        <v>0</v>
      </c>
      <c r="H18" s="403">
        <f t="shared" si="0"/>
        <v>668659.29974456446</v>
      </c>
      <c r="I18" s="404">
        <v>45084.327818627447</v>
      </c>
      <c r="J18" s="355">
        <f>'B) D RI'!U19</f>
        <v>48007.468357843129</v>
      </c>
      <c r="K18" s="62">
        <f t="shared" si="1"/>
        <v>14.831302408112984</v>
      </c>
      <c r="L18" s="33">
        <f>'B) D RI'!S19</f>
        <v>68</v>
      </c>
      <c r="M18" s="465">
        <f t="shared" si="2"/>
        <v>53.168697591887017</v>
      </c>
      <c r="N18" s="457">
        <f>+'J) Plafonnement effort'!H17+'J) Plafonnement effort'!I17-'K) Plafonnement aide'!I17</f>
        <v>7.5945966665441054</v>
      </c>
      <c r="O18" s="145">
        <f t="shared" si="3"/>
        <v>60.763294258431124</v>
      </c>
      <c r="P18" s="47">
        <f t="shared" si="4"/>
        <v>0</v>
      </c>
      <c r="Q18" s="55">
        <f t="shared" si="5"/>
        <v>0</v>
      </c>
      <c r="R18" s="145">
        <f t="shared" si="6"/>
        <v>60.763294258431124</v>
      </c>
      <c r="S18" s="125">
        <f t="shared" si="7"/>
        <v>-7.2367057415688762</v>
      </c>
      <c r="T18" s="144">
        <f t="shared" si="8"/>
        <v>0</v>
      </c>
      <c r="V18" s="12"/>
    </row>
    <row r="19" spans="1:22" x14ac:dyDescent="0.25">
      <c r="A19" s="49">
        <f>'A) Base RI'!A20</f>
        <v>5414</v>
      </c>
      <c r="B19" s="351" t="str">
        <f>'A) Base RI'!B20</f>
        <v>Villeneuve</v>
      </c>
      <c r="C19" s="403">
        <v>3791454.8488014084</v>
      </c>
      <c r="D19" s="403">
        <v>-914863.94018646423</v>
      </c>
      <c r="E19" s="404">
        <v>0</v>
      </c>
      <c r="F19" s="404">
        <v>0</v>
      </c>
      <c r="G19" s="404">
        <v>0</v>
      </c>
      <c r="H19" s="403">
        <f t="shared" si="0"/>
        <v>2876590.9086149442</v>
      </c>
      <c r="I19" s="404">
        <v>167595.35260869566</v>
      </c>
      <c r="J19" s="355">
        <f>'B) D RI'!U20</f>
        <v>159468.65911111108</v>
      </c>
      <c r="K19" s="62">
        <f t="shared" si="1"/>
        <v>17.163906181403821</v>
      </c>
      <c r="L19" s="33">
        <f>'B) D RI'!S20</f>
        <v>67.5</v>
      </c>
      <c r="M19" s="465">
        <f t="shared" si="2"/>
        <v>50.336093818596183</v>
      </c>
      <c r="N19" s="457">
        <f>+'J) Plafonnement effort'!H18+'J) Plafonnement effort'!I18-'K) Plafonnement aide'!I18</f>
        <v>-11.059361504748292</v>
      </c>
      <c r="O19" s="145">
        <f t="shared" si="3"/>
        <v>39.276732313847887</v>
      </c>
      <c r="P19" s="47">
        <f t="shared" si="4"/>
        <v>0</v>
      </c>
      <c r="Q19" s="55">
        <f t="shared" si="5"/>
        <v>0</v>
      </c>
      <c r="R19" s="145">
        <f t="shared" si="6"/>
        <v>39.276732313847887</v>
      </c>
      <c r="S19" s="125">
        <f t="shared" si="7"/>
        <v>-28.223267686152113</v>
      </c>
      <c r="T19" s="144">
        <f t="shared" si="8"/>
        <v>0</v>
      </c>
      <c r="V19" s="12"/>
    </row>
    <row r="20" spans="1:22" x14ac:dyDescent="0.25">
      <c r="A20" s="49">
        <f>'A) Base RI'!A21</f>
        <v>5415</v>
      </c>
      <c r="B20" s="351" t="str">
        <f>'A) Base RI'!B21</f>
        <v>Yvorne</v>
      </c>
      <c r="C20" s="403">
        <v>763324.50122795452</v>
      </c>
      <c r="D20" s="403">
        <v>404345.18473594345</v>
      </c>
      <c r="E20" s="404">
        <v>0</v>
      </c>
      <c r="F20" s="404">
        <v>0</v>
      </c>
      <c r="G20" s="404">
        <v>0</v>
      </c>
      <c r="H20" s="403">
        <f t="shared" si="0"/>
        <v>1167669.685963898</v>
      </c>
      <c r="I20" s="404">
        <v>39170.690675990678</v>
      </c>
      <c r="J20" s="355">
        <f>'B) D RI'!U21</f>
        <v>38155.020093240091</v>
      </c>
      <c r="K20" s="62">
        <f t="shared" si="1"/>
        <v>29.809780369270094</v>
      </c>
      <c r="L20" s="33">
        <f>'B) D RI'!S21</f>
        <v>71.5</v>
      </c>
      <c r="M20" s="465">
        <f t="shared" si="2"/>
        <v>41.690219630729906</v>
      </c>
      <c r="N20" s="457">
        <f>+'J) Plafonnement effort'!H19+'J) Plafonnement effort'!I19-'K) Plafonnement aide'!I19</f>
        <v>16.928800349280746</v>
      </c>
      <c r="O20" s="145">
        <f t="shared" si="3"/>
        <v>58.619019980010648</v>
      </c>
      <c r="P20" s="47">
        <f t="shared" si="4"/>
        <v>0</v>
      </c>
      <c r="Q20" s="55">
        <f t="shared" si="5"/>
        <v>0</v>
      </c>
      <c r="R20" s="145">
        <f t="shared" si="6"/>
        <v>58.619019980010648</v>
      </c>
      <c r="S20" s="125">
        <f t="shared" si="7"/>
        <v>-12.880980019989352</v>
      </c>
      <c r="T20" s="144">
        <f t="shared" si="8"/>
        <v>0</v>
      </c>
      <c r="V20" s="12"/>
    </row>
    <row r="21" spans="1:22" x14ac:dyDescent="0.25">
      <c r="A21" s="49">
        <f>'A) Base RI'!A22</f>
        <v>5421</v>
      </c>
      <c r="B21" s="351" t="str">
        <f>'A) Base RI'!B22</f>
        <v>Apples</v>
      </c>
      <c r="C21" s="403">
        <v>1261252.481074976</v>
      </c>
      <c r="D21" s="403">
        <v>1125276.9615885508</v>
      </c>
      <c r="E21" s="404">
        <v>0</v>
      </c>
      <c r="F21" s="404">
        <v>0</v>
      </c>
      <c r="G21" s="404">
        <v>0</v>
      </c>
      <c r="H21" s="403">
        <f t="shared" si="0"/>
        <v>2386529.4426635271</v>
      </c>
      <c r="I21" s="404">
        <v>70612.156710526324</v>
      </c>
      <c r="J21" s="355">
        <f>'B) D RI'!U22</f>
        <v>66313.601621621623</v>
      </c>
      <c r="K21" s="62">
        <f t="shared" si="1"/>
        <v>33.797713507704849</v>
      </c>
      <c r="L21" s="33">
        <f>'B) D RI'!S22</f>
        <v>74</v>
      </c>
      <c r="M21" s="465">
        <f t="shared" si="2"/>
        <v>40.202286492295151</v>
      </c>
      <c r="N21" s="457">
        <f>+'J) Plafonnement effort'!H20+'J) Plafonnement effort'!I20-'K) Plafonnement aide'!I20</f>
        <v>19.473454634677918</v>
      </c>
      <c r="O21" s="145">
        <f t="shared" si="3"/>
        <v>59.675741126973065</v>
      </c>
      <c r="P21" s="47">
        <f t="shared" si="4"/>
        <v>0</v>
      </c>
      <c r="Q21" s="55">
        <f t="shared" si="5"/>
        <v>0</v>
      </c>
      <c r="R21" s="145">
        <f t="shared" si="6"/>
        <v>59.675741126973065</v>
      </c>
      <c r="S21" s="125">
        <f t="shared" si="7"/>
        <v>-14.324258873026935</v>
      </c>
      <c r="T21" s="144">
        <f t="shared" si="8"/>
        <v>0</v>
      </c>
      <c r="V21" s="12"/>
    </row>
    <row r="22" spans="1:22" x14ac:dyDescent="0.25">
      <c r="A22" s="49">
        <f>'A) Base RI'!A23</f>
        <v>5422</v>
      </c>
      <c r="B22" s="351" t="str">
        <f>'A) Base RI'!B23</f>
        <v>Aubonne</v>
      </c>
      <c r="C22" s="403">
        <v>5495655.2422491331</v>
      </c>
      <c r="D22" s="403">
        <v>3657139.3613272482</v>
      </c>
      <c r="E22" s="404">
        <v>0</v>
      </c>
      <c r="F22" s="404">
        <v>0</v>
      </c>
      <c r="G22" s="404">
        <v>0</v>
      </c>
      <c r="H22" s="403">
        <f t="shared" si="0"/>
        <v>9152794.6035763808</v>
      </c>
      <c r="I22" s="404">
        <v>231171.83385714272</v>
      </c>
      <c r="J22" s="355">
        <f>'B) D RI'!U23</f>
        <v>242388.1994160584</v>
      </c>
      <c r="K22" s="62">
        <f t="shared" si="1"/>
        <v>39.593035409463134</v>
      </c>
      <c r="L22" s="33">
        <f>'B) D RI'!S23</f>
        <v>68.5</v>
      </c>
      <c r="M22" s="465">
        <f t="shared" si="2"/>
        <v>28.906964590536866</v>
      </c>
      <c r="N22" s="457">
        <f>+'J) Plafonnement effort'!H21+'J) Plafonnement effort'!I21-'K) Plafonnement aide'!I21</f>
        <v>35.468925678716047</v>
      </c>
      <c r="O22" s="145">
        <f t="shared" si="3"/>
        <v>64.37589026925292</v>
      </c>
      <c r="P22" s="47">
        <f t="shared" si="4"/>
        <v>0</v>
      </c>
      <c r="Q22" s="55">
        <f t="shared" si="5"/>
        <v>0</v>
      </c>
      <c r="R22" s="145">
        <f t="shared" si="6"/>
        <v>64.37589026925292</v>
      </c>
      <c r="S22" s="125">
        <f t="shared" si="7"/>
        <v>-4.1241097307470795</v>
      </c>
      <c r="T22" s="144">
        <f t="shared" si="8"/>
        <v>0</v>
      </c>
      <c r="V22" s="12"/>
    </row>
    <row r="23" spans="1:22" x14ac:dyDescent="0.25">
      <c r="A23" s="49">
        <f>'A) Base RI'!A24</f>
        <v>5423</v>
      </c>
      <c r="B23" s="351" t="str">
        <f>'A) Base RI'!B24</f>
        <v>Ballens</v>
      </c>
      <c r="C23" s="403">
        <v>288962.9304933555</v>
      </c>
      <c r="D23" s="403">
        <v>58118.707266307436</v>
      </c>
      <c r="E23" s="404">
        <v>0</v>
      </c>
      <c r="F23" s="404">
        <v>0</v>
      </c>
      <c r="G23" s="404">
        <v>0</v>
      </c>
      <c r="H23" s="403">
        <f t="shared" si="0"/>
        <v>347081.63775966293</v>
      </c>
      <c r="I23" s="404">
        <v>16262.42684931507</v>
      </c>
      <c r="J23" s="355">
        <f>'B) D RI'!U24</f>
        <v>17114.745479452053</v>
      </c>
      <c r="K23" s="62">
        <f t="shared" si="1"/>
        <v>21.342548745993657</v>
      </c>
      <c r="L23" s="33">
        <f>'B) D RI'!S24</f>
        <v>73</v>
      </c>
      <c r="M23" s="465">
        <f t="shared" si="2"/>
        <v>51.657451254006347</v>
      </c>
      <c r="N23" s="457">
        <f>+'J) Plafonnement effort'!H22+'J) Plafonnement effort'!I22-'K) Plafonnement aide'!I22</f>
        <v>8.0058201077917079</v>
      </c>
      <c r="O23" s="145">
        <f t="shared" si="3"/>
        <v>59.663271361798053</v>
      </c>
      <c r="P23" s="47">
        <f t="shared" si="4"/>
        <v>0</v>
      </c>
      <c r="Q23" s="55">
        <f t="shared" si="5"/>
        <v>0</v>
      </c>
      <c r="R23" s="145">
        <f t="shared" si="6"/>
        <v>59.663271361798053</v>
      </c>
      <c r="S23" s="125">
        <f t="shared" si="7"/>
        <v>-13.336728638201947</v>
      </c>
      <c r="T23" s="144">
        <f t="shared" si="8"/>
        <v>0</v>
      </c>
      <c r="V23" s="12"/>
    </row>
    <row r="24" spans="1:22" x14ac:dyDescent="0.25">
      <c r="A24" s="49">
        <f>'A) Base RI'!A25</f>
        <v>5424</v>
      </c>
      <c r="B24" s="351" t="str">
        <f>'A) Base RI'!B25</f>
        <v>Berolle</v>
      </c>
      <c r="C24" s="403">
        <v>141611.621543285</v>
      </c>
      <c r="D24" s="403">
        <v>34019.548549449974</v>
      </c>
      <c r="E24" s="404">
        <v>0</v>
      </c>
      <c r="F24" s="404">
        <v>0</v>
      </c>
      <c r="G24" s="404">
        <v>0</v>
      </c>
      <c r="H24" s="403">
        <f t="shared" si="0"/>
        <v>175631.17009273497</v>
      </c>
      <c r="I24" s="404">
        <v>9281.7425974025955</v>
      </c>
      <c r="J24" s="355">
        <f>'B) D RI'!U25</f>
        <v>9114.9769536423846</v>
      </c>
      <c r="K24" s="62">
        <f t="shared" si="1"/>
        <v>18.922219426973079</v>
      </c>
      <c r="L24" s="33">
        <f>'B) D RI'!S25</f>
        <v>75.5</v>
      </c>
      <c r="M24" s="465">
        <f t="shared" si="2"/>
        <v>56.577780573026921</v>
      </c>
      <c r="N24" s="457">
        <f>+'J) Plafonnement effort'!H23+'J) Plafonnement effort'!I23-'K) Plafonnement aide'!I23</f>
        <v>8.348117061418586</v>
      </c>
      <c r="O24" s="145">
        <f t="shared" si="3"/>
        <v>64.925897634445505</v>
      </c>
      <c r="P24" s="47">
        <f t="shared" si="4"/>
        <v>0</v>
      </c>
      <c r="Q24" s="55">
        <f t="shared" si="5"/>
        <v>0</v>
      </c>
      <c r="R24" s="145">
        <f t="shared" si="6"/>
        <v>64.925897634445505</v>
      </c>
      <c r="S24" s="125">
        <f t="shared" si="7"/>
        <v>-10.574102365554495</v>
      </c>
      <c r="T24" s="144">
        <f t="shared" si="8"/>
        <v>0</v>
      </c>
      <c r="V24" s="12"/>
    </row>
    <row r="25" spans="1:22" x14ac:dyDescent="0.25">
      <c r="A25" s="49">
        <f>'A) Base RI'!A26</f>
        <v>5425</v>
      </c>
      <c r="B25" s="351" t="str">
        <f>'A) Base RI'!B26</f>
        <v>Bière</v>
      </c>
      <c r="C25" s="403">
        <v>750863.6899306674</v>
      </c>
      <c r="D25" s="403">
        <v>-236972.43257779675</v>
      </c>
      <c r="E25" s="404">
        <v>0</v>
      </c>
      <c r="F25" s="404">
        <v>0</v>
      </c>
      <c r="G25" s="404">
        <v>0</v>
      </c>
      <c r="H25" s="403">
        <f t="shared" si="0"/>
        <v>513891.25735287066</v>
      </c>
      <c r="I25" s="404">
        <v>39522.239817733993</v>
      </c>
      <c r="J25" s="355">
        <f>'B) D RI'!U26</f>
        <v>40211.969135432286</v>
      </c>
      <c r="K25" s="62">
        <f t="shared" si="1"/>
        <v>13.002584360673884</v>
      </c>
      <c r="L25" s="33">
        <f>'B) D RI'!S26</f>
        <v>69</v>
      </c>
      <c r="M25" s="465">
        <f t="shared" si="2"/>
        <v>55.997415639326114</v>
      </c>
      <c r="N25" s="457">
        <f>+'J) Plafonnement effort'!H24+'J) Plafonnement effort'!I24-'K) Plafonnement aide'!I24</f>
        <v>-8.7651469066602772</v>
      </c>
      <c r="O25" s="145">
        <f t="shared" si="3"/>
        <v>47.232268732665837</v>
      </c>
      <c r="P25" s="47">
        <f t="shared" si="4"/>
        <v>0</v>
      </c>
      <c r="Q25" s="55">
        <f t="shared" si="5"/>
        <v>0</v>
      </c>
      <c r="R25" s="145">
        <f t="shared" si="6"/>
        <v>47.232268732665837</v>
      </c>
      <c r="S25" s="125">
        <f t="shared" si="7"/>
        <v>-21.767731267334163</v>
      </c>
      <c r="T25" s="144">
        <f t="shared" si="8"/>
        <v>0</v>
      </c>
      <c r="V25" s="12"/>
    </row>
    <row r="26" spans="1:22" x14ac:dyDescent="0.25">
      <c r="A26" s="49">
        <f>'A) Base RI'!A27</f>
        <v>5426</v>
      </c>
      <c r="B26" s="351" t="str">
        <f>'A) Base RI'!B27</f>
        <v>Bougy-Villars</v>
      </c>
      <c r="C26" s="403">
        <v>1651467.7306426382</v>
      </c>
      <c r="D26" s="403">
        <v>982137.95962206542</v>
      </c>
      <c r="E26" s="404">
        <v>0</v>
      </c>
      <c r="F26" s="404">
        <v>-290313.46753743105</v>
      </c>
      <c r="G26" s="404">
        <v>0</v>
      </c>
      <c r="H26" s="403">
        <f t="shared" si="0"/>
        <v>2343292.2227272727</v>
      </c>
      <c r="I26" s="404">
        <v>52073.160505050502</v>
      </c>
      <c r="J26" s="355">
        <f>'B) D RI'!U27</f>
        <v>55602.775012919898</v>
      </c>
      <c r="K26" s="62">
        <f t="shared" si="1"/>
        <v>45</v>
      </c>
      <c r="L26" s="33">
        <f>'B) D RI'!S27</f>
        <v>64.5</v>
      </c>
      <c r="M26" s="465">
        <f t="shared" si="2"/>
        <v>19.5</v>
      </c>
      <c r="N26" s="457">
        <f>+'J) Plafonnement effort'!H25+'J) Plafonnement effort'!I25-'K) Plafonnement aide'!I25</f>
        <v>46.002906604873772</v>
      </c>
      <c r="O26" s="145">
        <f t="shared" si="3"/>
        <v>65.502906604873772</v>
      </c>
      <c r="P26" s="47">
        <f t="shared" si="4"/>
        <v>0</v>
      </c>
      <c r="Q26" s="55">
        <f t="shared" si="5"/>
        <v>0</v>
      </c>
      <c r="R26" s="145">
        <f t="shared" si="6"/>
        <v>65.502906604873772</v>
      </c>
      <c r="S26" s="125">
        <f t="shared" si="7"/>
        <v>1.0029066048737718</v>
      </c>
      <c r="T26" s="144">
        <f t="shared" si="8"/>
        <v>0</v>
      </c>
      <c r="V26" s="12"/>
    </row>
    <row r="27" spans="1:22" x14ac:dyDescent="0.25">
      <c r="A27" s="49">
        <f>'A) Base RI'!A28</f>
        <v>5427</v>
      </c>
      <c r="B27" s="351" t="str">
        <f>'A) Base RI'!B28</f>
        <v>Féchy</v>
      </c>
      <c r="C27" s="403">
        <v>2544465.6345609678</v>
      </c>
      <c r="D27" s="403">
        <v>1627402.8618298196</v>
      </c>
      <c r="E27" s="404">
        <v>0</v>
      </c>
      <c r="F27" s="404">
        <v>-268143.68990040268</v>
      </c>
      <c r="G27" s="404">
        <v>0</v>
      </c>
      <c r="H27" s="403">
        <f t="shared" si="0"/>
        <v>3903724.806490385</v>
      </c>
      <c r="I27" s="404">
        <v>86749.440144230772</v>
      </c>
      <c r="J27" s="355">
        <f>'B) D RI'!U28</f>
        <v>77020.028293269235</v>
      </c>
      <c r="K27" s="62">
        <f t="shared" si="1"/>
        <v>45</v>
      </c>
      <c r="L27" s="33">
        <f>'B) D RI'!S28</f>
        <v>64</v>
      </c>
      <c r="M27" s="465">
        <f t="shared" si="2"/>
        <v>19</v>
      </c>
      <c r="N27" s="457">
        <f>+'J) Plafonnement effort'!H26+'J) Plafonnement effort'!I26-'K) Plafonnement aide'!I26</f>
        <v>40.527384388536944</v>
      </c>
      <c r="O27" s="145">
        <f t="shared" si="3"/>
        <v>59.527384388536944</v>
      </c>
      <c r="P27" s="47">
        <f t="shared" si="4"/>
        <v>0</v>
      </c>
      <c r="Q27" s="55">
        <f t="shared" si="5"/>
        <v>0</v>
      </c>
      <c r="R27" s="145">
        <f t="shared" si="6"/>
        <v>59.527384388536944</v>
      </c>
      <c r="S27" s="125">
        <f t="shared" si="7"/>
        <v>-4.4726156114630555</v>
      </c>
      <c r="T27" s="144">
        <f t="shared" si="8"/>
        <v>0</v>
      </c>
      <c r="V27" s="12"/>
    </row>
    <row r="28" spans="1:22" x14ac:dyDescent="0.25">
      <c r="A28" s="49">
        <f>'A) Base RI'!A29</f>
        <v>5428</v>
      </c>
      <c r="B28" s="351" t="str">
        <f>'A) Base RI'!B29</f>
        <v>Gimel</v>
      </c>
      <c r="C28" s="403">
        <v>1221259.428748192</v>
      </c>
      <c r="D28" s="403">
        <v>-100763.0167446679</v>
      </c>
      <c r="E28" s="404">
        <v>0</v>
      </c>
      <c r="F28" s="404">
        <v>0</v>
      </c>
      <c r="G28" s="404">
        <v>0</v>
      </c>
      <c r="H28" s="403">
        <f t="shared" si="0"/>
        <v>1120496.4120035241</v>
      </c>
      <c r="I28" s="404">
        <v>66171.009865771834</v>
      </c>
      <c r="J28" s="355">
        <f>'B) D RI'!U29</f>
        <v>70193.222975391502</v>
      </c>
      <c r="K28" s="62">
        <f t="shared" si="1"/>
        <v>16.933343079944763</v>
      </c>
      <c r="L28" s="33">
        <f>'B) D RI'!S29</f>
        <v>74.5</v>
      </c>
      <c r="M28" s="465">
        <f t="shared" si="2"/>
        <v>57.566656920055237</v>
      </c>
      <c r="N28" s="457">
        <f>+'J) Plafonnement effort'!H27+'J) Plafonnement effort'!I27-'K) Plafonnement aide'!I27</f>
        <v>7.8809025537149724</v>
      </c>
      <c r="O28" s="145">
        <f t="shared" si="3"/>
        <v>65.447559473770212</v>
      </c>
      <c r="P28" s="47">
        <f t="shared" si="4"/>
        <v>0</v>
      </c>
      <c r="Q28" s="55">
        <f t="shared" si="5"/>
        <v>0</v>
      </c>
      <c r="R28" s="145">
        <f t="shared" si="6"/>
        <v>65.447559473770212</v>
      </c>
      <c r="S28" s="125">
        <f t="shared" si="7"/>
        <v>-9.0524405262297876</v>
      </c>
      <c r="T28" s="144">
        <f t="shared" si="8"/>
        <v>0</v>
      </c>
      <c r="V28" s="12"/>
    </row>
    <row r="29" spans="1:22" x14ac:dyDescent="0.25">
      <c r="A29" s="49">
        <f>'A) Base RI'!A30</f>
        <v>5429</v>
      </c>
      <c r="B29" s="351" t="str">
        <f>'A) Base RI'!B30</f>
        <v>Longirod</v>
      </c>
      <c r="C29" s="403">
        <v>263414.67188112694</v>
      </c>
      <c r="D29" s="403">
        <v>53472.406295064895</v>
      </c>
      <c r="E29" s="404">
        <v>0</v>
      </c>
      <c r="F29" s="404">
        <v>0</v>
      </c>
      <c r="G29" s="404">
        <v>0</v>
      </c>
      <c r="H29" s="403">
        <f t="shared" si="0"/>
        <v>316887.07817619183</v>
      </c>
      <c r="I29" s="404">
        <v>15311.416666666666</v>
      </c>
      <c r="J29" s="355">
        <f>'B) D RI'!U30</f>
        <v>16140.77393548387</v>
      </c>
      <c r="K29" s="62">
        <f t="shared" si="1"/>
        <v>20.696130545912375</v>
      </c>
      <c r="L29" s="33">
        <f>'B) D RI'!S30</f>
        <v>77.5</v>
      </c>
      <c r="M29" s="465">
        <f t="shared" si="2"/>
        <v>56.803869454087625</v>
      </c>
      <c r="N29" s="457">
        <f>+'J) Plafonnement effort'!H28+'J) Plafonnement effort'!I28-'K) Plafonnement aide'!I28</f>
        <v>9.8472885088647537</v>
      </c>
      <c r="O29" s="145">
        <f t="shared" si="3"/>
        <v>66.651157962952382</v>
      </c>
      <c r="P29" s="47">
        <f t="shared" si="4"/>
        <v>0</v>
      </c>
      <c r="Q29" s="55">
        <f t="shared" si="5"/>
        <v>0</v>
      </c>
      <c r="R29" s="145">
        <f t="shared" si="6"/>
        <v>66.651157962952382</v>
      </c>
      <c r="S29" s="125">
        <f t="shared" si="7"/>
        <v>-10.848842037047618</v>
      </c>
      <c r="T29" s="144">
        <f t="shared" si="8"/>
        <v>0</v>
      </c>
      <c r="V29" s="12"/>
    </row>
    <row r="30" spans="1:22" x14ac:dyDescent="0.25">
      <c r="A30" s="49">
        <f>'A) Base RI'!A31</f>
        <v>5430</v>
      </c>
      <c r="B30" s="351" t="str">
        <f>'A) Base RI'!B31</f>
        <v>Marchissy</v>
      </c>
      <c r="C30" s="403">
        <v>247706.05778232383</v>
      </c>
      <c r="D30" s="403">
        <v>54108.586386486189</v>
      </c>
      <c r="E30" s="404">
        <v>0</v>
      </c>
      <c r="F30" s="404">
        <v>0</v>
      </c>
      <c r="G30" s="404">
        <v>0</v>
      </c>
      <c r="H30" s="403">
        <f t="shared" si="0"/>
        <v>301814.64416880999</v>
      </c>
      <c r="I30" s="404">
        <v>14827.393037974683</v>
      </c>
      <c r="J30" s="355">
        <f>'B) D RI'!U31</f>
        <v>14848.450709677421</v>
      </c>
      <c r="K30" s="62">
        <f t="shared" si="1"/>
        <v>20.355206299302072</v>
      </c>
      <c r="L30" s="33">
        <f>'B) D RI'!S31</f>
        <v>77.5</v>
      </c>
      <c r="M30" s="465">
        <f t="shared" si="2"/>
        <v>57.144793700697932</v>
      </c>
      <c r="N30" s="457">
        <f>+'J) Plafonnement effort'!H29+'J) Plafonnement effort'!I29-'K) Plafonnement aide'!I29</f>
        <v>-9.6301147882865088</v>
      </c>
      <c r="O30" s="145">
        <f t="shared" si="3"/>
        <v>47.514678912411426</v>
      </c>
      <c r="P30" s="47">
        <f t="shared" si="4"/>
        <v>0</v>
      </c>
      <c r="Q30" s="55">
        <f t="shared" si="5"/>
        <v>0</v>
      </c>
      <c r="R30" s="145">
        <f t="shared" si="6"/>
        <v>47.514678912411426</v>
      </c>
      <c r="S30" s="125">
        <f t="shared" si="7"/>
        <v>-29.985321087588574</v>
      </c>
      <c r="T30" s="144">
        <f t="shared" si="8"/>
        <v>0</v>
      </c>
      <c r="V30" s="12"/>
    </row>
    <row r="31" spans="1:22" x14ac:dyDescent="0.25">
      <c r="A31" s="49">
        <f>'A) Base RI'!A32</f>
        <v>5431</v>
      </c>
      <c r="B31" s="351" t="str">
        <f>'A) Base RI'!B32</f>
        <v>Mollens</v>
      </c>
      <c r="C31" s="403">
        <v>214375.62526318911</v>
      </c>
      <c r="D31" s="403">
        <v>89621.251433075406</v>
      </c>
      <c r="E31" s="404">
        <v>0</v>
      </c>
      <c r="F31" s="404">
        <v>0</v>
      </c>
      <c r="G31" s="404">
        <v>0</v>
      </c>
      <c r="H31" s="403">
        <f t="shared" si="0"/>
        <v>303996.87669626449</v>
      </c>
      <c r="I31" s="404">
        <v>10626.755405405405</v>
      </c>
      <c r="J31" s="355">
        <f>'B) D RI'!U32</f>
        <v>9333.4747297297308</v>
      </c>
      <c r="K31" s="62">
        <f t="shared" si="1"/>
        <v>28.606744495279663</v>
      </c>
      <c r="L31" s="33">
        <f>'B) D RI'!S32</f>
        <v>74</v>
      </c>
      <c r="M31" s="465">
        <f t="shared" si="2"/>
        <v>45.393255504720337</v>
      </c>
      <c r="N31" s="457">
        <f>+'J) Plafonnement effort'!H30+'J) Plafonnement effort'!I30-'K) Plafonnement aide'!I30</f>
        <v>4.8974594878218181</v>
      </c>
      <c r="O31" s="145">
        <f t="shared" si="3"/>
        <v>50.290714992542156</v>
      </c>
      <c r="P31" s="47">
        <f t="shared" si="4"/>
        <v>0</v>
      </c>
      <c r="Q31" s="55">
        <f t="shared" si="5"/>
        <v>0</v>
      </c>
      <c r="R31" s="145">
        <f t="shared" si="6"/>
        <v>50.290714992542156</v>
      </c>
      <c r="S31" s="125">
        <f t="shared" si="7"/>
        <v>-23.709285007457844</v>
      </c>
      <c r="T31" s="144">
        <f t="shared" si="8"/>
        <v>0</v>
      </c>
      <c r="V31" s="12"/>
    </row>
    <row r="32" spans="1:22" x14ac:dyDescent="0.25">
      <c r="A32" s="49">
        <f>'A) Base RI'!A33</f>
        <v>5432</v>
      </c>
      <c r="B32" s="351" t="str">
        <f>'A) Base RI'!B33</f>
        <v>Montherod</v>
      </c>
      <c r="C32" s="403">
        <v>260908.09810291277</v>
      </c>
      <c r="D32" s="403">
        <v>26868.775860733702</v>
      </c>
      <c r="E32" s="404">
        <v>0</v>
      </c>
      <c r="F32" s="404">
        <v>0</v>
      </c>
      <c r="G32" s="404">
        <v>0</v>
      </c>
      <c r="H32" s="403">
        <f t="shared" si="0"/>
        <v>287776.87396364647</v>
      </c>
      <c r="I32" s="404">
        <v>16078.014230769231</v>
      </c>
      <c r="J32" s="355">
        <f>'B) D RI'!U33</f>
        <v>16429.509999999998</v>
      </c>
      <c r="K32" s="62">
        <f t="shared" si="1"/>
        <v>17.898782140204524</v>
      </c>
      <c r="L32" s="33">
        <f>'B) D RI'!S33</f>
        <v>75</v>
      </c>
      <c r="M32" s="465">
        <f t="shared" si="2"/>
        <v>57.101217859795476</v>
      </c>
      <c r="N32" s="457">
        <f>+'J) Plafonnement effort'!H31+'J) Plafonnement effort'!I31-'K) Plafonnement aide'!I31</f>
        <v>14.439321146662044</v>
      </c>
      <c r="O32" s="145">
        <f t="shared" si="3"/>
        <v>71.540539006457522</v>
      </c>
      <c r="P32" s="47">
        <f t="shared" si="4"/>
        <v>0</v>
      </c>
      <c r="Q32" s="55">
        <f t="shared" si="5"/>
        <v>0</v>
      </c>
      <c r="R32" s="145">
        <f t="shared" si="6"/>
        <v>71.540539006457522</v>
      </c>
      <c r="S32" s="125">
        <f t="shared" si="7"/>
        <v>-3.4594609935424785</v>
      </c>
      <c r="T32" s="144">
        <f t="shared" si="8"/>
        <v>0</v>
      </c>
      <c r="V32" s="12"/>
    </row>
    <row r="33" spans="1:22" x14ac:dyDescent="0.25">
      <c r="A33" s="49">
        <f>'A) Base RI'!A34</f>
        <v>5434</v>
      </c>
      <c r="B33" s="351" t="str">
        <f>'A) Base RI'!B34</f>
        <v>Saint-George</v>
      </c>
      <c r="C33" s="403">
        <v>701586.47045881464</v>
      </c>
      <c r="D33" s="403">
        <v>447257.63762540213</v>
      </c>
      <c r="E33" s="404">
        <v>0</v>
      </c>
      <c r="F33" s="404">
        <v>0</v>
      </c>
      <c r="G33" s="404">
        <v>0</v>
      </c>
      <c r="H33" s="403">
        <f t="shared" si="0"/>
        <v>1148844.1080842167</v>
      </c>
      <c r="I33" s="404">
        <v>39905.96180751174</v>
      </c>
      <c r="J33" s="355">
        <f>'B) D RI'!U34</f>
        <v>40796.774220623498</v>
      </c>
      <c r="K33" s="62">
        <f t="shared" si="1"/>
        <v>28.788783831992813</v>
      </c>
      <c r="L33" s="33">
        <f>'B) D RI'!S34</f>
        <v>69.5</v>
      </c>
      <c r="M33" s="465">
        <f t="shared" si="2"/>
        <v>40.711216168007184</v>
      </c>
      <c r="N33" s="457">
        <f>+'J) Plafonnement effort'!H32+'J) Plafonnement effort'!I32-'K) Plafonnement aide'!I32</f>
        <v>22.462917381383477</v>
      </c>
      <c r="O33" s="145">
        <f t="shared" si="3"/>
        <v>63.17413354939066</v>
      </c>
      <c r="P33" s="47">
        <f t="shared" si="4"/>
        <v>0</v>
      </c>
      <c r="Q33" s="55">
        <f t="shared" si="5"/>
        <v>0</v>
      </c>
      <c r="R33" s="145">
        <f t="shared" si="6"/>
        <v>63.17413354939066</v>
      </c>
      <c r="S33" s="125">
        <f t="shared" si="7"/>
        <v>-6.3258664506093396</v>
      </c>
      <c r="T33" s="144">
        <f t="shared" si="8"/>
        <v>0</v>
      </c>
      <c r="V33" s="12"/>
    </row>
    <row r="34" spans="1:22" x14ac:dyDescent="0.25">
      <c r="A34" s="49">
        <f>'A) Base RI'!A35</f>
        <v>5435</v>
      </c>
      <c r="B34" s="351" t="str">
        <f>'A) Base RI'!B35</f>
        <v>Saint-Livres</v>
      </c>
      <c r="C34" s="403">
        <v>391084.93466867734</v>
      </c>
      <c r="D34" s="403">
        <v>244818.10473539488</v>
      </c>
      <c r="E34" s="404">
        <v>0</v>
      </c>
      <c r="F34" s="404">
        <v>0</v>
      </c>
      <c r="G34" s="404">
        <v>0</v>
      </c>
      <c r="H34" s="403">
        <f t="shared" si="0"/>
        <v>635903.03940407222</v>
      </c>
      <c r="I34" s="404">
        <v>24331.716956521734</v>
      </c>
      <c r="J34" s="355">
        <f>'B) D RI'!U35</f>
        <v>26346.510144927532</v>
      </c>
      <c r="K34" s="62">
        <f t="shared" si="1"/>
        <v>26.134737657041025</v>
      </c>
      <c r="L34" s="33">
        <f>'B) D RI'!S35</f>
        <v>69</v>
      </c>
      <c r="M34" s="465">
        <f t="shared" si="2"/>
        <v>42.865262342958971</v>
      </c>
      <c r="N34" s="457">
        <f>+'J) Plafonnement effort'!H33+'J) Plafonnement effort'!I33-'K) Plafonnement aide'!I33</f>
        <v>23.172036868145273</v>
      </c>
      <c r="O34" s="145">
        <f t="shared" si="3"/>
        <v>66.037299211104241</v>
      </c>
      <c r="P34" s="47">
        <f t="shared" si="4"/>
        <v>0</v>
      </c>
      <c r="Q34" s="55">
        <f t="shared" si="5"/>
        <v>0</v>
      </c>
      <c r="R34" s="145">
        <f t="shared" si="6"/>
        <v>66.037299211104241</v>
      </c>
      <c r="S34" s="125">
        <f t="shared" si="7"/>
        <v>-2.9627007888957593</v>
      </c>
      <c r="T34" s="144">
        <f t="shared" si="8"/>
        <v>0</v>
      </c>
      <c r="V34" s="12"/>
    </row>
    <row r="35" spans="1:22" x14ac:dyDescent="0.25">
      <c r="A35" s="49">
        <f>'A) Base RI'!A36</f>
        <v>5436</v>
      </c>
      <c r="B35" s="351" t="str">
        <f>'A) Base RI'!B36</f>
        <v>Saint-Oyens</v>
      </c>
      <c r="C35" s="403">
        <v>267489.26799732901</v>
      </c>
      <c r="D35" s="403">
        <v>158354.13376139855</v>
      </c>
      <c r="E35" s="404">
        <v>0</v>
      </c>
      <c r="F35" s="404">
        <v>0</v>
      </c>
      <c r="G35" s="404">
        <v>0</v>
      </c>
      <c r="H35" s="403">
        <f t="shared" si="0"/>
        <v>425843.40175872756</v>
      </c>
      <c r="I35" s="404">
        <v>16564.840617283953</v>
      </c>
      <c r="J35" s="355">
        <f>'B) D RI'!U36</f>
        <v>16755.63848765432</v>
      </c>
      <c r="K35" s="62">
        <f t="shared" si="1"/>
        <v>25.707666713943354</v>
      </c>
      <c r="L35" s="33">
        <f>'B) D RI'!S36</f>
        <v>81</v>
      </c>
      <c r="M35" s="465">
        <f t="shared" si="2"/>
        <v>55.292333286056646</v>
      </c>
      <c r="N35" s="457">
        <f>+'J) Plafonnement effort'!H34+'J) Plafonnement effort'!I34-'K) Plafonnement aide'!I34</f>
        <v>20.700318280736816</v>
      </c>
      <c r="O35" s="145">
        <f t="shared" si="3"/>
        <v>75.992651566793455</v>
      </c>
      <c r="P35" s="47">
        <f t="shared" si="4"/>
        <v>0</v>
      </c>
      <c r="Q35" s="55">
        <f t="shared" si="5"/>
        <v>0</v>
      </c>
      <c r="R35" s="145">
        <f t="shared" si="6"/>
        <v>75.992651566793455</v>
      </c>
      <c r="S35" s="125">
        <f t="shared" si="7"/>
        <v>-5.0073484332065448</v>
      </c>
      <c r="T35" s="144">
        <f t="shared" si="8"/>
        <v>0</v>
      </c>
      <c r="V35" s="12"/>
    </row>
    <row r="36" spans="1:22" x14ac:dyDescent="0.25">
      <c r="A36" s="49">
        <f>'A) Base RI'!A37</f>
        <v>5437</v>
      </c>
      <c r="B36" s="351" t="str">
        <f>'A) Base RI'!B37</f>
        <v>Saubraz</v>
      </c>
      <c r="C36" s="403">
        <v>216533.2693914524</v>
      </c>
      <c r="D36" s="403">
        <v>38307.167128092871</v>
      </c>
      <c r="E36" s="404">
        <v>0</v>
      </c>
      <c r="F36" s="404">
        <v>0</v>
      </c>
      <c r="G36" s="404">
        <v>0</v>
      </c>
      <c r="H36" s="403">
        <f t="shared" si="0"/>
        <v>254840.43651954527</v>
      </c>
      <c r="I36" s="404">
        <v>13155.785124999999</v>
      </c>
      <c r="J36" s="355">
        <f>'B) D RI'!U37</f>
        <v>13391.905875</v>
      </c>
      <c r="K36" s="62">
        <f t="shared" si="1"/>
        <v>19.370978934223455</v>
      </c>
      <c r="L36" s="33">
        <f>'B) D RI'!S37</f>
        <v>80</v>
      </c>
      <c r="M36" s="465">
        <f t="shared" si="2"/>
        <v>60.629021065776541</v>
      </c>
      <c r="N36" s="457">
        <f>+'J) Plafonnement effort'!H35+'J) Plafonnement effort'!I35-'K) Plafonnement aide'!I35</f>
        <v>14.254498121876825</v>
      </c>
      <c r="O36" s="145">
        <f>M36+N36</f>
        <v>74.883519187653363</v>
      </c>
      <c r="P36" s="47">
        <f t="shared" si="4"/>
        <v>0</v>
      </c>
      <c r="Q36" s="55">
        <f t="shared" si="5"/>
        <v>0</v>
      </c>
      <c r="R36" s="145">
        <f t="shared" si="6"/>
        <v>74.883519187653363</v>
      </c>
      <c r="S36" s="125">
        <f t="shared" si="7"/>
        <v>-5.1164808123466372</v>
      </c>
      <c r="T36" s="144">
        <f t="shared" si="8"/>
        <v>0</v>
      </c>
      <c r="V36" s="12"/>
    </row>
    <row r="37" spans="1:22" x14ac:dyDescent="0.25">
      <c r="A37" s="49">
        <f>'A) Base RI'!A38</f>
        <v>5451</v>
      </c>
      <c r="B37" s="351" t="str">
        <f>'A) Base RI'!B38</f>
        <v>Avenches</v>
      </c>
      <c r="C37" s="403">
        <v>2399546.927846753</v>
      </c>
      <c r="D37" s="403">
        <v>-242050.561728484</v>
      </c>
      <c r="E37" s="404">
        <v>0</v>
      </c>
      <c r="F37" s="404">
        <v>0</v>
      </c>
      <c r="G37" s="404">
        <v>0</v>
      </c>
      <c r="H37" s="403">
        <f t="shared" si="0"/>
        <v>2157496.366118269</v>
      </c>
      <c r="I37" s="404">
        <v>129378.19823529426</v>
      </c>
      <c r="J37" s="355">
        <f>'B) D RI'!U38</f>
        <v>129500.81187969925</v>
      </c>
      <c r="K37" s="62">
        <f t="shared" si="1"/>
        <v>16.675888175490961</v>
      </c>
      <c r="L37" s="33">
        <f>'B) D RI'!S38</f>
        <v>66.5</v>
      </c>
      <c r="M37" s="465">
        <f t="shared" si="2"/>
        <v>49.824111824509039</v>
      </c>
      <c r="N37" s="457">
        <f>+'J) Plafonnement effort'!H36+'J) Plafonnement effort'!I36-'K) Plafonnement aide'!I36</f>
        <v>-1.7440249488698245</v>
      </c>
      <c r="O37" s="145">
        <f t="shared" si="3"/>
        <v>48.080086875639218</v>
      </c>
      <c r="P37" s="47">
        <f t="shared" si="4"/>
        <v>0</v>
      </c>
      <c r="Q37" s="55">
        <f t="shared" si="5"/>
        <v>0</v>
      </c>
      <c r="R37" s="145">
        <f t="shared" si="6"/>
        <v>48.080086875639218</v>
      </c>
      <c r="S37" s="125">
        <f t="shared" si="7"/>
        <v>-18.419913124360782</v>
      </c>
      <c r="T37" s="144">
        <f t="shared" si="8"/>
        <v>0</v>
      </c>
      <c r="V37" s="12"/>
    </row>
    <row r="38" spans="1:22" x14ac:dyDescent="0.25">
      <c r="A38" s="49">
        <f>'A) Base RI'!A39</f>
        <v>5456</v>
      </c>
      <c r="B38" s="351" t="str">
        <f>'A) Base RI'!B39</f>
        <v>Cudrefin</v>
      </c>
      <c r="C38" s="403">
        <v>1426049.3645792538</v>
      </c>
      <c r="D38" s="403">
        <v>440448.5661438948</v>
      </c>
      <c r="E38" s="404">
        <v>0</v>
      </c>
      <c r="F38" s="404">
        <v>0</v>
      </c>
      <c r="G38" s="404">
        <v>0</v>
      </c>
      <c r="H38" s="403">
        <f t="shared" si="0"/>
        <v>1866497.9307231486</v>
      </c>
      <c r="I38" s="404">
        <v>57755.250790960446</v>
      </c>
      <c r="J38" s="355">
        <f>'B) D RI'!U39</f>
        <v>64226.933276836171</v>
      </c>
      <c r="K38" s="62">
        <f t="shared" si="1"/>
        <v>32.317372103166129</v>
      </c>
      <c r="L38" s="33">
        <f>'B) D RI'!S39</f>
        <v>59</v>
      </c>
      <c r="M38" s="465">
        <f t="shared" si="2"/>
        <v>26.682627896833871</v>
      </c>
      <c r="N38" s="457">
        <f>+'J) Plafonnement effort'!H37+'J) Plafonnement effort'!I37-'K) Plafonnement aide'!I37</f>
        <v>18.210439315176423</v>
      </c>
      <c r="O38" s="145">
        <f t="shared" si="3"/>
        <v>44.893067212010294</v>
      </c>
      <c r="P38" s="47">
        <f t="shared" si="4"/>
        <v>0</v>
      </c>
      <c r="Q38" s="55">
        <f t="shared" si="5"/>
        <v>0</v>
      </c>
      <c r="R38" s="145">
        <f t="shared" si="6"/>
        <v>44.893067212010294</v>
      </c>
      <c r="S38" s="125">
        <f t="shared" si="7"/>
        <v>-14.106932787989706</v>
      </c>
      <c r="T38" s="144">
        <f t="shared" si="8"/>
        <v>0</v>
      </c>
      <c r="V38" s="12"/>
    </row>
    <row r="39" spans="1:22" x14ac:dyDescent="0.25">
      <c r="A39" s="49">
        <f>'A) Base RI'!A40</f>
        <v>5458</v>
      </c>
      <c r="B39" s="351" t="str">
        <f>'A) Base RI'!B40</f>
        <v>Faoug</v>
      </c>
      <c r="C39" s="403">
        <v>711571.36706510419</v>
      </c>
      <c r="D39" s="403">
        <v>405184.04217179434</v>
      </c>
      <c r="E39" s="404">
        <v>0</v>
      </c>
      <c r="F39" s="404">
        <v>0</v>
      </c>
      <c r="G39" s="404">
        <v>0</v>
      </c>
      <c r="H39" s="403">
        <f t="shared" si="0"/>
        <v>1116755.4092368986</v>
      </c>
      <c r="I39" s="404">
        <v>33143.605656565654</v>
      </c>
      <c r="J39" s="355">
        <f>'B) D RI'!U40</f>
        <v>32198.404090909091</v>
      </c>
      <c r="K39" s="62">
        <f t="shared" si="1"/>
        <v>33.694445342149201</v>
      </c>
      <c r="L39" s="33">
        <f>'B) D RI'!S40</f>
        <v>66</v>
      </c>
      <c r="M39" s="465">
        <f t="shared" si="2"/>
        <v>32.305554657850799</v>
      </c>
      <c r="N39" s="457">
        <f>+'J) Plafonnement effort'!H38+'J) Plafonnement effort'!I38-'K) Plafonnement aide'!I38</f>
        <v>20.443343803193024</v>
      </c>
      <c r="O39" s="145">
        <f t="shared" si="3"/>
        <v>52.748898461043822</v>
      </c>
      <c r="P39" s="47">
        <f t="shared" si="4"/>
        <v>0</v>
      </c>
      <c r="Q39" s="55">
        <f t="shared" si="5"/>
        <v>0</v>
      </c>
      <c r="R39" s="145">
        <f t="shared" si="6"/>
        <v>52.748898461043822</v>
      </c>
      <c r="S39" s="125">
        <f t="shared" si="7"/>
        <v>-13.251101538956178</v>
      </c>
      <c r="T39" s="144">
        <f t="shared" si="8"/>
        <v>0</v>
      </c>
      <c r="V39" s="12"/>
    </row>
    <row r="40" spans="1:22" x14ac:dyDescent="0.25">
      <c r="A40" s="49">
        <f>'A) Base RI'!A41</f>
        <v>5464</v>
      </c>
      <c r="B40" s="351" t="str">
        <f>'A) Base RI'!B41</f>
        <v>Vully-les-Lacs</v>
      </c>
      <c r="C40" s="403">
        <v>2037221.4122604332</v>
      </c>
      <c r="D40" s="403">
        <v>544964.19790280913</v>
      </c>
      <c r="E40" s="404">
        <v>0</v>
      </c>
      <c r="F40" s="404">
        <v>0</v>
      </c>
      <c r="G40" s="404">
        <v>0</v>
      </c>
      <c r="H40" s="403">
        <f t="shared" si="0"/>
        <v>2582185.6101632426</v>
      </c>
      <c r="I40" s="404">
        <v>112741.2284079602</v>
      </c>
      <c r="J40" s="355">
        <f>'B) D RI'!U41</f>
        <v>111597.31895522389</v>
      </c>
      <c r="K40" s="62">
        <f t="shared" si="1"/>
        <v>22.903649770600911</v>
      </c>
      <c r="L40" s="33">
        <f>'B) D RI'!S41</f>
        <v>67</v>
      </c>
      <c r="M40" s="465">
        <f t="shared" si="2"/>
        <v>44.096350229399093</v>
      </c>
      <c r="N40" s="457">
        <f>+'J) Plafonnement effort'!H39+'J) Plafonnement effort'!I39-'K) Plafonnement aide'!I39</f>
        <v>12.48191387286122</v>
      </c>
      <c r="O40" s="145">
        <f t="shared" si="3"/>
        <v>56.578264102260313</v>
      </c>
      <c r="P40" s="47">
        <f t="shared" si="4"/>
        <v>0</v>
      </c>
      <c r="Q40" s="55">
        <f t="shared" si="5"/>
        <v>0</v>
      </c>
      <c r="R40" s="145">
        <f t="shared" si="6"/>
        <v>56.578264102260313</v>
      </c>
      <c r="S40" s="125">
        <f t="shared" si="7"/>
        <v>-10.421735897739687</v>
      </c>
      <c r="T40" s="144">
        <f t="shared" si="8"/>
        <v>0</v>
      </c>
      <c r="V40" s="12"/>
    </row>
    <row r="41" spans="1:22" x14ac:dyDescent="0.25">
      <c r="A41" s="49">
        <f>'A) Base RI'!A42</f>
        <v>5471</v>
      </c>
      <c r="B41" s="351" t="str">
        <f>'A) Base RI'!B42</f>
        <v>Bettens</v>
      </c>
      <c r="C41" s="403">
        <v>349507.03270198748</v>
      </c>
      <c r="D41" s="403">
        <v>179529.63099034142</v>
      </c>
      <c r="E41" s="404">
        <v>0</v>
      </c>
      <c r="F41" s="404">
        <v>0</v>
      </c>
      <c r="G41" s="404">
        <v>0</v>
      </c>
      <c r="H41" s="403">
        <f t="shared" si="0"/>
        <v>529036.66369232885</v>
      </c>
      <c r="I41" s="404">
        <v>21708.019984126982</v>
      </c>
      <c r="J41" s="355">
        <f>'B) D RI'!U42</f>
        <v>20385.282730158731</v>
      </c>
      <c r="K41" s="62">
        <f t="shared" si="1"/>
        <v>24.370562772614139</v>
      </c>
      <c r="L41" s="33">
        <f>'B) D RI'!S42</f>
        <v>70</v>
      </c>
      <c r="M41" s="465">
        <f t="shared" si="2"/>
        <v>45.629437227385864</v>
      </c>
      <c r="N41" s="457">
        <f>+'J) Plafonnement effort'!H40+'J) Plafonnement effort'!I40-'K) Plafonnement aide'!I40</f>
        <v>17.837869495299877</v>
      </c>
      <c r="O41" s="145">
        <f t="shared" si="3"/>
        <v>63.467306722685741</v>
      </c>
      <c r="P41" s="47">
        <f t="shared" si="4"/>
        <v>0</v>
      </c>
      <c r="Q41" s="55">
        <f t="shared" si="5"/>
        <v>0</v>
      </c>
      <c r="R41" s="145">
        <f t="shared" si="6"/>
        <v>63.467306722685741</v>
      </c>
      <c r="S41" s="125">
        <f t="shared" si="7"/>
        <v>-6.5326932773142588</v>
      </c>
      <c r="T41" s="144">
        <f t="shared" si="8"/>
        <v>0</v>
      </c>
      <c r="V41" s="12"/>
    </row>
    <row r="42" spans="1:22" x14ac:dyDescent="0.25">
      <c r="A42" s="49">
        <f>'A) Base RI'!A43</f>
        <v>5472</v>
      </c>
      <c r="B42" s="351" t="str">
        <f>'A) Base RI'!B43</f>
        <v>Bournens</v>
      </c>
      <c r="C42" s="403">
        <v>251455.84549740131</v>
      </c>
      <c r="D42" s="403">
        <v>138145.00938628099</v>
      </c>
      <c r="E42" s="404">
        <v>0</v>
      </c>
      <c r="F42" s="404">
        <v>0</v>
      </c>
      <c r="G42" s="404">
        <v>0</v>
      </c>
      <c r="H42" s="403">
        <f t="shared" si="0"/>
        <v>389600.85488368233</v>
      </c>
      <c r="I42" s="404">
        <v>15065.660131578947</v>
      </c>
      <c r="J42" s="355">
        <f>'B) D RI'!U43</f>
        <v>20143.161388888886</v>
      </c>
      <c r="K42" s="62">
        <f t="shared" si="1"/>
        <v>25.860191420822293</v>
      </c>
      <c r="L42" s="33">
        <f>'B) D RI'!S43</f>
        <v>72</v>
      </c>
      <c r="M42" s="465">
        <f t="shared" si="2"/>
        <v>46.139808579177711</v>
      </c>
      <c r="N42" s="457">
        <f>+'J) Plafonnement effort'!H41+'J) Plafonnement effort'!I41-'K) Plafonnement aide'!I41</f>
        <v>25.308767649918757</v>
      </c>
      <c r="O42" s="145">
        <f t="shared" si="3"/>
        <v>71.44857622909646</v>
      </c>
      <c r="P42" s="47">
        <f t="shared" si="4"/>
        <v>0</v>
      </c>
      <c r="Q42" s="55">
        <f t="shared" si="5"/>
        <v>0</v>
      </c>
      <c r="R42" s="145">
        <f t="shared" si="6"/>
        <v>71.44857622909646</v>
      </c>
      <c r="S42" s="125">
        <f t="shared" si="7"/>
        <v>-0.55142377090353989</v>
      </c>
      <c r="T42" s="144">
        <f t="shared" si="8"/>
        <v>0</v>
      </c>
      <c r="V42" s="12"/>
    </row>
    <row r="43" spans="1:22" x14ac:dyDescent="0.25">
      <c r="A43" s="49">
        <f>'A) Base RI'!A44</f>
        <v>5473</v>
      </c>
      <c r="B43" s="351" t="str">
        <f>'A) Base RI'!B44</f>
        <v>Boussens</v>
      </c>
      <c r="C43" s="403">
        <v>550039.27916090284</v>
      </c>
      <c r="D43" s="403">
        <v>327911.95227203192</v>
      </c>
      <c r="E43" s="404">
        <v>0</v>
      </c>
      <c r="F43" s="404">
        <v>0</v>
      </c>
      <c r="G43" s="404">
        <v>0</v>
      </c>
      <c r="H43" s="403">
        <f t="shared" si="0"/>
        <v>877951.23143293476</v>
      </c>
      <c r="I43" s="404">
        <v>34350.684492753629</v>
      </c>
      <c r="J43" s="355">
        <f>'B) D RI'!U44</f>
        <v>37775.140592592586</v>
      </c>
      <c r="K43" s="62">
        <f t="shared" si="1"/>
        <v>25.558478510614279</v>
      </c>
      <c r="L43" s="33">
        <f>'B) D RI'!S44</f>
        <v>67.5</v>
      </c>
      <c r="M43" s="465">
        <f t="shared" si="2"/>
        <v>41.941521489385721</v>
      </c>
      <c r="N43" s="457">
        <f>+'J) Plafonnement effort'!H42+'J) Plafonnement effort'!I42-'K) Plafonnement aide'!I42</f>
        <v>24.388660571144396</v>
      </c>
      <c r="O43" s="145">
        <f t="shared" si="3"/>
        <v>66.33018206053012</v>
      </c>
      <c r="P43" s="47">
        <f t="shared" si="4"/>
        <v>0</v>
      </c>
      <c r="Q43" s="55">
        <f t="shared" si="5"/>
        <v>0</v>
      </c>
      <c r="R43" s="145">
        <f t="shared" si="6"/>
        <v>66.33018206053012</v>
      </c>
      <c r="S43" s="125">
        <f t="shared" si="7"/>
        <v>-1.1698179394698798</v>
      </c>
      <c r="T43" s="144">
        <f t="shared" si="8"/>
        <v>0</v>
      </c>
      <c r="V43" s="12"/>
    </row>
    <row r="44" spans="1:22" x14ac:dyDescent="0.25">
      <c r="A44" s="49">
        <f>'A) Base RI'!A45</f>
        <v>5474</v>
      </c>
      <c r="B44" s="351" t="str">
        <f>'A) Base RI'!B45</f>
        <v>La Chaux (Cossonay)</v>
      </c>
      <c r="C44" s="403">
        <v>276544.39006338036</v>
      </c>
      <c r="D44" s="403">
        <v>179693.85258297157</v>
      </c>
      <c r="E44" s="404">
        <v>0</v>
      </c>
      <c r="F44" s="404">
        <v>0</v>
      </c>
      <c r="G44" s="404">
        <v>0</v>
      </c>
      <c r="H44" s="403">
        <f t="shared" si="0"/>
        <v>456238.24264635192</v>
      </c>
      <c r="I44" s="404">
        <v>15323.423073593074</v>
      </c>
      <c r="J44" s="355">
        <f>'B) D RI'!U45</f>
        <v>13182.521580086577</v>
      </c>
      <c r="K44" s="62">
        <f t="shared" si="1"/>
        <v>29.773911511494411</v>
      </c>
      <c r="L44" s="33">
        <f>'B) D RI'!S45</f>
        <v>77</v>
      </c>
      <c r="M44" s="465">
        <f t="shared" si="2"/>
        <v>47.226088488505589</v>
      </c>
      <c r="N44" s="457">
        <f>+'J) Plafonnement effort'!H43+'J) Plafonnement effort'!I43-'K) Plafonnement aide'!I43</f>
        <v>1.9177316150849002</v>
      </c>
      <c r="O44" s="145">
        <f t="shared" si="3"/>
        <v>49.143820103590485</v>
      </c>
      <c r="P44" s="47">
        <f t="shared" si="4"/>
        <v>0</v>
      </c>
      <c r="Q44" s="55">
        <f t="shared" si="5"/>
        <v>0</v>
      </c>
      <c r="R44" s="145">
        <f t="shared" si="6"/>
        <v>49.143820103590485</v>
      </c>
      <c r="S44" s="125">
        <f t="shared" si="7"/>
        <v>-27.856179896409515</v>
      </c>
      <c r="T44" s="144">
        <f t="shared" si="8"/>
        <v>0</v>
      </c>
      <c r="V44" s="12"/>
    </row>
    <row r="45" spans="1:22" x14ac:dyDescent="0.25">
      <c r="A45" s="49">
        <f>'A) Base RI'!A46</f>
        <v>5475</v>
      </c>
      <c r="B45" s="351" t="str">
        <f>'A) Base RI'!B46</f>
        <v>Chavannes-le-Veyron</v>
      </c>
      <c r="C45" s="403">
        <v>57568.798438988684</v>
      </c>
      <c r="D45" s="403">
        <v>-54805.15860551985</v>
      </c>
      <c r="E45" s="404">
        <v>0</v>
      </c>
      <c r="F45" s="404">
        <v>0</v>
      </c>
      <c r="G45" s="404">
        <v>0</v>
      </c>
      <c r="H45" s="403">
        <f t="shared" si="0"/>
        <v>2763.6398334688347</v>
      </c>
      <c r="I45" s="404">
        <v>3045.9346753246755</v>
      </c>
      <c r="J45" s="355">
        <f>'B) D RI'!U46</f>
        <v>3874.6645454545451</v>
      </c>
      <c r="K45" s="62">
        <f t="shared" si="1"/>
        <v>0.90732078263439775</v>
      </c>
      <c r="L45" s="33">
        <f>'B) D RI'!S46</f>
        <v>77</v>
      </c>
      <c r="M45" s="465">
        <f t="shared" si="2"/>
        <v>76.0926792173656</v>
      </c>
      <c r="N45" s="457">
        <f>+'J) Plafonnement effort'!H44+'J) Plafonnement effort'!I44-'K) Plafonnement aide'!I44</f>
        <v>-1.4197688504723636</v>
      </c>
      <c r="O45" s="145">
        <f t="shared" si="3"/>
        <v>74.672910366893234</v>
      </c>
      <c r="P45" s="47">
        <f t="shared" si="4"/>
        <v>0</v>
      </c>
      <c r="Q45" s="55">
        <f t="shared" si="5"/>
        <v>0</v>
      </c>
      <c r="R45" s="145">
        <f t="shared" si="6"/>
        <v>74.672910366893234</v>
      </c>
      <c r="S45" s="125">
        <f t="shared" si="7"/>
        <v>-2.3270896331067661</v>
      </c>
      <c r="T45" s="144">
        <f t="shared" si="8"/>
        <v>0</v>
      </c>
      <c r="V45" s="12"/>
    </row>
    <row r="46" spans="1:22" x14ac:dyDescent="0.25">
      <c r="A46" s="49">
        <f>'A) Base RI'!A47</f>
        <v>5476</v>
      </c>
      <c r="B46" s="351" t="str">
        <f>'A) Base RI'!B47</f>
        <v>Chevilly</v>
      </c>
      <c r="C46" s="403">
        <v>185586.88402302933</v>
      </c>
      <c r="D46" s="403">
        <v>162913.12577482525</v>
      </c>
      <c r="E46" s="404">
        <v>0</v>
      </c>
      <c r="F46" s="404">
        <v>0</v>
      </c>
      <c r="G46" s="404">
        <v>0</v>
      </c>
      <c r="H46" s="403">
        <f t="shared" si="0"/>
        <v>348500.00979785458</v>
      </c>
      <c r="I46" s="404">
        <v>12632.544999999996</v>
      </c>
      <c r="J46" s="355">
        <f>'B) D RI'!U47</f>
        <v>11839.396756756756</v>
      </c>
      <c r="K46" s="62">
        <f t="shared" si="1"/>
        <v>27.587474241956365</v>
      </c>
      <c r="L46" s="33">
        <f>'B) D RI'!S47</f>
        <v>74</v>
      </c>
      <c r="M46" s="465">
        <f t="shared" si="2"/>
        <v>46.412525758043635</v>
      </c>
      <c r="N46" s="457">
        <f>+'J) Plafonnement effort'!H45+'J) Plafonnement effort'!I45-'K) Plafonnement aide'!I45</f>
        <v>22.620381849893018</v>
      </c>
      <c r="O46" s="145">
        <f t="shared" si="3"/>
        <v>69.03290760793665</v>
      </c>
      <c r="P46" s="47">
        <f t="shared" si="4"/>
        <v>0</v>
      </c>
      <c r="Q46" s="55">
        <f t="shared" si="5"/>
        <v>0</v>
      </c>
      <c r="R46" s="145">
        <f t="shared" si="6"/>
        <v>69.03290760793665</v>
      </c>
      <c r="S46" s="125">
        <f t="shared" si="7"/>
        <v>-4.9670923920633498</v>
      </c>
      <c r="T46" s="144">
        <f t="shared" si="8"/>
        <v>0</v>
      </c>
      <c r="V46" s="12"/>
    </row>
    <row r="47" spans="1:22" x14ac:dyDescent="0.25">
      <c r="A47" s="49">
        <f>'A) Base RI'!A48</f>
        <v>5477</v>
      </c>
      <c r="B47" s="351" t="str">
        <f>'A) Base RI'!B48</f>
        <v>Cossonay</v>
      </c>
      <c r="C47" s="403">
        <v>2376203.484886907</v>
      </c>
      <c r="D47" s="403">
        <v>611744.28740440262</v>
      </c>
      <c r="E47" s="404">
        <v>0</v>
      </c>
      <c r="F47" s="404">
        <v>0</v>
      </c>
      <c r="G47" s="404">
        <v>0</v>
      </c>
      <c r="H47" s="403">
        <f t="shared" si="0"/>
        <v>2987947.7722913097</v>
      </c>
      <c r="I47" s="404">
        <v>144389.2549295775</v>
      </c>
      <c r="J47" s="355">
        <f>'B) D RI'!U48</f>
        <v>119154.03251798562</v>
      </c>
      <c r="K47" s="62">
        <f t="shared" si="1"/>
        <v>20.693698944208915</v>
      </c>
      <c r="L47" s="33">
        <f>'B) D RI'!S48</f>
        <v>69.5</v>
      </c>
      <c r="M47" s="465">
        <f t="shared" si="2"/>
        <v>48.806301055791081</v>
      </c>
      <c r="N47" s="457">
        <f>+'J) Plafonnement effort'!H46+'J) Plafonnement effort'!I46-'K) Plafonnement aide'!I46</f>
        <v>-0.14682345832614363</v>
      </c>
      <c r="O47" s="145">
        <f t="shared" si="3"/>
        <v>48.659477597464935</v>
      </c>
      <c r="P47" s="47">
        <f t="shared" si="4"/>
        <v>0</v>
      </c>
      <c r="Q47" s="55">
        <f t="shared" si="5"/>
        <v>0</v>
      </c>
      <c r="R47" s="145">
        <f t="shared" si="6"/>
        <v>48.659477597464935</v>
      </c>
      <c r="S47" s="125">
        <f t="shared" si="7"/>
        <v>-20.840522402535065</v>
      </c>
      <c r="T47" s="144">
        <f t="shared" si="8"/>
        <v>0</v>
      </c>
      <c r="V47" s="12"/>
    </row>
    <row r="48" spans="1:22" x14ac:dyDescent="0.25">
      <c r="A48" s="49">
        <f>'A) Base RI'!A49</f>
        <v>5478</v>
      </c>
      <c r="B48" s="351" t="str">
        <f>'A) Base RI'!B49</f>
        <v>Cottens</v>
      </c>
      <c r="C48" s="403">
        <v>310612.24945534987</v>
      </c>
      <c r="D48" s="403">
        <v>173541.77599957169</v>
      </c>
      <c r="E48" s="404">
        <v>0</v>
      </c>
      <c r="F48" s="404">
        <v>0</v>
      </c>
      <c r="G48" s="404">
        <v>0</v>
      </c>
      <c r="H48" s="403">
        <f t="shared" si="0"/>
        <v>484154.02545492153</v>
      </c>
      <c r="I48" s="404">
        <v>17566.345945945945</v>
      </c>
      <c r="J48" s="355">
        <f>'B) D RI'!U49</f>
        <v>16291.497837837833</v>
      </c>
      <c r="K48" s="62">
        <f t="shared" si="1"/>
        <v>27.561453414656061</v>
      </c>
      <c r="L48" s="33">
        <f>'B) D RI'!S49</f>
        <v>74</v>
      </c>
      <c r="M48" s="465">
        <f t="shared" si="2"/>
        <v>46.438546585343943</v>
      </c>
      <c r="N48" s="457">
        <f>+'J) Plafonnement effort'!H47+'J) Plafonnement effort'!I47-'K) Plafonnement aide'!I47</f>
        <v>-14.326318973964554</v>
      </c>
      <c r="O48" s="145">
        <f t="shared" si="3"/>
        <v>32.112227611379389</v>
      </c>
      <c r="P48" s="47">
        <f t="shared" si="4"/>
        <v>0</v>
      </c>
      <c r="Q48" s="55">
        <f t="shared" si="5"/>
        <v>0</v>
      </c>
      <c r="R48" s="145">
        <f t="shared" si="6"/>
        <v>32.112227611379389</v>
      </c>
      <c r="S48" s="125">
        <f t="shared" si="7"/>
        <v>-41.887772388620611</v>
      </c>
      <c r="T48" s="144">
        <f t="shared" si="8"/>
        <v>0</v>
      </c>
      <c r="V48" s="12"/>
    </row>
    <row r="49" spans="1:22" x14ac:dyDescent="0.25">
      <c r="A49" s="49">
        <f>'A) Base RI'!A50</f>
        <v>5479</v>
      </c>
      <c r="B49" s="351" t="str">
        <f>'A) Base RI'!B50</f>
        <v>Cuarnens</v>
      </c>
      <c r="C49" s="403">
        <v>278749.01581062691</v>
      </c>
      <c r="D49" s="403">
        <v>152537.6059195018</v>
      </c>
      <c r="E49" s="404">
        <v>0</v>
      </c>
      <c r="F49" s="404">
        <v>0</v>
      </c>
      <c r="G49" s="404">
        <v>0</v>
      </c>
      <c r="H49" s="403">
        <f t="shared" si="0"/>
        <v>431286.62173012871</v>
      </c>
      <c r="I49" s="404">
        <v>17277.023636363636</v>
      </c>
      <c r="J49" s="355">
        <f>'B) D RI'!U50</f>
        <v>18068.978311688308</v>
      </c>
      <c r="K49" s="62">
        <f t="shared" si="1"/>
        <v>24.96301624675576</v>
      </c>
      <c r="L49" s="33">
        <f>'B) D RI'!S50</f>
        <v>77</v>
      </c>
      <c r="M49" s="465">
        <f t="shared" si="2"/>
        <v>52.036983753244243</v>
      </c>
      <c r="N49" s="457">
        <f>+'J) Plafonnement effort'!H48+'J) Plafonnement effort'!I48-'K) Plafonnement aide'!I48</f>
        <v>14.434427420145418</v>
      </c>
      <c r="O49" s="145">
        <f t="shared" si="3"/>
        <v>66.471411173389669</v>
      </c>
      <c r="P49" s="47">
        <f t="shared" si="4"/>
        <v>0</v>
      </c>
      <c r="Q49" s="55">
        <f t="shared" si="5"/>
        <v>0</v>
      </c>
      <c r="R49" s="145">
        <f t="shared" si="6"/>
        <v>66.471411173389669</v>
      </c>
      <c r="S49" s="125">
        <f t="shared" si="7"/>
        <v>-10.528588826610331</v>
      </c>
      <c r="T49" s="144">
        <f t="shared" si="8"/>
        <v>0</v>
      </c>
      <c r="V49" s="12"/>
    </row>
    <row r="50" spans="1:22" x14ac:dyDescent="0.25">
      <c r="A50" s="49">
        <f>'A) Base RI'!A51</f>
        <v>5480</v>
      </c>
      <c r="B50" s="351" t="str">
        <f>'A) Base RI'!B51</f>
        <v>Daillens</v>
      </c>
      <c r="C50" s="403">
        <v>700785.77377627359</v>
      </c>
      <c r="D50" s="403">
        <v>533353.35770331544</v>
      </c>
      <c r="E50" s="404">
        <v>0</v>
      </c>
      <c r="F50" s="404">
        <v>0</v>
      </c>
      <c r="G50" s="404">
        <v>0</v>
      </c>
      <c r="H50" s="403">
        <f t="shared" si="0"/>
        <v>1234139.131479589</v>
      </c>
      <c r="I50" s="404">
        <v>40568.804343434349</v>
      </c>
      <c r="J50" s="355">
        <f>'B) D RI'!U51</f>
        <v>40977.441060606063</v>
      </c>
      <c r="K50" s="62">
        <f t="shared" si="1"/>
        <v>30.420889928921998</v>
      </c>
      <c r="L50" s="33">
        <f>'B) D RI'!S51</f>
        <v>66</v>
      </c>
      <c r="M50" s="465">
        <f t="shared" si="2"/>
        <v>35.579110071078006</v>
      </c>
      <c r="N50" s="457">
        <f>+'J) Plafonnement effort'!H49+'J) Plafonnement effort'!I49-'K) Plafonnement aide'!I49</f>
        <v>14.591626326153587</v>
      </c>
      <c r="O50" s="145">
        <f t="shared" si="3"/>
        <v>50.170736397231593</v>
      </c>
      <c r="P50" s="47">
        <f t="shared" si="4"/>
        <v>0</v>
      </c>
      <c r="Q50" s="55">
        <f t="shared" si="5"/>
        <v>0</v>
      </c>
      <c r="R50" s="145">
        <f t="shared" si="6"/>
        <v>50.170736397231593</v>
      </c>
      <c r="S50" s="125">
        <f t="shared" si="7"/>
        <v>-15.829263602768407</v>
      </c>
      <c r="T50" s="144">
        <f t="shared" si="8"/>
        <v>0</v>
      </c>
      <c r="V50" s="12"/>
    </row>
    <row r="51" spans="1:22" x14ac:dyDescent="0.25">
      <c r="A51" s="49">
        <f>'A) Base RI'!A52</f>
        <v>5481</v>
      </c>
      <c r="B51" s="351" t="str">
        <f>'A) Base RI'!B52</f>
        <v>Dizy</v>
      </c>
      <c r="C51" s="403">
        <v>141967.30386319666</v>
      </c>
      <c r="D51" s="403">
        <v>130030.90696750824</v>
      </c>
      <c r="E51" s="404">
        <v>0</v>
      </c>
      <c r="F51" s="404">
        <v>0</v>
      </c>
      <c r="G51" s="404">
        <v>0</v>
      </c>
      <c r="H51" s="403">
        <f t="shared" si="0"/>
        <v>271998.21083070489</v>
      </c>
      <c r="I51" s="404">
        <v>9658.8267088607608</v>
      </c>
      <c r="J51" s="355">
        <f>'B) D RI'!U52</f>
        <v>8124.1672000000008</v>
      </c>
      <c r="K51" s="62">
        <f t="shared" si="1"/>
        <v>28.160585030600114</v>
      </c>
      <c r="L51" s="33">
        <f>'B) D RI'!S52</f>
        <v>75</v>
      </c>
      <c r="M51" s="465">
        <f t="shared" si="2"/>
        <v>46.839414969399883</v>
      </c>
      <c r="N51" s="457">
        <f>+'J) Plafonnement effort'!H50+'J) Plafonnement effort'!I50-'K) Plafonnement aide'!I50</f>
        <v>18.299460420369506</v>
      </c>
      <c r="O51" s="145">
        <f t="shared" si="3"/>
        <v>65.138875389769396</v>
      </c>
      <c r="P51" s="47">
        <f t="shared" si="4"/>
        <v>0</v>
      </c>
      <c r="Q51" s="55">
        <f t="shared" si="5"/>
        <v>0</v>
      </c>
      <c r="R51" s="145">
        <f t="shared" si="6"/>
        <v>65.138875389769396</v>
      </c>
      <c r="S51" s="125">
        <f t="shared" si="7"/>
        <v>-9.861124610230604</v>
      </c>
      <c r="T51" s="144">
        <f t="shared" si="8"/>
        <v>0</v>
      </c>
      <c r="V51" s="12"/>
    </row>
    <row r="52" spans="1:22" x14ac:dyDescent="0.25">
      <c r="A52" s="49">
        <f>'A) Base RI'!A53</f>
        <v>5482</v>
      </c>
      <c r="B52" s="351" t="str">
        <f>'A) Base RI'!B53</f>
        <v>Eclépens</v>
      </c>
      <c r="C52" s="403">
        <v>1061436.451057265</v>
      </c>
      <c r="D52" s="403">
        <v>999016.5216840331</v>
      </c>
      <c r="E52" s="404">
        <v>0</v>
      </c>
      <c r="F52" s="404">
        <v>0</v>
      </c>
      <c r="G52" s="404">
        <v>0</v>
      </c>
      <c r="H52" s="403">
        <f t="shared" si="0"/>
        <v>2060452.9727412981</v>
      </c>
      <c r="I52" s="404">
        <v>60116.695217391316</v>
      </c>
      <c r="J52" s="355">
        <f>'B) D RI'!U53</f>
        <v>70911.930217391302</v>
      </c>
      <c r="K52" s="62">
        <f t="shared" si="1"/>
        <v>34.27422224875103</v>
      </c>
      <c r="L52" s="33">
        <f>'B) D RI'!S53</f>
        <v>46</v>
      </c>
      <c r="M52" s="465">
        <f t="shared" si="2"/>
        <v>11.72577775124897</v>
      </c>
      <c r="N52" s="457">
        <f>+'J) Plafonnement effort'!H51+'J) Plafonnement effort'!I51-'K) Plafonnement aide'!I51</f>
        <v>31.449850768844531</v>
      </c>
      <c r="O52" s="145">
        <f t="shared" si="3"/>
        <v>43.175628520093497</v>
      </c>
      <c r="P52" s="47">
        <f t="shared" si="4"/>
        <v>0</v>
      </c>
      <c r="Q52" s="55">
        <f t="shared" si="5"/>
        <v>0</v>
      </c>
      <c r="R52" s="145">
        <f t="shared" si="6"/>
        <v>43.175628520093497</v>
      </c>
      <c r="S52" s="125">
        <f t="shared" si="7"/>
        <v>-2.8243714799065032</v>
      </c>
      <c r="T52" s="144">
        <f t="shared" si="8"/>
        <v>0</v>
      </c>
      <c r="V52" s="12"/>
    </row>
    <row r="53" spans="1:22" x14ac:dyDescent="0.25">
      <c r="A53" s="49">
        <f>'A) Base RI'!A54</f>
        <v>5483</v>
      </c>
      <c r="B53" s="351" t="str">
        <f>'A) Base RI'!B54</f>
        <v>Ferreyres</v>
      </c>
      <c r="C53" s="403">
        <v>193994.36435640976</v>
      </c>
      <c r="D53" s="403">
        <v>93768.885566384444</v>
      </c>
      <c r="E53" s="404">
        <v>0</v>
      </c>
      <c r="F53" s="404">
        <v>0</v>
      </c>
      <c r="G53" s="404">
        <v>0</v>
      </c>
      <c r="H53" s="403">
        <f t="shared" si="0"/>
        <v>287763.24992279417</v>
      </c>
      <c r="I53" s="404">
        <v>11167.980394736842</v>
      </c>
      <c r="J53" s="355">
        <f>'B) D RI'!U54</f>
        <v>10820.315000000001</v>
      </c>
      <c r="K53" s="62">
        <f t="shared" si="1"/>
        <v>25.766811881081829</v>
      </c>
      <c r="L53" s="33">
        <f>'B) D RI'!S54</f>
        <v>76</v>
      </c>
      <c r="M53" s="465">
        <f t="shared" si="2"/>
        <v>50.233188118918171</v>
      </c>
      <c r="N53" s="457">
        <f>+'J) Plafonnement effort'!H52+'J) Plafonnement effort'!I52-'K) Plafonnement aide'!I52</f>
        <v>19.283426459846385</v>
      </c>
      <c r="O53" s="145">
        <f t="shared" si="3"/>
        <v>69.51661457876456</v>
      </c>
      <c r="P53" s="47">
        <f t="shared" si="4"/>
        <v>0</v>
      </c>
      <c r="Q53" s="55">
        <f t="shared" si="5"/>
        <v>0</v>
      </c>
      <c r="R53" s="145">
        <f t="shared" si="6"/>
        <v>69.51661457876456</v>
      </c>
      <c r="S53" s="125">
        <f t="shared" si="7"/>
        <v>-6.4833854212354396</v>
      </c>
      <c r="T53" s="144">
        <f t="shared" si="8"/>
        <v>0</v>
      </c>
      <c r="V53" s="12"/>
    </row>
    <row r="54" spans="1:22" x14ac:dyDescent="0.25">
      <c r="A54" s="49">
        <f>'A) Base RI'!A55</f>
        <v>5484</v>
      </c>
      <c r="B54" s="351" t="str">
        <f>'A) Base RI'!B55</f>
        <v>Gollion</v>
      </c>
      <c r="C54" s="403">
        <v>639892.83112841076</v>
      </c>
      <c r="D54" s="403">
        <v>339835.75865360675</v>
      </c>
      <c r="E54" s="404">
        <v>0</v>
      </c>
      <c r="F54" s="404">
        <v>0</v>
      </c>
      <c r="G54" s="404">
        <v>0</v>
      </c>
      <c r="H54" s="403">
        <f t="shared" si="0"/>
        <v>979728.58978201752</v>
      </c>
      <c r="I54" s="404">
        <v>33995.543783783789</v>
      </c>
      <c r="J54" s="355">
        <f>'B) D RI'!U55</f>
        <v>34996.98554054054</v>
      </c>
      <c r="K54" s="62">
        <f t="shared" si="1"/>
        <v>28.819323968259564</v>
      </c>
      <c r="L54" s="33">
        <f>'B) D RI'!S55</f>
        <v>74</v>
      </c>
      <c r="M54" s="465">
        <f t="shared" si="2"/>
        <v>45.180676031740433</v>
      </c>
      <c r="N54" s="457">
        <f>+'J) Plafonnement effort'!H53+'J) Plafonnement effort'!I53-'K) Plafonnement aide'!I53</f>
        <v>14.778447660932784</v>
      </c>
      <c r="O54" s="145">
        <f t="shared" si="3"/>
        <v>59.959123692673217</v>
      </c>
      <c r="P54" s="47">
        <f t="shared" si="4"/>
        <v>0</v>
      </c>
      <c r="Q54" s="55">
        <f t="shared" si="5"/>
        <v>0</v>
      </c>
      <c r="R54" s="145">
        <f t="shared" si="6"/>
        <v>59.959123692673217</v>
      </c>
      <c r="S54" s="125">
        <f t="shared" si="7"/>
        <v>-14.040876307326783</v>
      </c>
      <c r="T54" s="144">
        <f t="shared" si="8"/>
        <v>0</v>
      </c>
      <c r="V54" s="12"/>
    </row>
    <row r="55" spans="1:22" x14ac:dyDescent="0.25">
      <c r="A55" s="49">
        <f>'A) Base RI'!A56</f>
        <v>5485</v>
      </c>
      <c r="B55" s="351" t="str">
        <f>'A) Base RI'!B56</f>
        <v>Grancy</v>
      </c>
      <c r="C55" s="403">
        <v>293679.87148010277</v>
      </c>
      <c r="D55" s="403">
        <v>255399.36667580483</v>
      </c>
      <c r="E55" s="404">
        <v>0</v>
      </c>
      <c r="F55" s="404">
        <v>0</v>
      </c>
      <c r="G55" s="404">
        <v>0</v>
      </c>
      <c r="H55" s="403">
        <f t="shared" si="0"/>
        <v>549079.2381559076</v>
      </c>
      <c r="I55" s="404">
        <v>16957.048857142858</v>
      </c>
      <c r="J55" s="355">
        <f>'B) D RI'!U56</f>
        <v>14542.352714285715</v>
      </c>
      <c r="K55" s="62">
        <f t="shared" si="1"/>
        <v>32.380589498898431</v>
      </c>
      <c r="L55" s="33">
        <f>'B) D RI'!S56</f>
        <v>70</v>
      </c>
      <c r="M55" s="465">
        <f t="shared" si="2"/>
        <v>37.619410501101569</v>
      </c>
      <c r="N55" s="457">
        <f>+'J) Plafonnement effort'!H54+'J) Plafonnement effort'!I54-'K) Plafonnement aide'!I54</f>
        <v>19.56400923826736</v>
      </c>
      <c r="O55" s="145">
        <f t="shared" si="3"/>
        <v>57.183419739368929</v>
      </c>
      <c r="P55" s="47">
        <f t="shared" si="4"/>
        <v>0</v>
      </c>
      <c r="Q55" s="55">
        <f t="shared" si="5"/>
        <v>0</v>
      </c>
      <c r="R55" s="145">
        <f t="shared" si="6"/>
        <v>57.183419739368929</v>
      </c>
      <c r="S55" s="125">
        <f t="shared" si="7"/>
        <v>-12.816580260631071</v>
      </c>
      <c r="T55" s="144">
        <f t="shared" si="8"/>
        <v>0</v>
      </c>
      <c r="V55" s="12"/>
    </row>
    <row r="56" spans="1:22" x14ac:dyDescent="0.25">
      <c r="A56" s="49">
        <f>'A) Base RI'!A57</f>
        <v>5486</v>
      </c>
      <c r="B56" s="351" t="str">
        <f>'A) Base RI'!B57</f>
        <v>L'Isle</v>
      </c>
      <c r="C56" s="403">
        <v>843730.0911818879</v>
      </c>
      <c r="D56" s="403">
        <v>310219.96378457505</v>
      </c>
      <c r="E56" s="404">
        <v>0</v>
      </c>
      <c r="F56" s="404">
        <v>0</v>
      </c>
      <c r="G56" s="404">
        <v>0</v>
      </c>
      <c r="H56" s="403">
        <f t="shared" si="0"/>
        <v>1153950.054966463</v>
      </c>
      <c r="I56" s="404">
        <v>35667.648026315794</v>
      </c>
      <c r="J56" s="355">
        <f>'B) D RI'!U57</f>
        <v>37459.560399999995</v>
      </c>
      <c r="K56" s="62">
        <f t="shared" si="1"/>
        <v>32.352849678091253</v>
      </c>
      <c r="L56" s="33">
        <f>'B) D RI'!S57</f>
        <v>75</v>
      </c>
      <c r="M56" s="465">
        <f t="shared" si="2"/>
        <v>42.647150321908747</v>
      </c>
      <c r="N56" s="457">
        <f>+'J) Plafonnement effort'!H55+'J) Plafonnement effort'!I55-'K) Plafonnement aide'!I55</f>
        <v>13.191898516758251</v>
      </c>
      <c r="O56" s="145">
        <f t="shared" si="3"/>
        <v>55.839048838666997</v>
      </c>
      <c r="P56" s="47">
        <f t="shared" si="4"/>
        <v>0</v>
      </c>
      <c r="Q56" s="55">
        <f t="shared" si="5"/>
        <v>0</v>
      </c>
      <c r="R56" s="145">
        <f t="shared" si="6"/>
        <v>55.839048838666997</v>
      </c>
      <c r="S56" s="125">
        <f t="shared" si="7"/>
        <v>-19.160951161333003</v>
      </c>
      <c r="T56" s="144">
        <f t="shared" si="8"/>
        <v>0</v>
      </c>
      <c r="V56" s="12"/>
    </row>
    <row r="57" spans="1:22" x14ac:dyDescent="0.25">
      <c r="A57" s="49">
        <f>'A) Base RI'!A58</f>
        <v>5487</v>
      </c>
      <c r="B57" s="351" t="str">
        <f>'A) Base RI'!B58</f>
        <v>Lussery-Villars</v>
      </c>
      <c r="C57" s="403">
        <v>262880.14328380494</v>
      </c>
      <c r="D57" s="403">
        <v>116082.11301058633</v>
      </c>
      <c r="E57" s="404">
        <v>0</v>
      </c>
      <c r="F57" s="404">
        <v>0</v>
      </c>
      <c r="G57" s="404">
        <v>0</v>
      </c>
      <c r="H57" s="403">
        <f t="shared" si="0"/>
        <v>378962.25629439123</v>
      </c>
      <c r="I57" s="404">
        <v>15504.095066666665</v>
      </c>
      <c r="J57" s="355">
        <f>'B) D RI'!U58</f>
        <v>12889.865466666668</v>
      </c>
      <c r="K57" s="62">
        <f t="shared" si="1"/>
        <v>24.442720111356167</v>
      </c>
      <c r="L57" s="33">
        <f>'B) D RI'!S58</f>
        <v>75</v>
      </c>
      <c r="M57" s="465">
        <f t="shared" si="2"/>
        <v>50.557279888643833</v>
      </c>
      <c r="N57" s="457">
        <f>+'J) Plafonnement effort'!H56+'J) Plafonnement effort'!I56-'K) Plafonnement aide'!I56</f>
        <v>9.5059311076045816</v>
      </c>
      <c r="O57" s="145">
        <f t="shared" si="3"/>
        <v>60.063210996248415</v>
      </c>
      <c r="P57" s="47">
        <f t="shared" si="4"/>
        <v>0</v>
      </c>
      <c r="Q57" s="55">
        <f t="shared" si="5"/>
        <v>0</v>
      </c>
      <c r="R57" s="145">
        <f t="shared" si="6"/>
        <v>60.063210996248415</v>
      </c>
      <c r="S57" s="125">
        <f t="shared" si="7"/>
        <v>-14.936789003751585</v>
      </c>
      <c r="T57" s="144">
        <f t="shared" si="8"/>
        <v>0</v>
      </c>
      <c r="V57" s="12"/>
    </row>
    <row r="58" spans="1:22" x14ac:dyDescent="0.25">
      <c r="A58" s="49">
        <f>'A) Base RI'!A59</f>
        <v>5488</v>
      </c>
      <c r="B58" s="351" t="str">
        <f>'A) Base RI'!B59</f>
        <v>Mauraz</v>
      </c>
      <c r="C58" s="403">
        <v>25736.907577120735</v>
      </c>
      <c r="D58" s="403">
        <v>5382.9695746357283</v>
      </c>
      <c r="E58" s="404">
        <v>0</v>
      </c>
      <c r="F58" s="404">
        <v>0</v>
      </c>
      <c r="G58" s="404">
        <v>0</v>
      </c>
      <c r="H58" s="403">
        <f t="shared" si="0"/>
        <v>31119.877151756464</v>
      </c>
      <c r="I58" s="404">
        <v>1751.8621794871794</v>
      </c>
      <c r="J58" s="355">
        <f>'B) D RI'!U59</f>
        <v>1632.1631168831173</v>
      </c>
      <c r="K58" s="62">
        <f t="shared" si="1"/>
        <v>17.763884348976671</v>
      </c>
      <c r="L58" s="33">
        <f>'B) D RI'!S59</f>
        <v>77</v>
      </c>
      <c r="M58" s="465">
        <f t="shared" si="2"/>
        <v>59.236115651023326</v>
      </c>
      <c r="N58" s="457">
        <f>+'J) Plafonnement effort'!H57+'J) Plafonnement effort'!I57-'K) Plafonnement aide'!I57</f>
        <v>11.337960028011633</v>
      </c>
      <c r="O58" s="145">
        <f t="shared" si="3"/>
        <v>70.574075679034962</v>
      </c>
      <c r="P58" s="47">
        <f t="shared" si="4"/>
        <v>0</v>
      </c>
      <c r="Q58" s="55">
        <f t="shared" si="5"/>
        <v>0</v>
      </c>
      <c r="R58" s="145">
        <f t="shared" si="6"/>
        <v>70.574075679034962</v>
      </c>
      <c r="S58" s="125">
        <f t="shared" si="7"/>
        <v>-6.4259243209650379</v>
      </c>
      <c r="T58" s="144">
        <f t="shared" si="8"/>
        <v>0</v>
      </c>
      <c r="V58" s="12"/>
    </row>
    <row r="59" spans="1:22" x14ac:dyDescent="0.25">
      <c r="A59" s="49">
        <f>'A) Base RI'!A60</f>
        <v>5489</v>
      </c>
      <c r="B59" s="351" t="str">
        <f>'A) Base RI'!B60</f>
        <v>Mex</v>
      </c>
      <c r="C59" s="403">
        <v>1570361.6297983322</v>
      </c>
      <c r="D59" s="403">
        <v>1169285.1194621297</v>
      </c>
      <c r="E59" s="404">
        <v>0</v>
      </c>
      <c r="F59" s="404">
        <v>0</v>
      </c>
      <c r="G59" s="404">
        <v>0</v>
      </c>
      <c r="H59" s="403">
        <f t="shared" si="0"/>
        <v>2739646.7492604619</v>
      </c>
      <c r="I59" s="404">
        <v>62953.268196721314</v>
      </c>
      <c r="J59" s="355">
        <f>'B) D RI'!U60</f>
        <v>58521.207563025193</v>
      </c>
      <c r="K59" s="62">
        <f t="shared" si="1"/>
        <v>43.518737433923185</v>
      </c>
      <c r="L59" s="33">
        <f>'B) D RI'!S60</f>
        <v>59.5</v>
      </c>
      <c r="M59" s="465">
        <f t="shared" si="2"/>
        <v>15.981262566076815</v>
      </c>
      <c r="N59" s="457">
        <f>+'J) Plafonnement effort'!H58+'J) Plafonnement effort'!I58-'K) Plafonnement aide'!I58</f>
        <v>36.55186277314192</v>
      </c>
      <c r="O59" s="145">
        <f t="shared" si="3"/>
        <v>52.533125339218735</v>
      </c>
      <c r="P59" s="47">
        <f t="shared" si="4"/>
        <v>0</v>
      </c>
      <c r="Q59" s="55">
        <f t="shared" si="5"/>
        <v>0</v>
      </c>
      <c r="R59" s="145">
        <f t="shared" si="6"/>
        <v>52.533125339218735</v>
      </c>
      <c r="S59" s="125">
        <f t="shared" si="7"/>
        <v>-6.966874660781265</v>
      </c>
      <c r="T59" s="144">
        <f t="shared" si="8"/>
        <v>0</v>
      </c>
      <c r="V59" s="12"/>
    </row>
    <row r="60" spans="1:22" x14ac:dyDescent="0.25">
      <c r="A60" s="49">
        <f>'A) Base RI'!A61</f>
        <v>5490</v>
      </c>
      <c r="B60" s="351" t="str">
        <f>'A) Base RI'!B61</f>
        <v>Moiry</v>
      </c>
      <c r="C60" s="403">
        <v>131878.4508339646</v>
      </c>
      <c r="D60" s="403">
        <v>-24756.858019096922</v>
      </c>
      <c r="E60" s="404">
        <v>0</v>
      </c>
      <c r="F60" s="404">
        <v>0</v>
      </c>
      <c r="G60" s="404">
        <v>0</v>
      </c>
      <c r="H60" s="403">
        <f t="shared" si="0"/>
        <v>107121.59281486768</v>
      </c>
      <c r="I60" s="404">
        <v>8346.3239490445867</v>
      </c>
      <c r="J60" s="355">
        <f>'B) D RI'!U61</f>
        <v>8655.909290322581</v>
      </c>
      <c r="K60" s="62">
        <f t="shared" si="1"/>
        <v>12.834583640517573</v>
      </c>
      <c r="L60" s="33">
        <f>'B) D RI'!S61</f>
        <v>77.5</v>
      </c>
      <c r="M60" s="465">
        <f t="shared" si="2"/>
        <v>64.665416359482421</v>
      </c>
      <c r="N60" s="457">
        <f>+'J) Plafonnement effort'!H59+'J) Plafonnement effort'!I59-'K) Plafonnement aide'!I59</f>
        <v>7.9413569843832699</v>
      </c>
      <c r="O60" s="145">
        <f t="shared" si="3"/>
        <v>72.606773343865697</v>
      </c>
      <c r="P60" s="47">
        <f t="shared" si="4"/>
        <v>0</v>
      </c>
      <c r="Q60" s="55">
        <f t="shared" si="5"/>
        <v>0</v>
      </c>
      <c r="R60" s="145">
        <f t="shared" si="6"/>
        <v>72.606773343865697</v>
      </c>
      <c r="S60" s="125">
        <f t="shared" si="7"/>
        <v>-4.8932266561343027</v>
      </c>
      <c r="T60" s="144">
        <f t="shared" si="8"/>
        <v>0</v>
      </c>
      <c r="V60" s="12"/>
    </row>
    <row r="61" spans="1:22" x14ac:dyDescent="0.25">
      <c r="A61" s="49">
        <f>'A) Base RI'!A62</f>
        <v>5491</v>
      </c>
      <c r="B61" s="351" t="str">
        <f>'A) Base RI'!B62</f>
        <v>Mont-la-Ville</v>
      </c>
      <c r="C61" s="403">
        <v>220551.92219936699</v>
      </c>
      <c r="D61" s="403">
        <v>29593.553441428958</v>
      </c>
      <c r="E61" s="404">
        <v>0</v>
      </c>
      <c r="F61" s="404">
        <v>0</v>
      </c>
      <c r="G61" s="404">
        <v>0</v>
      </c>
      <c r="H61" s="403">
        <f t="shared" si="0"/>
        <v>250145.47564079595</v>
      </c>
      <c r="I61" s="404">
        <v>14105.600657894736</v>
      </c>
      <c r="J61" s="355">
        <f>'B) D RI'!U62</f>
        <v>14323.284736842104</v>
      </c>
      <c r="K61" s="62">
        <f t="shared" si="1"/>
        <v>17.733769848417801</v>
      </c>
      <c r="L61" s="33">
        <f>'B) D RI'!S62</f>
        <v>76</v>
      </c>
      <c r="M61" s="465">
        <f t="shared" ref="M61:M114" si="9">L61-K61</f>
        <v>58.266230151582199</v>
      </c>
      <c r="N61" s="457">
        <f>+'J) Plafonnement effort'!H60+'J) Plafonnement effort'!I60-'K) Plafonnement aide'!I60</f>
        <v>7.9401590576995513</v>
      </c>
      <c r="O61" s="145">
        <f t="shared" ref="O61:O114" si="10">M61+N61</f>
        <v>66.206389209281753</v>
      </c>
      <c r="P61" s="47">
        <f t="shared" ref="P61:P114" si="11">IF(O61&gt;$P$5,$P$5-O61,0)</f>
        <v>0</v>
      </c>
      <c r="Q61" s="55">
        <f t="shared" si="5"/>
        <v>0</v>
      </c>
      <c r="R61" s="145">
        <f t="shared" ref="R61:R114" si="12">O61+P61</f>
        <v>66.206389209281753</v>
      </c>
      <c r="S61" s="125">
        <f t="shared" ref="S61:S114" si="13">R61-L61</f>
        <v>-9.7936107907182475</v>
      </c>
      <c r="T61" s="144">
        <f t="shared" si="8"/>
        <v>0</v>
      </c>
      <c r="V61" s="12"/>
    </row>
    <row r="62" spans="1:22" x14ac:dyDescent="0.25">
      <c r="A62" s="49">
        <f>'A) Base RI'!A63</f>
        <v>5492</v>
      </c>
      <c r="B62" s="351" t="str">
        <f>'A) Base RI'!B63</f>
        <v>Montricher</v>
      </c>
      <c r="C62" s="403">
        <v>7340039.4074617838</v>
      </c>
      <c r="D62" s="403">
        <v>3682022.888544241</v>
      </c>
      <c r="E62" s="404">
        <v>0</v>
      </c>
      <c r="F62" s="404">
        <v>-2324886.6737488047</v>
      </c>
      <c r="G62" s="404">
        <v>0</v>
      </c>
      <c r="H62" s="403">
        <f t="shared" si="0"/>
        <v>8697175.6222572196</v>
      </c>
      <c r="I62" s="404">
        <v>190092.85661458335</v>
      </c>
      <c r="J62" s="355">
        <f>'B) D RI'!U63</f>
        <v>157154.96692708335</v>
      </c>
      <c r="K62" s="62">
        <f t="shared" si="1"/>
        <v>45.752248543936076</v>
      </c>
      <c r="L62" s="33">
        <f>'B) D RI'!S63</f>
        <v>64</v>
      </c>
      <c r="M62" s="465">
        <f t="shared" si="9"/>
        <v>18.247751456063924</v>
      </c>
      <c r="N62" s="457">
        <f>+'J) Plafonnement effort'!H61+'J) Plafonnement effort'!I61-'K) Plafonnement aide'!I61</f>
        <v>48</v>
      </c>
      <c r="O62" s="145">
        <f t="shared" si="10"/>
        <v>66.247751456063924</v>
      </c>
      <c r="P62" s="47">
        <f t="shared" si="11"/>
        <v>0</v>
      </c>
      <c r="Q62" s="55">
        <f t="shared" si="5"/>
        <v>0</v>
      </c>
      <c r="R62" s="145">
        <f t="shared" si="12"/>
        <v>66.247751456063924</v>
      </c>
      <c r="S62" s="125">
        <f t="shared" si="13"/>
        <v>2.2477514560639236</v>
      </c>
      <c r="T62" s="144">
        <f t="shared" si="8"/>
        <v>0</v>
      </c>
      <c r="V62" s="12"/>
    </row>
    <row r="63" spans="1:22" x14ac:dyDescent="0.25">
      <c r="A63" s="49">
        <f>'A) Base RI'!A64</f>
        <v>5493</v>
      </c>
      <c r="B63" s="351" t="str">
        <f>'A) Base RI'!B64</f>
        <v>Orny</v>
      </c>
      <c r="C63" s="403">
        <v>242137.76610591757</v>
      </c>
      <c r="D63" s="403">
        <v>-27314.983091273927</v>
      </c>
      <c r="E63" s="404">
        <v>0</v>
      </c>
      <c r="F63" s="404">
        <v>0</v>
      </c>
      <c r="G63" s="404">
        <v>0</v>
      </c>
      <c r="H63" s="403">
        <f t="shared" si="0"/>
        <v>214822.78301464365</v>
      </c>
      <c r="I63" s="404">
        <v>10669.457639620656</v>
      </c>
      <c r="J63" s="355">
        <f>'B) D RI'!U64</f>
        <v>12885.017723919913</v>
      </c>
      <c r="K63" s="62">
        <f t="shared" si="1"/>
        <v>20.134367675532708</v>
      </c>
      <c r="L63" s="33">
        <f>'B) D RI'!S64</f>
        <v>73</v>
      </c>
      <c r="M63" s="465">
        <f t="shared" si="9"/>
        <v>52.865632324467292</v>
      </c>
      <c r="N63" s="457">
        <f>+'J) Plafonnement effort'!H62+'J) Plafonnement effort'!I62-'K) Plafonnement aide'!I62</f>
        <v>12.682096828653387</v>
      </c>
      <c r="O63" s="145">
        <f t="shared" si="10"/>
        <v>65.547729153120684</v>
      </c>
      <c r="P63" s="47">
        <f t="shared" si="11"/>
        <v>0</v>
      </c>
      <c r="Q63" s="55">
        <f t="shared" ref="Q63:Q117" si="14">P63*J63</f>
        <v>0</v>
      </c>
      <c r="R63" s="145">
        <f t="shared" si="12"/>
        <v>65.547729153120684</v>
      </c>
      <c r="S63" s="125">
        <f t="shared" si="13"/>
        <v>-7.4522708468793155</v>
      </c>
      <c r="T63" s="144">
        <f t="shared" si="8"/>
        <v>0</v>
      </c>
      <c r="V63" s="12"/>
    </row>
    <row r="64" spans="1:22" x14ac:dyDescent="0.25">
      <c r="A64" s="49">
        <f>'A) Base RI'!A65</f>
        <v>5494</v>
      </c>
      <c r="B64" s="351" t="str">
        <f>'A) Base RI'!B65</f>
        <v>Pampigny</v>
      </c>
      <c r="C64" s="403">
        <v>642545.25952480326</v>
      </c>
      <c r="D64" s="403">
        <v>245167.15715203679</v>
      </c>
      <c r="E64" s="404">
        <v>0</v>
      </c>
      <c r="F64" s="404">
        <v>0</v>
      </c>
      <c r="G64" s="404">
        <v>0</v>
      </c>
      <c r="H64" s="403">
        <f t="shared" si="0"/>
        <v>887712.41667684005</v>
      </c>
      <c r="I64" s="404">
        <v>37008.943269841264</v>
      </c>
      <c r="J64" s="355">
        <f>'B) D RI'!U65</f>
        <v>36607.87342465754</v>
      </c>
      <c r="K64" s="62">
        <f t="shared" si="1"/>
        <v>23.986429717928218</v>
      </c>
      <c r="L64" s="33">
        <f>'B) D RI'!S65</f>
        <v>73</v>
      </c>
      <c r="M64" s="465">
        <f t="shared" si="9"/>
        <v>49.013570282071782</v>
      </c>
      <c r="N64" s="457">
        <f>+'J) Plafonnement effort'!H63+'J) Plafonnement effort'!I63-'K) Plafonnement aide'!I63</f>
        <v>8.7305882429251263</v>
      </c>
      <c r="O64" s="145">
        <f t="shared" si="10"/>
        <v>57.744158524996905</v>
      </c>
      <c r="P64" s="47">
        <f t="shared" si="11"/>
        <v>0</v>
      </c>
      <c r="Q64" s="55">
        <f t="shared" si="14"/>
        <v>0</v>
      </c>
      <c r="R64" s="145">
        <f t="shared" si="12"/>
        <v>57.744158524996905</v>
      </c>
      <c r="S64" s="125">
        <f t="shared" si="13"/>
        <v>-15.255841475003095</v>
      </c>
      <c r="T64" s="144">
        <f t="shared" si="8"/>
        <v>0</v>
      </c>
      <c r="V64" s="12"/>
    </row>
    <row r="65" spans="1:22" x14ac:dyDescent="0.25">
      <c r="A65" s="49">
        <f>'A) Base RI'!A66</f>
        <v>5495</v>
      </c>
      <c r="B65" s="351" t="str">
        <f>'A) Base RI'!B66</f>
        <v>Penthalaz</v>
      </c>
      <c r="C65" s="403">
        <v>1618766.1317854149</v>
      </c>
      <c r="D65" s="403">
        <v>-311786.95478275279</v>
      </c>
      <c r="E65" s="404">
        <v>0</v>
      </c>
      <c r="F65" s="404">
        <v>0</v>
      </c>
      <c r="G65" s="404">
        <v>0</v>
      </c>
      <c r="H65" s="403">
        <f t="shared" si="0"/>
        <v>1306979.1770026621</v>
      </c>
      <c r="I65" s="404">
        <v>95334.294459459459</v>
      </c>
      <c r="J65" s="355">
        <f>'B) D RI'!U66</f>
        <v>93361.472702702697</v>
      </c>
      <c r="K65" s="62">
        <f t="shared" si="1"/>
        <v>13.709433571760998</v>
      </c>
      <c r="L65" s="33">
        <f>'B) D RI'!S66</f>
        <v>74</v>
      </c>
      <c r="M65" s="465">
        <f t="shared" si="9"/>
        <v>60.290566428239003</v>
      </c>
      <c r="N65" s="457">
        <f>+'J) Plafonnement effort'!H64+'J) Plafonnement effort'!I64-'K) Plafonnement aide'!I64</f>
        <v>1.8801189671459348</v>
      </c>
      <c r="O65" s="145">
        <f t="shared" si="10"/>
        <v>62.170685395384936</v>
      </c>
      <c r="P65" s="47">
        <f t="shared" si="11"/>
        <v>0</v>
      </c>
      <c r="Q65" s="55">
        <f t="shared" si="14"/>
        <v>0</v>
      </c>
      <c r="R65" s="145">
        <f t="shared" si="12"/>
        <v>62.170685395384936</v>
      </c>
      <c r="S65" s="125">
        <f t="shared" si="13"/>
        <v>-11.829314604615064</v>
      </c>
      <c r="T65" s="144">
        <f t="shared" si="8"/>
        <v>0</v>
      </c>
      <c r="V65" s="12"/>
    </row>
    <row r="66" spans="1:22" x14ac:dyDescent="0.25">
      <c r="A66" s="49">
        <f>'A) Base RI'!A67</f>
        <v>5496</v>
      </c>
      <c r="B66" s="351" t="str">
        <f>'A) Base RI'!B67</f>
        <v>Penthaz</v>
      </c>
      <c r="C66" s="403">
        <v>1091070.6673668462</v>
      </c>
      <c r="D66" s="403">
        <v>328423.74899712286</v>
      </c>
      <c r="E66" s="404">
        <v>0</v>
      </c>
      <c r="F66" s="404">
        <v>0</v>
      </c>
      <c r="G66" s="404">
        <v>0</v>
      </c>
      <c r="H66" s="403">
        <f t="shared" si="0"/>
        <v>1419494.416363969</v>
      </c>
      <c r="I66" s="404">
        <v>59470.759859154932</v>
      </c>
      <c r="J66" s="355">
        <f>'B) D RI'!U67</f>
        <v>60131.11913669065</v>
      </c>
      <c r="K66" s="62">
        <f t="shared" si="1"/>
        <v>23.868778870923606</v>
      </c>
      <c r="L66" s="33">
        <f>'B) D RI'!S67</f>
        <v>69.5</v>
      </c>
      <c r="M66" s="465">
        <f t="shared" si="9"/>
        <v>45.631221129076394</v>
      </c>
      <c r="N66" s="457">
        <f>+'J) Plafonnement effort'!H65+'J) Plafonnement effort'!I65-'K) Plafonnement aide'!I65</f>
        <v>12.815878330430181</v>
      </c>
      <c r="O66" s="145">
        <f t="shared" si="10"/>
        <v>58.447099459506575</v>
      </c>
      <c r="P66" s="47">
        <f t="shared" si="11"/>
        <v>0</v>
      </c>
      <c r="Q66" s="55">
        <f t="shared" si="14"/>
        <v>0</v>
      </c>
      <c r="R66" s="145">
        <f t="shared" si="12"/>
        <v>58.447099459506575</v>
      </c>
      <c r="S66" s="125">
        <f t="shared" si="13"/>
        <v>-11.052900540493425</v>
      </c>
      <c r="T66" s="144">
        <f t="shared" si="8"/>
        <v>0</v>
      </c>
      <c r="V66" s="12"/>
    </row>
    <row r="67" spans="1:22" x14ac:dyDescent="0.25">
      <c r="A67" s="49">
        <f>'A) Base RI'!A68</f>
        <v>5497</v>
      </c>
      <c r="B67" s="351" t="str">
        <f>'A) Base RI'!B68</f>
        <v>Pompaples</v>
      </c>
      <c r="C67" s="403">
        <v>447943.86973845272</v>
      </c>
      <c r="D67" s="403">
        <v>32216.555282192072</v>
      </c>
      <c r="E67" s="404">
        <v>0</v>
      </c>
      <c r="F67" s="404">
        <v>0</v>
      </c>
      <c r="G67" s="404">
        <v>0</v>
      </c>
      <c r="H67" s="403">
        <f t="shared" si="0"/>
        <v>480160.42502064479</v>
      </c>
      <c r="I67" s="404">
        <v>22300.858484848486</v>
      </c>
      <c r="J67" s="355">
        <f>'B) D RI'!U68</f>
        <v>20396.986060606061</v>
      </c>
      <c r="K67" s="62">
        <f t="shared" si="1"/>
        <v>21.531028742542468</v>
      </c>
      <c r="L67" s="33">
        <f>'B) D RI'!S68</f>
        <v>66</v>
      </c>
      <c r="M67" s="465">
        <f t="shared" si="9"/>
        <v>44.468971257457532</v>
      </c>
      <c r="N67" s="457">
        <f>+'J) Plafonnement effort'!H66+'J) Plafonnement effort'!I66-'K) Plafonnement aide'!I66</f>
        <v>5.0998759187607527</v>
      </c>
      <c r="O67" s="145">
        <f t="shared" si="10"/>
        <v>49.568847176218284</v>
      </c>
      <c r="P67" s="47">
        <f t="shared" si="11"/>
        <v>0</v>
      </c>
      <c r="Q67" s="55">
        <f t="shared" si="14"/>
        <v>0</v>
      </c>
      <c r="R67" s="145">
        <f t="shared" si="12"/>
        <v>49.568847176218284</v>
      </c>
      <c r="S67" s="125">
        <f t="shared" si="13"/>
        <v>-16.431152823781716</v>
      </c>
      <c r="T67" s="144">
        <f t="shared" si="8"/>
        <v>0</v>
      </c>
      <c r="V67" s="12"/>
    </row>
    <row r="68" spans="1:22" x14ac:dyDescent="0.25">
      <c r="A68" s="49">
        <f>'A) Base RI'!A69</f>
        <v>5498</v>
      </c>
      <c r="B68" s="351" t="str">
        <f>'A) Base RI'!B69</f>
        <v>La Sarraz</v>
      </c>
      <c r="C68" s="403">
        <v>1422827.2713115686</v>
      </c>
      <c r="D68" s="403">
        <v>31704.083587950794</v>
      </c>
      <c r="E68" s="404">
        <v>0</v>
      </c>
      <c r="F68" s="404">
        <v>0</v>
      </c>
      <c r="G68" s="404">
        <v>0</v>
      </c>
      <c r="H68" s="403">
        <f t="shared" si="0"/>
        <v>1454531.3548995194</v>
      </c>
      <c r="I68" s="404">
        <v>77649.398333333345</v>
      </c>
      <c r="J68" s="355">
        <f>'B) D RI'!U69</f>
        <v>77508.241969696974</v>
      </c>
      <c r="K68" s="62">
        <f t="shared" si="1"/>
        <v>18.732036385594476</v>
      </c>
      <c r="L68" s="33">
        <f>'B) D RI'!S69</f>
        <v>66</v>
      </c>
      <c r="M68" s="465">
        <f t="shared" si="9"/>
        <v>47.267963614405524</v>
      </c>
      <c r="N68" s="457">
        <f>+'J) Plafonnement effort'!H67+'J) Plafonnement effort'!I67-'K) Plafonnement aide'!I67</f>
        <v>7.6785869134422864</v>
      </c>
      <c r="O68" s="145">
        <f t="shared" si="10"/>
        <v>54.946550527847812</v>
      </c>
      <c r="P68" s="47">
        <f t="shared" si="11"/>
        <v>0</v>
      </c>
      <c r="Q68" s="55">
        <f t="shared" si="14"/>
        <v>0</v>
      </c>
      <c r="R68" s="145">
        <f t="shared" si="12"/>
        <v>54.946550527847812</v>
      </c>
      <c r="S68" s="125">
        <f t="shared" si="13"/>
        <v>-11.053449472152188</v>
      </c>
      <c r="T68" s="144">
        <f t="shared" si="8"/>
        <v>0</v>
      </c>
      <c r="V68" s="12"/>
    </row>
    <row r="69" spans="1:22" x14ac:dyDescent="0.25">
      <c r="A69" s="49">
        <f>'A) Base RI'!A70</f>
        <v>5499</v>
      </c>
      <c r="B69" s="351" t="str">
        <f>'A) Base RI'!B70</f>
        <v>Senarclens</v>
      </c>
      <c r="C69" s="403">
        <v>346859.86367175484</v>
      </c>
      <c r="D69" s="403">
        <v>275539.76342453941</v>
      </c>
      <c r="E69" s="404">
        <v>0</v>
      </c>
      <c r="F69" s="404">
        <v>0</v>
      </c>
      <c r="G69" s="404">
        <v>0</v>
      </c>
      <c r="H69" s="403">
        <f t="shared" si="0"/>
        <v>622399.62709629419</v>
      </c>
      <c r="I69" s="404">
        <v>19517.373430656935</v>
      </c>
      <c r="J69" s="355">
        <f>'B) D RI'!U70</f>
        <v>19654.447445255475</v>
      </c>
      <c r="K69" s="62">
        <f t="shared" si="1"/>
        <v>31.889517783097766</v>
      </c>
      <c r="L69" s="33">
        <f>'B) D RI'!S70</f>
        <v>68.5</v>
      </c>
      <c r="M69" s="465">
        <f t="shared" si="9"/>
        <v>36.610482216902234</v>
      </c>
      <c r="N69" s="457">
        <f>+'J) Plafonnement effort'!H68+'J) Plafonnement effort'!I68-'K) Plafonnement aide'!I68</f>
        <v>14.414424734169403</v>
      </c>
      <c r="O69" s="145">
        <f t="shared" si="10"/>
        <v>51.024906951071635</v>
      </c>
      <c r="P69" s="47">
        <f t="shared" si="11"/>
        <v>0</v>
      </c>
      <c r="Q69" s="55">
        <f t="shared" si="14"/>
        <v>0</v>
      </c>
      <c r="R69" s="145">
        <f t="shared" si="12"/>
        <v>51.024906951071635</v>
      </c>
      <c r="S69" s="125">
        <f t="shared" si="13"/>
        <v>-17.475093048928365</v>
      </c>
      <c r="T69" s="144">
        <f t="shared" si="8"/>
        <v>0</v>
      </c>
      <c r="V69" s="12"/>
    </row>
    <row r="70" spans="1:22" x14ac:dyDescent="0.25">
      <c r="A70" s="49">
        <f>'A) Base RI'!A71</f>
        <v>5500</v>
      </c>
      <c r="B70" s="351" t="str">
        <f>'A) Base RI'!B71</f>
        <v>Sévery</v>
      </c>
      <c r="C70" s="403">
        <v>118721.49939178079</v>
      </c>
      <c r="D70" s="403">
        <v>29142.40588487497</v>
      </c>
      <c r="E70" s="404">
        <v>0</v>
      </c>
      <c r="F70" s="404">
        <v>0</v>
      </c>
      <c r="G70" s="404">
        <v>0</v>
      </c>
      <c r="H70" s="403">
        <f t="shared" si="0"/>
        <v>147863.90527665574</v>
      </c>
      <c r="I70" s="404">
        <v>6999.0248888888891</v>
      </c>
      <c r="J70" s="355">
        <f>'B) D RI'!U71</f>
        <v>7516.1401369863015</v>
      </c>
      <c r="K70" s="62">
        <f t="shared" si="1"/>
        <v>21.12635797472203</v>
      </c>
      <c r="L70" s="33">
        <f>'B) D RI'!S71</f>
        <v>73</v>
      </c>
      <c r="M70" s="465">
        <f t="shared" si="9"/>
        <v>51.873642025277974</v>
      </c>
      <c r="N70" s="457">
        <f>+'J) Plafonnement effort'!H69+'J) Plafonnement effort'!I69-'K) Plafonnement aide'!I69</f>
        <v>12.545333116736828</v>
      </c>
      <c r="O70" s="145">
        <f t="shared" si="10"/>
        <v>64.418975142014801</v>
      </c>
      <c r="P70" s="47">
        <f t="shared" si="11"/>
        <v>0</v>
      </c>
      <c r="Q70" s="55">
        <f t="shared" si="14"/>
        <v>0</v>
      </c>
      <c r="R70" s="145">
        <f t="shared" si="12"/>
        <v>64.418975142014801</v>
      </c>
      <c r="S70" s="125">
        <f t="shared" si="13"/>
        <v>-8.5810248579851987</v>
      </c>
      <c r="T70" s="144">
        <f t="shared" si="8"/>
        <v>0</v>
      </c>
      <c r="V70" s="12"/>
    </row>
    <row r="71" spans="1:22" x14ac:dyDescent="0.25">
      <c r="A71" s="49">
        <f>'A) Base RI'!A72</f>
        <v>5501</v>
      </c>
      <c r="B71" s="351" t="str">
        <f>'A) Base RI'!B72</f>
        <v>Sullens</v>
      </c>
      <c r="C71" s="403">
        <v>684993.50740045612</v>
      </c>
      <c r="D71" s="403">
        <v>510768.1589611721</v>
      </c>
      <c r="E71" s="404">
        <v>0</v>
      </c>
      <c r="F71" s="404">
        <v>0</v>
      </c>
      <c r="G71" s="404">
        <v>0</v>
      </c>
      <c r="H71" s="403">
        <f t="shared" ref="H71:H134" si="15">SUM(C71:G71)</f>
        <v>1195761.6663616281</v>
      </c>
      <c r="I71" s="404">
        <v>40473.718571428566</v>
      </c>
      <c r="J71" s="355">
        <f>'B) D RI'!U72</f>
        <v>41921.141459854021</v>
      </c>
      <c r="K71" s="62">
        <f t="shared" ref="K71:K134" si="16">H71/I71</f>
        <v>29.544151329987923</v>
      </c>
      <c r="L71" s="33">
        <f>'B) D RI'!S72</f>
        <v>68.5</v>
      </c>
      <c r="M71" s="465">
        <f t="shared" si="9"/>
        <v>38.955848670012074</v>
      </c>
      <c r="N71" s="457">
        <f>+'J) Plafonnement effort'!H70+'J) Plafonnement effort'!I70-'K) Plafonnement aide'!I70</f>
        <v>25.30465071127405</v>
      </c>
      <c r="O71" s="145">
        <f t="shared" si="10"/>
        <v>64.260499381286124</v>
      </c>
      <c r="P71" s="47">
        <f t="shared" si="11"/>
        <v>0</v>
      </c>
      <c r="Q71" s="55">
        <f t="shared" si="14"/>
        <v>0</v>
      </c>
      <c r="R71" s="145">
        <f t="shared" si="12"/>
        <v>64.260499381286124</v>
      </c>
      <c r="S71" s="125">
        <f t="shared" si="13"/>
        <v>-4.2395006187138762</v>
      </c>
      <c r="T71" s="144">
        <f t="shared" ref="T71:T134" si="17">+C71+D71+E71+F71+G71-H71</f>
        <v>0</v>
      </c>
      <c r="V71" s="12"/>
    </row>
    <row r="72" spans="1:22" x14ac:dyDescent="0.25">
      <c r="A72" s="49">
        <f>'A) Base RI'!A73</f>
        <v>5503</v>
      </c>
      <c r="B72" s="351" t="str">
        <f>'A) Base RI'!B73</f>
        <v>Vufflens-la-Ville</v>
      </c>
      <c r="C72" s="403">
        <v>1957398.4933915893</v>
      </c>
      <c r="D72" s="403">
        <v>1529718.4967452257</v>
      </c>
      <c r="E72" s="404">
        <v>0</v>
      </c>
      <c r="F72" s="404">
        <v>0</v>
      </c>
      <c r="G72" s="404">
        <v>0</v>
      </c>
      <c r="H72" s="403">
        <f t="shared" si="15"/>
        <v>3487116.9901368152</v>
      </c>
      <c r="I72" s="404">
        <v>87926.416417910455</v>
      </c>
      <c r="J72" s="355">
        <f>'B) D RI'!U73</f>
        <v>66677.882338308453</v>
      </c>
      <c r="K72" s="62">
        <f t="shared" si="16"/>
        <v>39.659491790984625</v>
      </c>
      <c r="L72" s="33">
        <f>'B) D RI'!S73</f>
        <v>67</v>
      </c>
      <c r="M72" s="465">
        <f t="shared" si="9"/>
        <v>27.340508209015375</v>
      </c>
      <c r="N72" s="457">
        <f>+'J) Plafonnement effort'!H71+'J) Plafonnement effort'!I71-'K) Plafonnement aide'!I71</f>
        <v>29.338716088196865</v>
      </c>
      <c r="O72" s="145">
        <f t="shared" si="10"/>
        <v>56.679224297212244</v>
      </c>
      <c r="P72" s="47">
        <f t="shared" si="11"/>
        <v>0</v>
      </c>
      <c r="Q72" s="55">
        <f t="shared" si="14"/>
        <v>0</v>
      </c>
      <c r="R72" s="145">
        <f t="shared" si="12"/>
        <v>56.679224297212244</v>
      </c>
      <c r="S72" s="125">
        <f t="shared" si="13"/>
        <v>-10.320775702787756</v>
      </c>
      <c r="T72" s="144">
        <f t="shared" si="17"/>
        <v>0</v>
      </c>
      <c r="V72" s="12"/>
    </row>
    <row r="73" spans="1:22" x14ac:dyDescent="0.25">
      <c r="A73" s="49">
        <f>'A) Base RI'!A74</f>
        <v>5511</v>
      </c>
      <c r="B73" s="351" t="str">
        <f>'A) Base RI'!B74</f>
        <v>Assens</v>
      </c>
      <c r="C73" s="403">
        <v>858907.2064305495</v>
      </c>
      <c r="D73" s="403">
        <v>839478.84071758681</v>
      </c>
      <c r="E73" s="404">
        <v>0</v>
      </c>
      <c r="F73" s="404">
        <v>0</v>
      </c>
      <c r="G73" s="404">
        <v>0</v>
      </c>
      <c r="H73" s="403">
        <f t="shared" si="15"/>
        <v>1698386.0471481364</v>
      </c>
      <c r="I73" s="404">
        <v>50067.904428571426</v>
      </c>
      <c r="J73" s="355">
        <f>'B) D RI'!U74</f>
        <v>44474.742571428564</v>
      </c>
      <c r="K73" s="62">
        <f t="shared" si="16"/>
        <v>33.921652334603131</v>
      </c>
      <c r="L73" s="33">
        <f>'B) D RI'!S74</f>
        <v>70</v>
      </c>
      <c r="M73" s="465">
        <f t="shared" si="9"/>
        <v>36.078347665396869</v>
      </c>
      <c r="N73" s="457">
        <f>+'J) Plafonnement effort'!H72+'J) Plafonnement effort'!I72-'K) Plafonnement aide'!I72</f>
        <v>20.005662068443083</v>
      </c>
      <c r="O73" s="145">
        <f t="shared" si="10"/>
        <v>56.084009733839949</v>
      </c>
      <c r="P73" s="47">
        <f t="shared" si="11"/>
        <v>0</v>
      </c>
      <c r="Q73" s="55">
        <f t="shared" si="14"/>
        <v>0</v>
      </c>
      <c r="R73" s="145">
        <f t="shared" si="12"/>
        <v>56.084009733839949</v>
      </c>
      <c r="S73" s="125">
        <f t="shared" si="13"/>
        <v>-13.915990266160051</v>
      </c>
      <c r="T73" s="144">
        <f t="shared" si="17"/>
        <v>0</v>
      </c>
      <c r="V73" s="12"/>
    </row>
    <row r="74" spans="1:22" x14ac:dyDescent="0.25">
      <c r="A74" s="49">
        <f>'A) Base RI'!A75</f>
        <v>5512</v>
      </c>
      <c r="B74" s="351" t="str">
        <f>'A) Base RI'!B75</f>
        <v>Bercher</v>
      </c>
      <c r="C74" s="403">
        <v>675584.38176823943</v>
      </c>
      <c r="D74" s="403">
        <v>74283.341025497066</v>
      </c>
      <c r="E74" s="404">
        <v>0</v>
      </c>
      <c r="F74" s="404">
        <v>0</v>
      </c>
      <c r="G74" s="404">
        <v>0</v>
      </c>
      <c r="H74" s="403">
        <f t="shared" si="15"/>
        <v>749867.7227937365</v>
      </c>
      <c r="I74" s="404">
        <v>40005.59860759494</v>
      </c>
      <c r="J74" s="355">
        <f>'B) D RI'!U75</f>
        <v>40313.482784810127</v>
      </c>
      <c r="K74" s="62">
        <f t="shared" si="16"/>
        <v>18.744069552589483</v>
      </c>
      <c r="L74" s="33">
        <f>'B) D RI'!S75</f>
        <v>79</v>
      </c>
      <c r="M74" s="465">
        <f t="shared" si="9"/>
        <v>60.25593044741052</v>
      </c>
      <c r="N74" s="457">
        <f>+'J) Plafonnement effort'!H73+'J) Plafonnement effort'!I73-'K) Plafonnement aide'!I73</f>
        <v>6.4315108792986502</v>
      </c>
      <c r="O74" s="145">
        <f t="shared" si="10"/>
        <v>66.687441326709177</v>
      </c>
      <c r="P74" s="47">
        <f t="shared" si="11"/>
        <v>0</v>
      </c>
      <c r="Q74" s="55">
        <f t="shared" si="14"/>
        <v>0</v>
      </c>
      <c r="R74" s="145">
        <f t="shared" si="12"/>
        <v>66.687441326709177</v>
      </c>
      <c r="S74" s="125">
        <f t="shared" si="13"/>
        <v>-12.312558673290823</v>
      </c>
      <c r="T74" s="144">
        <f t="shared" si="17"/>
        <v>0</v>
      </c>
      <c r="V74" s="12"/>
    </row>
    <row r="75" spans="1:22" x14ac:dyDescent="0.25">
      <c r="A75" s="49">
        <f>'A) Base RI'!A76</f>
        <v>5513</v>
      </c>
      <c r="B75" s="351" t="str">
        <f>'A) Base RI'!B76</f>
        <v>Bioley-Orjulaz</v>
      </c>
      <c r="C75" s="403">
        <v>387219.92201140331</v>
      </c>
      <c r="D75" s="403">
        <v>329395.32820993179</v>
      </c>
      <c r="E75" s="404">
        <v>0</v>
      </c>
      <c r="F75" s="404">
        <v>0</v>
      </c>
      <c r="G75" s="404">
        <v>0</v>
      </c>
      <c r="H75" s="403">
        <f t="shared" si="15"/>
        <v>716615.2502213351</v>
      </c>
      <c r="I75" s="404">
        <v>22037.146176470589</v>
      </c>
      <c r="J75" s="355">
        <f>'B) D RI'!U76</f>
        <v>22644.962352941177</v>
      </c>
      <c r="K75" s="62">
        <f t="shared" si="16"/>
        <v>32.518514170699497</v>
      </c>
      <c r="L75" s="33">
        <f>'B) D RI'!S76</f>
        <v>68</v>
      </c>
      <c r="M75" s="465">
        <f t="shared" si="9"/>
        <v>35.481485829300503</v>
      </c>
      <c r="N75" s="457">
        <f>+'J) Plafonnement effort'!H74+'J) Plafonnement effort'!I74-'K) Plafonnement aide'!I74</f>
        <v>27.633681203170237</v>
      </c>
      <c r="O75" s="145">
        <f t="shared" si="10"/>
        <v>63.115167032470737</v>
      </c>
      <c r="P75" s="47">
        <f t="shared" si="11"/>
        <v>0</v>
      </c>
      <c r="Q75" s="55">
        <f t="shared" si="14"/>
        <v>0</v>
      </c>
      <c r="R75" s="145">
        <f t="shared" si="12"/>
        <v>63.115167032470737</v>
      </c>
      <c r="S75" s="125">
        <f t="shared" si="13"/>
        <v>-4.8848329675292632</v>
      </c>
      <c r="T75" s="144">
        <f t="shared" si="17"/>
        <v>0</v>
      </c>
      <c r="V75" s="12"/>
    </row>
    <row r="76" spans="1:22" x14ac:dyDescent="0.25">
      <c r="A76" s="49">
        <f>'A) Base RI'!A77</f>
        <v>5514</v>
      </c>
      <c r="B76" s="351" t="str">
        <f>'A) Base RI'!B77</f>
        <v>Bottens</v>
      </c>
      <c r="C76" s="403">
        <v>662454.70101008017</v>
      </c>
      <c r="D76" s="403">
        <v>142173.86714033887</v>
      </c>
      <c r="E76" s="404">
        <v>0</v>
      </c>
      <c r="F76" s="404">
        <v>0</v>
      </c>
      <c r="G76" s="404">
        <v>0</v>
      </c>
      <c r="H76" s="403">
        <f t="shared" si="15"/>
        <v>804628.56815041904</v>
      </c>
      <c r="I76" s="404">
        <v>40784.156621621616</v>
      </c>
      <c r="J76" s="355">
        <f>'B) D RI'!U77</f>
        <v>44190.368827586208</v>
      </c>
      <c r="K76" s="62">
        <f t="shared" si="16"/>
        <v>19.728949543211769</v>
      </c>
      <c r="L76" s="33">
        <f>'B) D RI'!S77</f>
        <v>72.5</v>
      </c>
      <c r="M76" s="465">
        <f t="shared" si="9"/>
        <v>52.771050456788231</v>
      </c>
      <c r="N76" s="457">
        <f>+'J) Plafonnement effort'!H75+'J) Plafonnement effort'!I75-'K) Plafonnement aide'!I75</f>
        <v>17.791234990957228</v>
      </c>
      <c r="O76" s="145">
        <f t="shared" si="10"/>
        <v>70.562285447745467</v>
      </c>
      <c r="P76" s="47">
        <f t="shared" si="11"/>
        <v>0</v>
      </c>
      <c r="Q76" s="55">
        <f t="shared" si="14"/>
        <v>0</v>
      </c>
      <c r="R76" s="145">
        <f t="shared" si="12"/>
        <v>70.562285447745467</v>
      </c>
      <c r="S76" s="125">
        <f t="shared" si="13"/>
        <v>-1.9377145522545334</v>
      </c>
      <c r="T76" s="144">
        <f t="shared" si="17"/>
        <v>0</v>
      </c>
      <c r="V76" s="12"/>
    </row>
    <row r="77" spans="1:22" x14ac:dyDescent="0.25">
      <c r="A77" s="49">
        <f>'A) Base RI'!A78</f>
        <v>5515</v>
      </c>
      <c r="B77" s="351" t="str">
        <f>'A) Base RI'!B78</f>
        <v>Bretigny-sur-Morrens</v>
      </c>
      <c r="C77" s="403">
        <v>519668.40642261767</v>
      </c>
      <c r="D77" s="403">
        <v>163343.08548496669</v>
      </c>
      <c r="E77" s="404">
        <v>0</v>
      </c>
      <c r="F77" s="404">
        <v>0</v>
      </c>
      <c r="G77" s="404">
        <v>0</v>
      </c>
      <c r="H77" s="403">
        <f t="shared" si="15"/>
        <v>683011.49190758436</v>
      </c>
      <c r="I77" s="404">
        <v>28825.846790123462</v>
      </c>
      <c r="J77" s="355">
        <f>'B) D RI'!U78</f>
        <v>29586.483086419765</v>
      </c>
      <c r="K77" s="62">
        <f t="shared" si="16"/>
        <v>23.694412062913035</v>
      </c>
      <c r="L77" s="33">
        <f>'B) D RI'!S78</f>
        <v>81</v>
      </c>
      <c r="M77" s="465">
        <f t="shared" si="9"/>
        <v>57.305587937086969</v>
      </c>
      <c r="N77" s="457">
        <f>+'J) Plafonnement effort'!H76+'J) Plafonnement effort'!I76-'K) Plafonnement aide'!I76</f>
        <v>16.791624401510774</v>
      </c>
      <c r="O77" s="145">
        <f t="shared" si="10"/>
        <v>74.097212338597743</v>
      </c>
      <c r="P77" s="47">
        <f t="shared" si="11"/>
        <v>0</v>
      </c>
      <c r="Q77" s="55">
        <f t="shared" si="14"/>
        <v>0</v>
      </c>
      <c r="R77" s="145">
        <f t="shared" si="12"/>
        <v>74.097212338597743</v>
      </c>
      <c r="S77" s="125">
        <f t="shared" si="13"/>
        <v>-6.9027876614022574</v>
      </c>
      <c r="T77" s="144">
        <f t="shared" si="17"/>
        <v>0</v>
      </c>
      <c r="V77" s="12"/>
    </row>
    <row r="78" spans="1:22" x14ac:dyDescent="0.25">
      <c r="A78" s="49">
        <f>'A) Base RI'!A79</f>
        <v>5516</v>
      </c>
      <c r="B78" s="351" t="str">
        <f>'A) Base RI'!B79</f>
        <v>Cugy</v>
      </c>
      <c r="C78" s="403">
        <v>1780765.3706982615</v>
      </c>
      <c r="D78" s="403">
        <v>1012070.814756575</v>
      </c>
      <c r="E78" s="404">
        <v>0</v>
      </c>
      <c r="F78" s="404">
        <v>0</v>
      </c>
      <c r="G78" s="404">
        <v>0</v>
      </c>
      <c r="H78" s="403">
        <f t="shared" si="15"/>
        <v>2792836.1854548366</v>
      </c>
      <c r="I78" s="404">
        <v>111163.080491453</v>
      </c>
      <c r="J78" s="355">
        <f>'B) D RI'!U79</f>
        <v>107062.26318376069</v>
      </c>
      <c r="K78" s="62">
        <f t="shared" si="16"/>
        <v>25.123774666082319</v>
      </c>
      <c r="L78" s="33">
        <f>'B) D RI'!S79</f>
        <v>78</v>
      </c>
      <c r="M78" s="465">
        <f t="shared" si="9"/>
        <v>52.876225333917681</v>
      </c>
      <c r="N78" s="457">
        <f>+'J) Plafonnement effort'!H77+'J) Plafonnement effort'!I77-'K) Plafonnement aide'!I77</f>
        <v>18.386368524991781</v>
      </c>
      <c r="O78" s="145">
        <f t="shared" si="10"/>
        <v>71.262593858909469</v>
      </c>
      <c r="P78" s="47">
        <f t="shared" si="11"/>
        <v>0</v>
      </c>
      <c r="Q78" s="55">
        <f t="shared" si="14"/>
        <v>0</v>
      </c>
      <c r="R78" s="145">
        <f t="shared" si="12"/>
        <v>71.262593858909469</v>
      </c>
      <c r="S78" s="125">
        <f t="shared" si="13"/>
        <v>-6.7374061410905313</v>
      </c>
      <c r="T78" s="144">
        <f t="shared" si="17"/>
        <v>0</v>
      </c>
      <c r="V78" s="12"/>
    </row>
    <row r="79" spans="1:22" x14ac:dyDescent="0.25">
      <c r="A79" s="49">
        <f>'A) Base RI'!A80</f>
        <v>5518</v>
      </c>
      <c r="B79" s="351" t="str">
        <f>'A) Base RI'!B80</f>
        <v>Echallens</v>
      </c>
      <c r="C79" s="403">
        <v>3523749.6576180104</v>
      </c>
      <c r="D79" s="403">
        <v>-291094.01597119635</v>
      </c>
      <c r="E79" s="404">
        <v>0</v>
      </c>
      <c r="F79" s="404">
        <v>0</v>
      </c>
      <c r="G79" s="404">
        <v>0</v>
      </c>
      <c r="H79" s="403">
        <f t="shared" si="15"/>
        <v>3232655.6416468141</v>
      </c>
      <c r="I79" s="404">
        <v>187816.41499999998</v>
      </c>
      <c r="J79" s="355">
        <f>'B) D RI'!U80</f>
        <v>178756.07310344829</v>
      </c>
      <c r="K79" s="62">
        <f t="shared" si="16"/>
        <v>17.211784399392432</v>
      </c>
      <c r="L79" s="33">
        <f>'B) D RI'!S80</f>
        <v>72.5</v>
      </c>
      <c r="M79" s="465">
        <f t="shared" si="9"/>
        <v>55.288215600607572</v>
      </c>
      <c r="N79" s="457">
        <f>+'J) Plafonnement effort'!H78+'J) Plafonnement effort'!I78-'K) Plafonnement aide'!I78</f>
        <v>1.9707087248624386</v>
      </c>
      <c r="O79" s="145">
        <f t="shared" si="10"/>
        <v>57.258924325470012</v>
      </c>
      <c r="P79" s="47">
        <f t="shared" si="11"/>
        <v>0</v>
      </c>
      <c r="Q79" s="55">
        <f t="shared" si="14"/>
        <v>0</v>
      </c>
      <c r="R79" s="145">
        <f t="shared" si="12"/>
        <v>57.258924325470012</v>
      </c>
      <c r="S79" s="125">
        <f t="shared" si="13"/>
        <v>-15.241075674529988</v>
      </c>
      <c r="T79" s="144">
        <f t="shared" si="17"/>
        <v>0</v>
      </c>
      <c r="V79" s="12"/>
    </row>
    <row r="80" spans="1:22" x14ac:dyDescent="0.25">
      <c r="A80" s="49">
        <f>'A) Base RI'!A81</f>
        <v>5520</v>
      </c>
      <c r="B80" s="351" t="str">
        <f>'A) Base RI'!B81</f>
        <v>Essertines-sur-Yverdon</v>
      </c>
      <c r="C80" s="403">
        <v>501645.79719286674</v>
      </c>
      <c r="D80" s="403">
        <v>67039.507018166711</v>
      </c>
      <c r="E80" s="404">
        <v>0</v>
      </c>
      <c r="F80" s="404">
        <v>0</v>
      </c>
      <c r="G80" s="404">
        <v>0</v>
      </c>
      <c r="H80" s="403">
        <f t="shared" si="15"/>
        <v>568685.30421103351</v>
      </c>
      <c r="I80" s="404">
        <v>29858.34041095891</v>
      </c>
      <c r="J80" s="355">
        <f>'B) D RI'!U81</f>
        <v>29733.806712328769</v>
      </c>
      <c r="K80" s="62">
        <f t="shared" si="16"/>
        <v>19.046112288354408</v>
      </c>
      <c r="L80" s="33">
        <f>'B) D RI'!S81</f>
        <v>73</v>
      </c>
      <c r="M80" s="465">
        <f t="shared" si="9"/>
        <v>53.953887711645592</v>
      </c>
      <c r="N80" s="457">
        <f>+'J) Plafonnement effort'!H79+'J) Plafonnement effort'!I79-'K) Plafonnement aide'!I79</f>
        <v>8.775244981167365</v>
      </c>
      <c r="O80" s="145">
        <f t="shared" si="10"/>
        <v>62.729132692812954</v>
      </c>
      <c r="P80" s="47">
        <f t="shared" si="11"/>
        <v>0</v>
      </c>
      <c r="Q80" s="55">
        <f t="shared" si="14"/>
        <v>0</v>
      </c>
      <c r="R80" s="145">
        <f t="shared" si="12"/>
        <v>62.729132692812954</v>
      </c>
      <c r="S80" s="125">
        <f t="shared" si="13"/>
        <v>-10.270867307187046</v>
      </c>
      <c r="T80" s="144">
        <f t="shared" si="17"/>
        <v>0</v>
      </c>
      <c r="V80" s="12"/>
    </row>
    <row r="81" spans="1:22" x14ac:dyDescent="0.25">
      <c r="A81" s="49">
        <f>'A) Base RI'!A82</f>
        <v>5521</v>
      </c>
      <c r="B81" s="351" t="str">
        <f>'A) Base RI'!B82</f>
        <v>Etagnières</v>
      </c>
      <c r="C81" s="403">
        <v>841136.7875817311</v>
      </c>
      <c r="D81" s="403">
        <v>672128.43184623006</v>
      </c>
      <c r="E81" s="404">
        <v>0</v>
      </c>
      <c r="F81" s="404">
        <v>0</v>
      </c>
      <c r="G81" s="404">
        <v>0</v>
      </c>
      <c r="H81" s="403">
        <f t="shared" si="15"/>
        <v>1513265.2194279612</v>
      </c>
      <c r="I81" s="404">
        <v>48278.723150684935</v>
      </c>
      <c r="J81" s="355">
        <f>'B) D RI'!U82</f>
        <v>46797.314657534247</v>
      </c>
      <c r="K81" s="62">
        <f t="shared" si="16"/>
        <v>31.344350485509729</v>
      </c>
      <c r="L81" s="33">
        <f>'B) D RI'!S82</f>
        <v>73</v>
      </c>
      <c r="M81" s="465">
        <f t="shared" si="9"/>
        <v>41.655649514490271</v>
      </c>
      <c r="N81" s="457">
        <f>+'J) Plafonnement effort'!H80+'J) Plafonnement effort'!I80-'K) Plafonnement aide'!I80</f>
        <v>23.587456536423229</v>
      </c>
      <c r="O81" s="145">
        <f t="shared" si="10"/>
        <v>65.243106050913497</v>
      </c>
      <c r="P81" s="47">
        <f t="shared" si="11"/>
        <v>0</v>
      </c>
      <c r="Q81" s="55">
        <f t="shared" si="14"/>
        <v>0</v>
      </c>
      <c r="R81" s="145">
        <f t="shared" si="12"/>
        <v>65.243106050913497</v>
      </c>
      <c r="S81" s="125">
        <f t="shared" si="13"/>
        <v>-7.7568939490865034</v>
      </c>
      <c r="T81" s="144">
        <f t="shared" si="17"/>
        <v>0</v>
      </c>
      <c r="V81" s="12"/>
    </row>
    <row r="82" spans="1:22" x14ac:dyDescent="0.25">
      <c r="A82" s="49">
        <f>'A) Base RI'!A83</f>
        <v>5522</v>
      </c>
      <c r="B82" s="351" t="str">
        <f>'A) Base RI'!B83</f>
        <v>Fey</v>
      </c>
      <c r="C82" s="403">
        <v>386034.38730608206</v>
      </c>
      <c r="D82" s="403">
        <v>78326.096871598624</v>
      </c>
      <c r="E82" s="404">
        <v>0</v>
      </c>
      <c r="F82" s="404">
        <v>0</v>
      </c>
      <c r="G82" s="404">
        <v>0</v>
      </c>
      <c r="H82" s="403">
        <f t="shared" si="15"/>
        <v>464360.48417768069</v>
      </c>
      <c r="I82" s="404">
        <v>22727.539066666664</v>
      </c>
      <c r="J82" s="355">
        <f>'B) D RI'!U83</f>
        <v>23726.940933333331</v>
      </c>
      <c r="K82" s="62">
        <f t="shared" si="16"/>
        <v>20.4316218670034</v>
      </c>
      <c r="L82" s="33">
        <f>'B) D RI'!S83</f>
        <v>75</v>
      </c>
      <c r="M82" s="465">
        <f t="shared" si="9"/>
        <v>54.5683781329966</v>
      </c>
      <c r="N82" s="457">
        <f>+'J) Plafonnement effort'!H81+'J) Plafonnement effort'!I81-'K) Plafonnement aide'!I81</f>
        <v>12.405679187619533</v>
      </c>
      <c r="O82" s="145">
        <f t="shared" si="10"/>
        <v>66.97405732061614</v>
      </c>
      <c r="P82" s="47">
        <f t="shared" si="11"/>
        <v>0</v>
      </c>
      <c r="Q82" s="55">
        <f t="shared" si="14"/>
        <v>0</v>
      </c>
      <c r="R82" s="145">
        <f t="shared" si="12"/>
        <v>66.97405732061614</v>
      </c>
      <c r="S82" s="125">
        <f t="shared" si="13"/>
        <v>-8.02594267938386</v>
      </c>
      <c r="T82" s="144">
        <f t="shared" si="17"/>
        <v>0</v>
      </c>
      <c r="V82" s="12"/>
    </row>
    <row r="83" spans="1:22" x14ac:dyDescent="0.25">
      <c r="A83" s="49">
        <f>'A) Base RI'!A84</f>
        <v>5523</v>
      </c>
      <c r="B83" s="351" t="str">
        <f>'A) Base RI'!B84</f>
        <v>Froideville</v>
      </c>
      <c r="C83" s="403">
        <v>1435787.4356365625</v>
      </c>
      <c r="D83" s="403">
        <v>281078.68080712156</v>
      </c>
      <c r="E83" s="404">
        <v>0</v>
      </c>
      <c r="F83" s="404">
        <v>0</v>
      </c>
      <c r="G83" s="404">
        <v>0</v>
      </c>
      <c r="H83" s="403">
        <f t="shared" si="15"/>
        <v>1716866.1164436841</v>
      </c>
      <c r="I83" s="404">
        <v>89231.727236842082</v>
      </c>
      <c r="J83" s="355">
        <f>'B) D RI'!U84</f>
        <v>85868.846805555557</v>
      </c>
      <c r="K83" s="62">
        <f t="shared" si="16"/>
        <v>19.240534388477272</v>
      </c>
      <c r="L83" s="33">
        <f>'B) D RI'!S84</f>
        <v>72</v>
      </c>
      <c r="M83" s="465">
        <f t="shared" si="9"/>
        <v>52.759465611522728</v>
      </c>
      <c r="N83" s="457">
        <f>+'J) Plafonnement effort'!H82+'J) Plafonnement effort'!I82-'K) Plafonnement aide'!I82</f>
        <v>12.327768135197381</v>
      </c>
      <c r="O83" s="145">
        <f t="shared" si="10"/>
        <v>65.087233746720102</v>
      </c>
      <c r="P83" s="47">
        <f t="shared" si="11"/>
        <v>0</v>
      </c>
      <c r="Q83" s="55">
        <f t="shared" si="14"/>
        <v>0</v>
      </c>
      <c r="R83" s="145">
        <f t="shared" si="12"/>
        <v>65.087233746720102</v>
      </c>
      <c r="S83" s="125">
        <f t="shared" si="13"/>
        <v>-6.9127662532798979</v>
      </c>
      <c r="T83" s="144">
        <f t="shared" si="17"/>
        <v>0</v>
      </c>
      <c r="V83" s="12"/>
    </row>
    <row r="84" spans="1:22" x14ac:dyDescent="0.25">
      <c r="A84" s="49">
        <f>'A) Base RI'!A85</f>
        <v>5527</v>
      </c>
      <c r="B84" s="351" t="str">
        <f>'A) Base RI'!B85</f>
        <v>Morrens</v>
      </c>
      <c r="C84" s="403">
        <v>708372.79663292412</v>
      </c>
      <c r="D84" s="403">
        <v>352818.4012218389</v>
      </c>
      <c r="E84" s="404">
        <v>0</v>
      </c>
      <c r="F84" s="404">
        <v>0</v>
      </c>
      <c r="G84" s="404">
        <v>0</v>
      </c>
      <c r="H84" s="403">
        <f t="shared" si="15"/>
        <v>1061191.1978547629</v>
      </c>
      <c r="I84" s="404">
        <v>40137.160945945958</v>
      </c>
      <c r="J84" s="355">
        <f>'B) D RI'!U85</f>
        <v>40564.204594594594</v>
      </c>
      <c r="K84" s="62">
        <f t="shared" si="16"/>
        <v>26.439119580079524</v>
      </c>
      <c r="L84" s="33">
        <f>'B) D RI'!S85</f>
        <v>74</v>
      </c>
      <c r="M84" s="465">
        <f t="shared" si="9"/>
        <v>47.56088041992048</v>
      </c>
      <c r="N84" s="457">
        <f>+'J) Plafonnement effort'!H83+'J) Plafonnement effort'!I83-'K) Plafonnement aide'!I83</f>
        <v>18.135015459325697</v>
      </c>
      <c r="O84" s="145">
        <f t="shared" si="10"/>
        <v>65.69589587924618</v>
      </c>
      <c r="P84" s="47">
        <f t="shared" si="11"/>
        <v>0</v>
      </c>
      <c r="Q84" s="55">
        <f t="shared" si="14"/>
        <v>0</v>
      </c>
      <c r="R84" s="145">
        <f t="shared" si="12"/>
        <v>65.69589587924618</v>
      </c>
      <c r="S84" s="125">
        <f t="shared" si="13"/>
        <v>-8.30410412075382</v>
      </c>
      <c r="T84" s="144">
        <f t="shared" si="17"/>
        <v>0</v>
      </c>
      <c r="V84" s="12"/>
    </row>
    <row r="85" spans="1:22" x14ac:dyDescent="0.25">
      <c r="A85" s="49">
        <f>'A) Base RI'!A86</f>
        <v>5529</v>
      </c>
      <c r="B85" s="351" t="str">
        <f>'A) Base RI'!B86</f>
        <v>Oulens-sous-Echallens</v>
      </c>
      <c r="C85" s="403">
        <v>356784.05327943969</v>
      </c>
      <c r="D85" s="403">
        <v>207652.61233626801</v>
      </c>
      <c r="E85" s="404">
        <v>0</v>
      </c>
      <c r="F85" s="404">
        <v>0</v>
      </c>
      <c r="G85" s="404">
        <v>0</v>
      </c>
      <c r="H85" s="403">
        <f t="shared" si="15"/>
        <v>564436.66561570764</v>
      </c>
      <c r="I85" s="404">
        <v>21602.609436619721</v>
      </c>
      <c r="J85" s="355">
        <f>'B) D RI'!U86</f>
        <v>20201.245428571427</v>
      </c>
      <c r="K85" s="62">
        <f t="shared" si="16"/>
        <v>26.128170639371987</v>
      </c>
      <c r="L85" s="33">
        <f>'B) D RI'!S86</f>
        <v>70</v>
      </c>
      <c r="M85" s="465">
        <f t="shared" si="9"/>
        <v>43.871829360628013</v>
      </c>
      <c r="N85" s="457">
        <f>+'J) Plafonnement effort'!H84+'J) Plafonnement effort'!I84-'K) Plafonnement aide'!I84</f>
        <v>16.312568745503302</v>
      </c>
      <c r="O85" s="145">
        <f t="shared" si="10"/>
        <v>60.184398106131312</v>
      </c>
      <c r="P85" s="47">
        <f t="shared" si="11"/>
        <v>0</v>
      </c>
      <c r="Q85" s="55">
        <f t="shared" si="14"/>
        <v>0</v>
      </c>
      <c r="R85" s="145">
        <f t="shared" si="12"/>
        <v>60.184398106131312</v>
      </c>
      <c r="S85" s="125">
        <f t="shared" si="13"/>
        <v>-9.8156018938686884</v>
      </c>
      <c r="T85" s="144">
        <f t="shared" si="17"/>
        <v>0</v>
      </c>
      <c r="V85" s="12"/>
    </row>
    <row r="86" spans="1:22" x14ac:dyDescent="0.25">
      <c r="A86" s="49">
        <f>'A) Base RI'!A87</f>
        <v>5530</v>
      </c>
      <c r="B86" s="351" t="str">
        <f>'A) Base RI'!B87</f>
        <v>Pailly</v>
      </c>
      <c r="C86" s="403">
        <v>311821.76237022487</v>
      </c>
      <c r="D86" s="403">
        <v>70090.28023385728</v>
      </c>
      <c r="E86" s="404">
        <v>0</v>
      </c>
      <c r="F86" s="404">
        <v>0</v>
      </c>
      <c r="G86" s="404">
        <v>0</v>
      </c>
      <c r="H86" s="403">
        <f t="shared" si="15"/>
        <v>381912.04260408215</v>
      </c>
      <c r="I86" s="404">
        <v>17625.052150537631</v>
      </c>
      <c r="J86" s="355">
        <f>'B) D RI'!U87</f>
        <v>18302.009495614031</v>
      </c>
      <c r="K86" s="62">
        <f t="shared" si="16"/>
        <v>21.668704259262711</v>
      </c>
      <c r="L86" s="33">
        <f>'B) D RI'!S87</f>
        <v>76</v>
      </c>
      <c r="M86" s="465">
        <f t="shared" si="9"/>
        <v>54.331295740737289</v>
      </c>
      <c r="N86" s="457">
        <f>+'J) Plafonnement effort'!H85+'J) Plafonnement effort'!I85-'K) Plafonnement aide'!I85</f>
        <v>-2.9900858031750213</v>
      </c>
      <c r="O86" s="145">
        <f t="shared" si="10"/>
        <v>51.341209937562269</v>
      </c>
      <c r="P86" s="47">
        <f t="shared" si="11"/>
        <v>0</v>
      </c>
      <c r="Q86" s="55">
        <f t="shared" si="14"/>
        <v>0</v>
      </c>
      <c r="R86" s="145">
        <f t="shared" si="12"/>
        <v>51.341209937562269</v>
      </c>
      <c r="S86" s="125">
        <f t="shared" si="13"/>
        <v>-24.658790062437731</v>
      </c>
      <c r="T86" s="144">
        <f t="shared" si="17"/>
        <v>0</v>
      </c>
      <c r="V86" s="12"/>
    </row>
    <row r="87" spans="1:22" x14ac:dyDescent="0.25">
      <c r="A87" s="49">
        <f>'A) Base RI'!A88</f>
        <v>5531</v>
      </c>
      <c r="B87" s="351" t="str">
        <f>'A) Base RI'!B88</f>
        <v>Penthéréaz</v>
      </c>
      <c r="C87" s="403">
        <v>222404.58966746629</v>
      </c>
      <c r="D87" s="403">
        <v>115364.58762391144</v>
      </c>
      <c r="E87" s="404">
        <v>0</v>
      </c>
      <c r="F87" s="404">
        <v>0</v>
      </c>
      <c r="G87" s="404">
        <v>0</v>
      </c>
      <c r="H87" s="403">
        <f t="shared" si="15"/>
        <v>337769.17729137774</v>
      </c>
      <c r="I87" s="404">
        <v>14653.782435897439</v>
      </c>
      <c r="J87" s="355">
        <f>'B) D RI'!U88</f>
        <v>13843.062702702704</v>
      </c>
      <c r="K87" s="62">
        <f t="shared" si="16"/>
        <v>23.049965343005436</v>
      </c>
      <c r="L87" s="33">
        <f>'B) D RI'!S88</f>
        <v>74</v>
      </c>
      <c r="M87" s="465">
        <f t="shared" si="9"/>
        <v>50.950034656994561</v>
      </c>
      <c r="N87" s="457">
        <f>+'J) Plafonnement effort'!H86+'J) Plafonnement effort'!I86-'K) Plafonnement aide'!I86</f>
        <v>14.064517222858788</v>
      </c>
      <c r="O87" s="145">
        <f t="shared" si="10"/>
        <v>65.014551879853343</v>
      </c>
      <c r="P87" s="47">
        <f t="shared" si="11"/>
        <v>0</v>
      </c>
      <c r="Q87" s="55">
        <f t="shared" si="14"/>
        <v>0</v>
      </c>
      <c r="R87" s="145">
        <f t="shared" si="12"/>
        <v>65.014551879853343</v>
      </c>
      <c r="S87" s="125">
        <f t="shared" si="13"/>
        <v>-8.9854481201466569</v>
      </c>
      <c r="T87" s="144">
        <f t="shared" si="17"/>
        <v>0</v>
      </c>
      <c r="V87" s="12"/>
    </row>
    <row r="88" spans="1:22" x14ac:dyDescent="0.25">
      <c r="A88" s="49">
        <f>'A) Base RI'!A89</f>
        <v>5533</v>
      </c>
      <c r="B88" s="351" t="str">
        <f>'A) Base RI'!B89</f>
        <v>Poliez-Pittet</v>
      </c>
      <c r="C88" s="403">
        <v>406892.42727201473</v>
      </c>
      <c r="D88" s="403">
        <v>10274.981351901137</v>
      </c>
      <c r="E88" s="404">
        <v>0</v>
      </c>
      <c r="F88" s="404">
        <v>0</v>
      </c>
      <c r="G88" s="404">
        <v>0</v>
      </c>
      <c r="H88" s="403">
        <f t="shared" si="15"/>
        <v>417167.40862391586</v>
      </c>
      <c r="I88" s="404">
        <v>22836.129452054793</v>
      </c>
      <c r="J88" s="355">
        <f>'B) D RI'!U89</f>
        <v>27190.167945205478</v>
      </c>
      <c r="K88" s="62">
        <f t="shared" si="16"/>
        <v>18.267868445034548</v>
      </c>
      <c r="L88" s="33">
        <f>'B) D RI'!S89</f>
        <v>73</v>
      </c>
      <c r="M88" s="465">
        <f t="shared" si="9"/>
        <v>54.732131554965449</v>
      </c>
      <c r="N88" s="457">
        <f>+'J) Plafonnement effort'!H87+'J) Plafonnement effort'!I87-'K) Plafonnement aide'!I87</f>
        <v>17.654642410053388</v>
      </c>
      <c r="O88" s="145">
        <f t="shared" si="10"/>
        <v>72.386773965018833</v>
      </c>
      <c r="P88" s="47">
        <f t="shared" si="11"/>
        <v>0</v>
      </c>
      <c r="Q88" s="55">
        <f t="shared" si="14"/>
        <v>0</v>
      </c>
      <c r="R88" s="145">
        <f t="shared" si="12"/>
        <v>72.386773965018833</v>
      </c>
      <c r="S88" s="125">
        <f t="shared" si="13"/>
        <v>-0.61322603498116734</v>
      </c>
      <c r="T88" s="144">
        <f t="shared" si="17"/>
        <v>0</v>
      </c>
      <c r="V88" s="12"/>
    </row>
    <row r="89" spans="1:22" x14ac:dyDescent="0.25">
      <c r="A89" s="49">
        <f>'A) Base RI'!A90</f>
        <v>5534</v>
      </c>
      <c r="B89" s="351" t="str">
        <f>'A) Base RI'!B90</f>
        <v>Rueyres</v>
      </c>
      <c r="C89" s="403">
        <v>178875.26936963401</v>
      </c>
      <c r="D89" s="403">
        <v>133349.495478333</v>
      </c>
      <c r="E89" s="404">
        <v>0</v>
      </c>
      <c r="F89" s="404">
        <v>0</v>
      </c>
      <c r="G89" s="404">
        <v>0</v>
      </c>
      <c r="H89" s="403">
        <f t="shared" si="15"/>
        <v>312224.76484796702</v>
      </c>
      <c r="I89" s="404">
        <v>10463.952465753426</v>
      </c>
      <c r="J89" s="355">
        <f>'B) D RI'!U90</f>
        <v>9755.351210045661</v>
      </c>
      <c r="K89" s="62">
        <f t="shared" si="16"/>
        <v>29.838129126620245</v>
      </c>
      <c r="L89" s="33">
        <f>'B) D RI'!S90</f>
        <v>73</v>
      </c>
      <c r="M89" s="465">
        <f t="shared" si="9"/>
        <v>43.161870873379755</v>
      </c>
      <c r="N89" s="457">
        <f>+'J) Plafonnement effort'!H88+'J) Plafonnement effort'!I88-'K) Plafonnement aide'!I88</f>
        <v>22.404045870706746</v>
      </c>
      <c r="O89" s="145">
        <f t="shared" si="10"/>
        <v>65.565916744086508</v>
      </c>
      <c r="P89" s="47">
        <f t="shared" si="11"/>
        <v>0</v>
      </c>
      <c r="Q89" s="55">
        <f t="shared" si="14"/>
        <v>0</v>
      </c>
      <c r="R89" s="145">
        <f t="shared" si="12"/>
        <v>65.565916744086508</v>
      </c>
      <c r="S89" s="125">
        <f t="shared" si="13"/>
        <v>-7.4340832559134924</v>
      </c>
      <c r="T89" s="144">
        <f t="shared" si="17"/>
        <v>0</v>
      </c>
      <c r="V89" s="12"/>
    </row>
    <row r="90" spans="1:22" x14ac:dyDescent="0.25">
      <c r="A90" s="49">
        <f>'A) Base RI'!A91</f>
        <v>5535</v>
      </c>
      <c r="B90" s="351" t="str">
        <f>'A) Base RI'!B91</f>
        <v>Saint-Barthélemy</v>
      </c>
      <c r="C90" s="403">
        <v>378617.11284527974</v>
      </c>
      <c r="D90" s="403">
        <v>2998.6406285827979</v>
      </c>
      <c r="E90" s="404">
        <v>0</v>
      </c>
      <c r="F90" s="404">
        <v>0</v>
      </c>
      <c r="G90" s="404">
        <v>0</v>
      </c>
      <c r="H90" s="403">
        <f t="shared" si="15"/>
        <v>381615.75347386254</v>
      </c>
      <c r="I90" s="404">
        <v>22478.945584415589</v>
      </c>
      <c r="J90" s="355">
        <f>'B) D RI'!U91</f>
        <v>22496.850133333337</v>
      </c>
      <c r="K90" s="62">
        <f t="shared" si="16"/>
        <v>16.976586025388691</v>
      </c>
      <c r="L90" s="33">
        <f>'B) D RI'!S91</f>
        <v>75</v>
      </c>
      <c r="M90" s="465">
        <f t="shared" si="9"/>
        <v>58.023413974611309</v>
      </c>
      <c r="N90" s="457">
        <f>+'J) Plafonnement effort'!H89+'J) Plafonnement effort'!I89-'K) Plafonnement aide'!I89</f>
        <v>13.037235365075672</v>
      </c>
      <c r="O90" s="145">
        <f t="shared" si="10"/>
        <v>71.060649339686975</v>
      </c>
      <c r="P90" s="47">
        <f t="shared" si="11"/>
        <v>0</v>
      </c>
      <c r="Q90" s="55">
        <f t="shared" si="14"/>
        <v>0</v>
      </c>
      <c r="R90" s="145">
        <f t="shared" si="12"/>
        <v>71.060649339686975</v>
      </c>
      <c r="S90" s="125">
        <f t="shared" si="13"/>
        <v>-3.9393506603130248</v>
      </c>
      <c r="T90" s="144">
        <f t="shared" si="17"/>
        <v>0</v>
      </c>
      <c r="V90" s="12"/>
    </row>
    <row r="91" spans="1:22" x14ac:dyDescent="0.25">
      <c r="A91" s="49">
        <f>'A) Base RI'!A92</f>
        <v>5537</v>
      </c>
      <c r="B91" s="351" t="str">
        <f>'A) Base RI'!B92</f>
        <v>Villars-le-Terroir</v>
      </c>
      <c r="C91" s="403">
        <v>579918.97061039484</v>
      </c>
      <c r="D91" s="403">
        <v>64022.877574647893</v>
      </c>
      <c r="E91" s="404">
        <v>0</v>
      </c>
      <c r="F91" s="404">
        <v>0</v>
      </c>
      <c r="G91" s="404">
        <v>0</v>
      </c>
      <c r="H91" s="403">
        <f t="shared" si="15"/>
        <v>643941.84818504273</v>
      </c>
      <c r="I91" s="404">
        <v>36268.70386986302</v>
      </c>
      <c r="J91" s="355">
        <f>'B) D RI'!U92</f>
        <v>37963.269999999997</v>
      </c>
      <c r="K91" s="62">
        <f t="shared" si="16"/>
        <v>17.754752154794186</v>
      </c>
      <c r="L91" s="33">
        <f>'B) D RI'!S92</f>
        <v>73</v>
      </c>
      <c r="M91" s="465">
        <f t="shared" si="9"/>
        <v>55.24524784520581</v>
      </c>
      <c r="N91" s="457">
        <f>+'J) Plafonnement effort'!H90+'J) Plafonnement effort'!I90-'K) Plafonnement aide'!I90</f>
        <v>12.362574797485534</v>
      </c>
      <c r="O91" s="145">
        <f t="shared" si="10"/>
        <v>67.607822642691346</v>
      </c>
      <c r="P91" s="47">
        <f t="shared" si="11"/>
        <v>0</v>
      </c>
      <c r="Q91" s="55">
        <f t="shared" si="14"/>
        <v>0</v>
      </c>
      <c r="R91" s="145">
        <f t="shared" si="12"/>
        <v>67.607822642691346</v>
      </c>
      <c r="S91" s="125">
        <f t="shared" si="13"/>
        <v>-5.392177357308654</v>
      </c>
      <c r="T91" s="144">
        <f t="shared" si="17"/>
        <v>0</v>
      </c>
      <c r="V91" s="12"/>
    </row>
    <row r="92" spans="1:22" x14ac:dyDescent="0.25">
      <c r="A92" s="49">
        <f>'A) Base RI'!A93</f>
        <v>5539</v>
      </c>
      <c r="B92" s="351" t="str">
        <f>'A) Base RI'!B93</f>
        <v>Vuarrens</v>
      </c>
      <c r="C92" s="403">
        <v>544086.43591579422</v>
      </c>
      <c r="D92" s="403">
        <v>17530.054797544843</v>
      </c>
      <c r="E92" s="404">
        <v>0</v>
      </c>
      <c r="F92" s="404">
        <v>0</v>
      </c>
      <c r="G92" s="404">
        <v>0</v>
      </c>
      <c r="H92" s="403">
        <f t="shared" si="15"/>
        <v>561616.49071333907</v>
      </c>
      <c r="I92" s="404">
        <v>30000.607399999997</v>
      </c>
      <c r="J92" s="355">
        <f>'B) D RI'!U93</f>
        <v>35961.61534013605</v>
      </c>
      <c r="K92" s="62">
        <f t="shared" si="16"/>
        <v>18.720170669389152</v>
      </c>
      <c r="L92" s="33">
        <f>'B) D RI'!S93</f>
        <v>73.5</v>
      </c>
      <c r="M92" s="465">
        <f t="shared" si="9"/>
        <v>54.779829330610852</v>
      </c>
      <c r="N92" s="457">
        <f>+'J) Plafonnement effort'!H91+'J) Plafonnement effort'!I91-'K) Plafonnement aide'!I91</f>
        <v>18.532599924026865</v>
      </c>
      <c r="O92" s="145">
        <f t="shared" si="10"/>
        <v>73.312429254637721</v>
      </c>
      <c r="P92" s="47">
        <f t="shared" si="11"/>
        <v>0</v>
      </c>
      <c r="Q92" s="55">
        <f t="shared" si="14"/>
        <v>0</v>
      </c>
      <c r="R92" s="145">
        <f t="shared" si="12"/>
        <v>73.312429254637721</v>
      </c>
      <c r="S92" s="125">
        <f t="shared" si="13"/>
        <v>-0.18757074536227947</v>
      </c>
      <c r="T92" s="144">
        <f t="shared" si="17"/>
        <v>0</v>
      </c>
      <c r="V92" s="12"/>
    </row>
    <row r="93" spans="1:22" x14ac:dyDescent="0.25">
      <c r="A93" s="49">
        <f>'A) Base RI'!A94</f>
        <v>5540</v>
      </c>
      <c r="B93" s="351" t="str">
        <f>'A) Base RI'!B94</f>
        <v>Montilliez</v>
      </c>
      <c r="C93" s="403">
        <v>1030342.6488717753</v>
      </c>
      <c r="D93" s="403">
        <v>427540.05668446852</v>
      </c>
      <c r="E93" s="404">
        <v>0</v>
      </c>
      <c r="F93" s="404">
        <v>0</v>
      </c>
      <c r="G93" s="404">
        <v>0</v>
      </c>
      <c r="H93" s="403">
        <f t="shared" si="15"/>
        <v>1457882.7055562437</v>
      </c>
      <c r="I93" s="404">
        <v>64761.783243243241</v>
      </c>
      <c r="J93" s="355">
        <f>'B) D RI'!U94</f>
        <v>66256.548551724132</v>
      </c>
      <c r="K93" s="62">
        <f t="shared" si="16"/>
        <v>22.511466370227662</v>
      </c>
      <c r="L93" s="33">
        <f>'B) D RI'!S94</f>
        <v>72.5</v>
      </c>
      <c r="M93" s="465">
        <f>L93-K93</f>
        <v>49.988533629772334</v>
      </c>
      <c r="N93" s="457">
        <f>+'J) Plafonnement effort'!H92+'J) Plafonnement effort'!I92-'K) Plafonnement aide'!I92</f>
        <v>15.100816464786501</v>
      </c>
      <c r="O93" s="145">
        <f>M93+N93</f>
        <v>65.089350094558839</v>
      </c>
      <c r="P93" s="47">
        <f t="shared" si="11"/>
        <v>0</v>
      </c>
      <c r="Q93" s="55">
        <f>P93*J93</f>
        <v>0</v>
      </c>
      <c r="R93" s="145">
        <f>O93+P93</f>
        <v>65.089350094558839</v>
      </c>
      <c r="S93" s="125">
        <f>R93-L93</f>
        <v>-7.4106499054411614</v>
      </c>
      <c r="T93" s="144">
        <f t="shared" si="17"/>
        <v>0</v>
      </c>
      <c r="V93" s="12"/>
    </row>
    <row r="94" spans="1:22" x14ac:dyDescent="0.25">
      <c r="A94" s="49">
        <f>'A) Base RI'!A95</f>
        <v>5541</v>
      </c>
      <c r="B94" s="351" t="str">
        <f>'A) Base RI'!B95</f>
        <v>Goumoëns</v>
      </c>
      <c r="C94" s="403">
        <v>657867.69844688755</v>
      </c>
      <c r="D94" s="403">
        <v>189744.80739405146</v>
      </c>
      <c r="E94" s="404">
        <v>0</v>
      </c>
      <c r="F94" s="404">
        <v>0</v>
      </c>
      <c r="G94" s="404">
        <v>0</v>
      </c>
      <c r="H94" s="403">
        <f t="shared" si="15"/>
        <v>847612.505840939</v>
      </c>
      <c r="I94" s="404">
        <v>37389.402987012982</v>
      </c>
      <c r="J94" s="355">
        <f>'B) D RI'!U95</f>
        <v>36998.611258278142</v>
      </c>
      <c r="K94" s="62">
        <f t="shared" si="16"/>
        <v>22.669859321780368</v>
      </c>
      <c r="L94" s="33">
        <f>'B) D RI'!S95</f>
        <v>75.5</v>
      </c>
      <c r="M94" s="465">
        <f>L94-K94</f>
        <v>52.830140678219635</v>
      </c>
      <c r="N94" s="457">
        <f>+'J) Plafonnement effort'!H93+'J) Plafonnement effort'!I93-'K) Plafonnement aide'!I93</f>
        <v>16.053921743487898</v>
      </c>
      <c r="O94" s="145">
        <f>M94+N94</f>
        <v>68.88406242170754</v>
      </c>
      <c r="P94" s="47">
        <f t="shared" si="11"/>
        <v>0</v>
      </c>
      <c r="Q94" s="55">
        <f>P94*J94</f>
        <v>0</v>
      </c>
      <c r="R94" s="145">
        <f>O94+P94</f>
        <v>68.88406242170754</v>
      </c>
      <c r="S94" s="125">
        <f>R94-L94</f>
        <v>-6.6159375782924599</v>
      </c>
      <c r="T94" s="144">
        <f t="shared" si="17"/>
        <v>0</v>
      </c>
      <c r="V94" s="12"/>
    </row>
    <row r="95" spans="1:22" x14ac:dyDescent="0.25">
      <c r="A95" s="49">
        <f>'A) Base RI'!A96</f>
        <v>5551</v>
      </c>
      <c r="B95" s="351" t="str">
        <f>'A) Base RI'!B96</f>
        <v>Bonvillars</v>
      </c>
      <c r="C95" s="403">
        <v>280841.76954863907</v>
      </c>
      <c r="D95" s="403">
        <v>246610.92468057145</v>
      </c>
      <c r="E95" s="404">
        <v>0</v>
      </c>
      <c r="F95" s="404">
        <v>0</v>
      </c>
      <c r="G95" s="404">
        <v>0</v>
      </c>
      <c r="H95" s="403">
        <f t="shared" si="15"/>
        <v>527452.69422921049</v>
      </c>
      <c r="I95" s="404">
        <v>18282.205818181821</v>
      </c>
      <c r="J95" s="355">
        <f>'B) D RI'!U96</f>
        <v>19156.634727272725</v>
      </c>
      <c r="K95" s="62">
        <f t="shared" si="16"/>
        <v>28.850604761524671</v>
      </c>
      <c r="L95" s="33">
        <f>'B) D RI'!S96</f>
        <v>55</v>
      </c>
      <c r="M95" s="465">
        <f>L95-K95</f>
        <v>26.149395238475329</v>
      </c>
      <c r="N95" s="457">
        <f>+'J) Plafonnement effort'!H94+'J) Plafonnement effort'!I94-'K) Plafonnement aide'!I94</f>
        <v>23.833232478893173</v>
      </c>
      <c r="O95" s="145">
        <f>M95+N95</f>
        <v>49.982627717368501</v>
      </c>
      <c r="P95" s="47">
        <f t="shared" si="11"/>
        <v>0</v>
      </c>
      <c r="Q95" s="55">
        <f>P95*J95</f>
        <v>0</v>
      </c>
      <c r="R95" s="145">
        <f>O95+P95</f>
        <v>49.982627717368501</v>
      </c>
      <c r="S95" s="125">
        <f>R95-L95</f>
        <v>-5.0173722826314986</v>
      </c>
      <c r="T95" s="144">
        <f t="shared" si="17"/>
        <v>0</v>
      </c>
      <c r="V95" s="12"/>
    </row>
    <row r="96" spans="1:22" x14ac:dyDescent="0.25">
      <c r="A96" s="49">
        <f>'A) Base RI'!A97</f>
        <v>5552</v>
      </c>
      <c r="B96" s="351" t="str">
        <f>'A) Base RI'!B97</f>
        <v>Bullet</v>
      </c>
      <c r="C96" s="403">
        <v>336484.05356612243</v>
      </c>
      <c r="D96" s="403">
        <v>19421.106623498432</v>
      </c>
      <c r="E96" s="404">
        <v>0</v>
      </c>
      <c r="F96" s="404">
        <v>0</v>
      </c>
      <c r="G96" s="404">
        <v>0</v>
      </c>
      <c r="H96" s="403">
        <f t="shared" si="15"/>
        <v>355905.16018962086</v>
      </c>
      <c r="I96" s="404">
        <v>18372.474931506851</v>
      </c>
      <c r="J96" s="355">
        <f>'B) D RI'!U97</f>
        <v>17556.417482517485</v>
      </c>
      <c r="K96" s="62">
        <f t="shared" si="16"/>
        <v>19.371650336519505</v>
      </c>
      <c r="L96" s="33">
        <f>'B) D RI'!S97</f>
        <v>71.5</v>
      </c>
      <c r="M96" s="465">
        <f t="shared" si="9"/>
        <v>52.128349663480492</v>
      </c>
      <c r="N96" s="457">
        <f>+'J) Plafonnement effort'!H95+'J) Plafonnement effort'!I95-'K) Plafonnement aide'!I95</f>
        <v>1.0625023629236168</v>
      </c>
      <c r="O96" s="145">
        <f t="shared" si="10"/>
        <v>53.190852026404109</v>
      </c>
      <c r="P96" s="47">
        <f t="shared" si="11"/>
        <v>0</v>
      </c>
      <c r="Q96" s="55">
        <f t="shared" si="14"/>
        <v>0</v>
      </c>
      <c r="R96" s="145">
        <f t="shared" si="12"/>
        <v>53.190852026404109</v>
      </c>
      <c r="S96" s="125">
        <f t="shared" si="13"/>
        <v>-18.309147973595891</v>
      </c>
      <c r="T96" s="144">
        <f t="shared" si="17"/>
        <v>0</v>
      </c>
      <c r="V96" s="12"/>
    </row>
    <row r="97" spans="1:22" x14ac:dyDescent="0.25">
      <c r="A97" s="49">
        <f>'A) Base RI'!A98</f>
        <v>5553</v>
      </c>
      <c r="B97" s="351" t="str">
        <f>'A) Base RI'!B98</f>
        <v>Champagne</v>
      </c>
      <c r="C97" s="403">
        <v>663247.85970694618</v>
      </c>
      <c r="D97" s="403">
        <v>403516.52610124461</v>
      </c>
      <c r="E97" s="404">
        <v>0</v>
      </c>
      <c r="F97" s="404">
        <v>0</v>
      </c>
      <c r="G97" s="404">
        <v>0</v>
      </c>
      <c r="H97" s="403">
        <f t="shared" si="15"/>
        <v>1066764.3858081908</v>
      </c>
      <c r="I97" s="404">
        <v>37695.100615384617</v>
      </c>
      <c r="J97" s="355">
        <f>'B) D RI'!U98</f>
        <v>38681.377846153839</v>
      </c>
      <c r="K97" s="62">
        <f t="shared" si="16"/>
        <v>28.299815317983498</v>
      </c>
      <c r="L97" s="33">
        <f>'B) D RI'!S98</f>
        <v>65</v>
      </c>
      <c r="M97" s="465">
        <f t="shared" si="9"/>
        <v>36.700184682016499</v>
      </c>
      <c r="N97" s="457">
        <f>+'J) Plafonnement effort'!H96+'J) Plafonnement effort'!I96-'K) Plafonnement aide'!I96</f>
        <v>19.731197670704475</v>
      </c>
      <c r="O97" s="145">
        <f t="shared" si="10"/>
        <v>56.431382352720973</v>
      </c>
      <c r="P97" s="47">
        <f t="shared" si="11"/>
        <v>0</v>
      </c>
      <c r="Q97" s="55">
        <f t="shared" si="14"/>
        <v>0</v>
      </c>
      <c r="R97" s="145">
        <f t="shared" si="12"/>
        <v>56.431382352720973</v>
      </c>
      <c r="S97" s="125">
        <f t="shared" si="13"/>
        <v>-8.5686176472790265</v>
      </c>
      <c r="T97" s="144">
        <f t="shared" si="17"/>
        <v>0</v>
      </c>
      <c r="V97" s="12"/>
    </row>
    <row r="98" spans="1:22" x14ac:dyDescent="0.25">
      <c r="A98" s="49">
        <f>'A) Base RI'!A99</f>
        <v>5554</v>
      </c>
      <c r="B98" s="351" t="str">
        <f>'A) Base RI'!B99</f>
        <v>Concise</v>
      </c>
      <c r="C98" s="403">
        <v>674307.47285226046</v>
      </c>
      <c r="D98" s="403">
        <v>197146.35382772225</v>
      </c>
      <c r="E98" s="404">
        <v>0</v>
      </c>
      <c r="F98" s="404">
        <v>0</v>
      </c>
      <c r="G98" s="404">
        <v>0</v>
      </c>
      <c r="H98" s="403">
        <f t="shared" si="15"/>
        <v>871453.82667998271</v>
      </c>
      <c r="I98" s="404">
        <v>33287.826000000008</v>
      </c>
      <c r="J98" s="355">
        <f>'B) D RI'!U99</f>
        <v>32327.871066666674</v>
      </c>
      <c r="K98" s="62">
        <f t="shared" si="16"/>
        <v>26.179355379951293</v>
      </c>
      <c r="L98" s="33">
        <f>'B) D RI'!S99</f>
        <v>75</v>
      </c>
      <c r="M98" s="465">
        <f t="shared" si="9"/>
        <v>48.820644620048711</v>
      </c>
      <c r="N98" s="457">
        <f>+'J) Plafonnement effort'!H97+'J) Plafonnement effort'!I97-'K) Plafonnement aide'!I97</f>
        <v>11.646128052583446</v>
      </c>
      <c r="O98" s="145">
        <f t="shared" si="10"/>
        <v>60.46677267263216</v>
      </c>
      <c r="P98" s="47">
        <f t="shared" si="11"/>
        <v>0</v>
      </c>
      <c r="Q98" s="55">
        <f t="shared" si="14"/>
        <v>0</v>
      </c>
      <c r="R98" s="145">
        <f t="shared" si="12"/>
        <v>60.46677267263216</v>
      </c>
      <c r="S98" s="125">
        <f t="shared" si="13"/>
        <v>-14.53322732736784</v>
      </c>
      <c r="T98" s="144">
        <f t="shared" si="17"/>
        <v>0</v>
      </c>
      <c r="V98" s="12"/>
    </row>
    <row r="99" spans="1:22" x14ac:dyDescent="0.25">
      <c r="A99" s="49">
        <f>'A) Base RI'!A100</f>
        <v>5555</v>
      </c>
      <c r="B99" s="351" t="str">
        <f>'A) Base RI'!B100</f>
        <v>Corcelles-près-Concise</v>
      </c>
      <c r="C99" s="403">
        <v>245007.34307380195</v>
      </c>
      <c r="D99" s="403">
        <v>113550.32579265349</v>
      </c>
      <c r="E99" s="404">
        <v>0</v>
      </c>
      <c r="F99" s="404">
        <v>0</v>
      </c>
      <c r="G99" s="404">
        <v>0</v>
      </c>
      <c r="H99" s="403">
        <f t="shared" si="15"/>
        <v>358557.66886645544</v>
      </c>
      <c r="I99" s="404">
        <v>13538.992394366198</v>
      </c>
      <c r="J99" s="355">
        <f>'B) D RI'!U100</f>
        <v>13599.529565217395</v>
      </c>
      <c r="K99" s="62">
        <f t="shared" si="16"/>
        <v>26.483334831893199</v>
      </c>
      <c r="L99" s="33">
        <f>'B) D RI'!S100</f>
        <v>69</v>
      </c>
      <c r="M99" s="465">
        <f t="shared" si="9"/>
        <v>42.516665168106798</v>
      </c>
      <c r="N99" s="457">
        <f>+'J) Plafonnement effort'!H98+'J) Plafonnement effort'!I98-'K) Plafonnement aide'!I98</f>
        <v>7.196314681484929</v>
      </c>
      <c r="O99" s="145">
        <f t="shared" si="10"/>
        <v>49.712979849591726</v>
      </c>
      <c r="P99" s="47">
        <f t="shared" si="11"/>
        <v>0</v>
      </c>
      <c r="Q99" s="55">
        <f t="shared" si="14"/>
        <v>0</v>
      </c>
      <c r="R99" s="145">
        <f t="shared" si="12"/>
        <v>49.712979849591726</v>
      </c>
      <c r="S99" s="125">
        <f t="shared" si="13"/>
        <v>-19.287020150408274</v>
      </c>
      <c r="T99" s="144">
        <f t="shared" si="17"/>
        <v>0</v>
      </c>
      <c r="V99" s="12"/>
    </row>
    <row r="100" spans="1:22" x14ac:dyDescent="0.25">
      <c r="A100" s="49">
        <f>'A) Base RI'!A101</f>
        <v>5556</v>
      </c>
      <c r="B100" s="351" t="str">
        <f>'A) Base RI'!B101</f>
        <v>Fiez</v>
      </c>
      <c r="C100" s="403">
        <v>206288.48251945456</v>
      </c>
      <c r="D100" s="403">
        <v>55859.413123639504</v>
      </c>
      <c r="E100" s="404">
        <v>0</v>
      </c>
      <c r="F100" s="404">
        <v>0</v>
      </c>
      <c r="G100" s="404">
        <v>0</v>
      </c>
      <c r="H100" s="403">
        <f t="shared" si="15"/>
        <v>262147.89564309409</v>
      </c>
      <c r="I100" s="404">
        <v>13049.601497584543</v>
      </c>
      <c r="J100" s="355">
        <f>'B) D RI'!U101</f>
        <v>13816.427753623188</v>
      </c>
      <c r="K100" s="62">
        <f t="shared" si="16"/>
        <v>20.088574788403861</v>
      </c>
      <c r="L100" s="33">
        <f>'B) D RI'!S101</f>
        <v>69</v>
      </c>
      <c r="M100" s="465">
        <f t="shared" si="9"/>
        <v>48.911425211596139</v>
      </c>
      <c r="N100" s="457">
        <f>+'J) Plafonnement effort'!H99+'J) Plafonnement effort'!I99-'K) Plafonnement aide'!I99</f>
        <v>16.334803009850734</v>
      </c>
      <c r="O100" s="145">
        <f t="shared" si="10"/>
        <v>65.24622822144687</v>
      </c>
      <c r="P100" s="47">
        <f t="shared" si="11"/>
        <v>0</v>
      </c>
      <c r="Q100" s="55">
        <f t="shared" si="14"/>
        <v>0</v>
      </c>
      <c r="R100" s="145">
        <f t="shared" si="12"/>
        <v>65.24622822144687</v>
      </c>
      <c r="S100" s="125">
        <f t="shared" si="13"/>
        <v>-3.7537717785531299</v>
      </c>
      <c r="T100" s="144">
        <f t="shared" si="17"/>
        <v>0</v>
      </c>
      <c r="V100" s="12"/>
    </row>
    <row r="101" spans="1:22" x14ac:dyDescent="0.25">
      <c r="A101" s="49">
        <f>'A) Base RI'!A102</f>
        <v>5557</v>
      </c>
      <c r="B101" s="351" t="str">
        <f>'A) Base RI'!B102</f>
        <v>Fontaines-sur-Grandson</v>
      </c>
      <c r="C101" s="403">
        <v>98355.440150835449</v>
      </c>
      <c r="D101" s="403">
        <v>36366.752145585924</v>
      </c>
      <c r="E101" s="404">
        <v>0</v>
      </c>
      <c r="F101" s="404">
        <v>0</v>
      </c>
      <c r="G101" s="404">
        <v>0</v>
      </c>
      <c r="H101" s="403">
        <f t="shared" si="15"/>
        <v>134722.19229642139</v>
      </c>
      <c r="I101" s="404">
        <v>6546.22</v>
      </c>
      <c r="J101" s="355">
        <f>'B) D RI'!U102</f>
        <v>5880.3275362318818</v>
      </c>
      <c r="K101" s="62">
        <f t="shared" si="16"/>
        <v>20.580150422140012</v>
      </c>
      <c r="L101" s="33">
        <f>'B) D RI'!S102</f>
        <v>69</v>
      </c>
      <c r="M101" s="465">
        <f t="shared" si="9"/>
        <v>48.419849577859992</v>
      </c>
      <c r="N101" s="457">
        <f>+'J) Plafonnement effort'!H100+'J) Plafonnement effort'!I100-'K) Plafonnement aide'!I100</f>
        <v>11.732636146334883</v>
      </c>
      <c r="O101" s="145">
        <f t="shared" si="10"/>
        <v>60.152485724194875</v>
      </c>
      <c r="P101" s="47">
        <f t="shared" si="11"/>
        <v>0</v>
      </c>
      <c r="Q101" s="55">
        <f t="shared" si="14"/>
        <v>0</v>
      </c>
      <c r="R101" s="145">
        <f t="shared" si="12"/>
        <v>60.152485724194875</v>
      </c>
      <c r="S101" s="125">
        <f t="shared" si="13"/>
        <v>-8.8475142758051248</v>
      </c>
      <c r="T101" s="144">
        <f t="shared" si="17"/>
        <v>0</v>
      </c>
      <c r="V101" s="12"/>
    </row>
    <row r="102" spans="1:22" x14ac:dyDescent="0.25">
      <c r="A102" s="49">
        <f>'A) Base RI'!A103</f>
        <v>5559</v>
      </c>
      <c r="B102" s="351" t="str">
        <f>'A) Base RI'!B103</f>
        <v>Giez</v>
      </c>
      <c r="C102" s="403">
        <v>364295.37595705438</v>
      </c>
      <c r="D102" s="403">
        <v>364578.59115765372</v>
      </c>
      <c r="E102" s="404">
        <v>0</v>
      </c>
      <c r="F102" s="404">
        <v>0</v>
      </c>
      <c r="G102" s="404">
        <v>0</v>
      </c>
      <c r="H102" s="403">
        <f t="shared" si="15"/>
        <v>728873.96711470815</v>
      </c>
      <c r="I102" s="404">
        <v>20822.479090909092</v>
      </c>
      <c r="J102" s="355">
        <f>'B) D RI'!U103</f>
        <v>16897.618636363641</v>
      </c>
      <c r="K102" s="62">
        <f t="shared" si="16"/>
        <v>35.004187730601586</v>
      </c>
      <c r="L102" s="33">
        <f>'B) D RI'!S103</f>
        <v>66</v>
      </c>
      <c r="M102" s="465">
        <f t="shared" si="9"/>
        <v>30.995812269398414</v>
      </c>
      <c r="N102" s="457">
        <f>+'J) Plafonnement effort'!H101+'J) Plafonnement effort'!I101-'K) Plafonnement aide'!I101</f>
        <v>25.743524787449687</v>
      </c>
      <c r="O102" s="145">
        <f t="shared" si="10"/>
        <v>56.7393370568481</v>
      </c>
      <c r="P102" s="47">
        <f t="shared" si="11"/>
        <v>0</v>
      </c>
      <c r="Q102" s="55">
        <f t="shared" si="14"/>
        <v>0</v>
      </c>
      <c r="R102" s="145">
        <f t="shared" si="12"/>
        <v>56.7393370568481</v>
      </c>
      <c r="S102" s="125">
        <f t="shared" si="13"/>
        <v>-9.2606629431518996</v>
      </c>
      <c r="T102" s="144">
        <f t="shared" si="17"/>
        <v>0</v>
      </c>
      <c r="V102" s="12"/>
    </row>
    <row r="103" spans="1:22" x14ac:dyDescent="0.25">
      <c r="A103" s="49">
        <f>'A) Base RI'!A104</f>
        <v>5560</v>
      </c>
      <c r="B103" s="351" t="str">
        <f>'A) Base RI'!B104</f>
        <v>Grandevent</v>
      </c>
      <c r="C103" s="403">
        <v>122977.11239867072</v>
      </c>
      <c r="D103" s="403">
        <v>64340.790759520853</v>
      </c>
      <c r="E103" s="404">
        <v>0</v>
      </c>
      <c r="F103" s="404">
        <v>0</v>
      </c>
      <c r="G103" s="404">
        <v>0</v>
      </c>
      <c r="H103" s="403">
        <f t="shared" si="15"/>
        <v>187317.90315819159</v>
      </c>
      <c r="I103" s="404">
        <v>7406.141029411765</v>
      </c>
      <c r="J103" s="355">
        <f>'B) D RI'!U104</f>
        <v>6167.8957352941179</v>
      </c>
      <c r="K103" s="62">
        <f t="shared" si="16"/>
        <v>25.292240913898635</v>
      </c>
      <c r="L103" s="33">
        <f>'B) D RI'!S104</f>
        <v>68</v>
      </c>
      <c r="M103" s="465">
        <f t="shared" si="9"/>
        <v>42.707759086101362</v>
      </c>
      <c r="N103" s="457">
        <f>+'J) Plafonnement effort'!H102+'J) Plafonnement effort'!I102-'K) Plafonnement aide'!I102</f>
        <v>12.417920027861991</v>
      </c>
      <c r="O103" s="145">
        <f t="shared" si="10"/>
        <v>55.125679113963351</v>
      </c>
      <c r="P103" s="47">
        <f t="shared" si="11"/>
        <v>0</v>
      </c>
      <c r="Q103" s="55">
        <f t="shared" si="14"/>
        <v>0</v>
      </c>
      <c r="R103" s="145">
        <f t="shared" si="12"/>
        <v>55.125679113963351</v>
      </c>
      <c r="S103" s="125">
        <f t="shared" si="13"/>
        <v>-12.874320886036649</v>
      </c>
      <c r="T103" s="144">
        <f t="shared" si="17"/>
        <v>0</v>
      </c>
      <c r="V103" s="12"/>
    </row>
    <row r="104" spans="1:22" x14ac:dyDescent="0.25">
      <c r="A104" s="49">
        <f>'A) Base RI'!A105</f>
        <v>5561</v>
      </c>
      <c r="B104" s="351" t="str">
        <f>'A) Base RI'!B105</f>
        <v>Grandson</v>
      </c>
      <c r="C104" s="403">
        <v>2986318.0711518014</v>
      </c>
      <c r="D104" s="403">
        <v>444924.22807393828</v>
      </c>
      <c r="E104" s="404">
        <v>0</v>
      </c>
      <c r="F104" s="404">
        <v>0</v>
      </c>
      <c r="G104" s="404">
        <v>0</v>
      </c>
      <c r="H104" s="403">
        <f t="shared" si="15"/>
        <v>3431242.2992257397</v>
      </c>
      <c r="I104" s="404">
        <v>113542.57695652173</v>
      </c>
      <c r="J104" s="355">
        <f>'B) D RI'!U105</f>
        <v>114753.11985507245</v>
      </c>
      <c r="K104" s="62">
        <f t="shared" si="16"/>
        <v>30.219873383177198</v>
      </c>
      <c r="L104" s="33">
        <f>'B) D RI'!S105</f>
        <v>69</v>
      </c>
      <c r="M104" s="465">
        <f t="shared" si="9"/>
        <v>38.780126616822798</v>
      </c>
      <c r="N104" s="457">
        <f>+'J) Plafonnement effort'!H103+'J) Plafonnement effort'!I103-'K) Plafonnement aide'!I103</f>
        <v>7.3361895353413056</v>
      </c>
      <c r="O104" s="145">
        <f t="shared" si="10"/>
        <v>46.116316152164103</v>
      </c>
      <c r="P104" s="47">
        <f t="shared" si="11"/>
        <v>0</v>
      </c>
      <c r="Q104" s="55">
        <f t="shared" si="14"/>
        <v>0</v>
      </c>
      <c r="R104" s="145">
        <f t="shared" si="12"/>
        <v>46.116316152164103</v>
      </c>
      <c r="S104" s="125">
        <f t="shared" si="13"/>
        <v>-22.883683847835897</v>
      </c>
      <c r="T104" s="144">
        <f t="shared" si="17"/>
        <v>0</v>
      </c>
      <c r="V104" s="12"/>
    </row>
    <row r="105" spans="1:22" x14ac:dyDescent="0.25">
      <c r="A105" s="49">
        <f>'A) Base RI'!A106</f>
        <v>5562</v>
      </c>
      <c r="B105" s="351" t="str">
        <f>'A) Base RI'!B106</f>
        <v>Mauborget</v>
      </c>
      <c r="C105" s="403">
        <v>122221.8768923741</v>
      </c>
      <c r="D105" s="403">
        <v>91453.760750337038</v>
      </c>
      <c r="E105" s="404">
        <v>0</v>
      </c>
      <c r="F105" s="404">
        <v>0</v>
      </c>
      <c r="G105" s="404">
        <v>0</v>
      </c>
      <c r="H105" s="403">
        <f t="shared" si="15"/>
        <v>213675.63764271114</v>
      </c>
      <c r="I105" s="404">
        <v>5487.2855</v>
      </c>
      <c r="J105" s="355">
        <f>'B) D RI'!U106</f>
        <v>6037.1574285714287</v>
      </c>
      <c r="K105" s="62">
        <f t="shared" si="16"/>
        <v>38.940134906906366</v>
      </c>
      <c r="L105" s="33">
        <f>'B) D RI'!S106</f>
        <v>70</v>
      </c>
      <c r="M105" s="465">
        <f t="shared" si="9"/>
        <v>31.059865093093634</v>
      </c>
      <c r="N105" s="457">
        <f>+'J) Plafonnement effort'!H104+'J) Plafonnement effort'!I104-'K) Plafonnement aide'!I104</f>
        <v>28.702112363114505</v>
      </c>
      <c r="O105" s="145">
        <f t="shared" si="10"/>
        <v>59.761977456208143</v>
      </c>
      <c r="P105" s="47">
        <f t="shared" si="11"/>
        <v>0</v>
      </c>
      <c r="Q105" s="55">
        <f t="shared" si="14"/>
        <v>0</v>
      </c>
      <c r="R105" s="145">
        <f t="shared" si="12"/>
        <v>59.761977456208143</v>
      </c>
      <c r="S105" s="125">
        <f t="shared" si="13"/>
        <v>-10.238022543791857</v>
      </c>
      <c r="T105" s="144">
        <f t="shared" si="17"/>
        <v>0</v>
      </c>
      <c r="V105" s="12"/>
    </row>
    <row r="106" spans="1:22" x14ac:dyDescent="0.25">
      <c r="A106" s="49">
        <f>'A) Base RI'!A107</f>
        <v>5563</v>
      </c>
      <c r="B106" s="351" t="str">
        <f>'A) Base RI'!B107</f>
        <v>Mutrux</v>
      </c>
      <c r="C106" s="403">
        <v>61475.003017297793</v>
      </c>
      <c r="D106" s="403">
        <v>-19497.495410032207</v>
      </c>
      <c r="E106" s="404">
        <v>0</v>
      </c>
      <c r="F106" s="404">
        <v>0</v>
      </c>
      <c r="G106" s="404">
        <v>0</v>
      </c>
      <c r="H106" s="403">
        <f t="shared" si="15"/>
        <v>41977.507607265587</v>
      </c>
      <c r="I106" s="404">
        <v>4022.9622499999991</v>
      </c>
      <c r="J106" s="355">
        <f>'B) D RI'!U107</f>
        <v>4073.5824999999995</v>
      </c>
      <c r="K106" s="62">
        <f t="shared" si="16"/>
        <v>10.434477133675713</v>
      </c>
      <c r="L106" s="33">
        <f>'B) D RI'!S107</f>
        <v>80</v>
      </c>
      <c r="M106" s="465">
        <f t="shared" si="9"/>
        <v>69.565522866324287</v>
      </c>
      <c r="N106" s="457">
        <f>+'J) Plafonnement effort'!H105+'J) Plafonnement effort'!I105-'K) Plafonnement aide'!I105</f>
        <v>-3.142834853142666</v>
      </c>
      <c r="O106" s="145">
        <f t="shared" si="10"/>
        <v>66.422688013181627</v>
      </c>
      <c r="P106" s="47">
        <f t="shared" si="11"/>
        <v>0</v>
      </c>
      <c r="Q106" s="55">
        <f t="shared" si="14"/>
        <v>0</v>
      </c>
      <c r="R106" s="145">
        <f t="shared" si="12"/>
        <v>66.422688013181627</v>
      </c>
      <c r="S106" s="125">
        <f t="shared" si="13"/>
        <v>-13.577311986818373</v>
      </c>
      <c r="T106" s="144">
        <f t="shared" si="17"/>
        <v>0</v>
      </c>
      <c r="V106" s="12"/>
    </row>
    <row r="107" spans="1:22" x14ac:dyDescent="0.25">
      <c r="A107" s="49">
        <f>'A) Base RI'!A108</f>
        <v>5564</v>
      </c>
      <c r="B107" s="351" t="str">
        <f>'A) Base RI'!B108</f>
        <v>Novalles</v>
      </c>
      <c r="C107" s="403">
        <v>33260.098682379146</v>
      </c>
      <c r="D107" s="403">
        <v>-23294.245708258917</v>
      </c>
      <c r="E107" s="404">
        <v>0</v>
      </c>
      <c r="F107" s="404">
        <v>0</v>
      </c>
      <c r="G107" s="404">
        <v>0</v>
      </c>
      <c r="H107" s="403">
        <f t="shared" si="15"/>
        <v>9965.8529741202292</v>
      </c>
      <c r="I107" s="404">
        <v>2263.2775657894736</v>
      </c>
      <c r="J107" s="355">
        <f>'B) D RI'!U108</f>
        <v>2091.5044407894734</v>
      </c>
      <c r="K107" s="62">
        <f t="shared" si="16"/>
        <v>4.4032835940049422</v>
      </c>
      <c r="L107" s="33">
        <f>'B) D RI'!S108</f>
        <v>76</v>
      </c>
      <c r="M107" s="465">
        <f t="shared" si="9"/>
        <v>71.596716405995053</v>
      </c>
      <c r="N107" s="457">
        <f>+'J) Plafonnement effort'!H106+'J) Plafonnement effort'!I106-'K) Plafonnement aide'!I106</f>
        <v>-4.3356806979944285</v>
      </c>
      <c r="O107" s="145">
        <f t="shared" si="10"/>
        <v>67.26103570800062</v>
      </c>
      <c r="P107" s="47">
        <f t="shared" si="11"/>
        <v>0</v>
      </c>
      <c r="Q107" s="55">
        <f t="shared" si="14"/>
        <v>0</v>
      </c>
      <c r="R107" s="145">
        <f t="shared" si="12"/>
        <v>67.26103570800062</v>
      </c>
      <c r="S107" s="125">
        <f t="shared" si="13"/>
        <v>-8.7389642919993804</v>
      </c>
      <c r="T107" s="144">
        <f t="shared" si="17"/>
        <v>0</v>
      </c>
      <c r="V107" s="12"/>
    </row>
    <row r="108" spans="1:22" x14ac:dyDescent="0.25">
      <c r="A108" s="49">
        <f>'A) Base RI'!A109</f>
        <v>5565</v>
      </c>
      <c r="B108" s="351" t="str">
        <f>'A) Base RI'!B109</f>
        <v>Onnens</v>
      </c>
      <c r="C108" s="403">
        <v>361511.26226493128</v>
      </c>
      <c r="D108" s="403">
        <v>224880.49322337148</v>
      </c>
      <c r="E108" s="404">
        <v>0</v>
      </c>
      <c r="F108" s="404">
        <v>0</v>
      </c>
      <c r="G108" s="404">
        <v>0</v>
      </c>
      <c r="H108" s="403">
        <f t="shared" si="15"/>
        <v>586391.75548830279</v>
      </c>
      <c r="I108" s="404">
        <v>18486.800307692305</v>
      </c>
      <c r="J108" s="355">
        <f>'B) D RI'!U109</f>
        <v>19690.582047244097</v>
      </c>
      <c r="K108" s="62">
        <f t="shared" si="16"/>
        <v>31.719483400505325</v>
      </c>
      <c r="L108" s="33">
        <f>'B) D RI'!S109</f>
        <v>63.5</v>
      </c>
      <c r="M108" s="465">
        <f t="shared" si="9"/>
        <v>31.780516599494675</v>
      </c>
      <c r="N108" s="457">
        <f>+'J) Plafonnement effort'!H107+'J) Plafonnement effort'!I107-'K) Plafonnement aide'!I107</f>
        <v>23.42529122511467</v>
      </c>
      <c r="O108" s="145">
        <f t="shared" si="10"/>
        <v>55.205807824609344</v>
      </c>
      <c r="P108" s="47">
        <f t="shared" si="11"/>
        <v>0</v>
      </c>
      <c r="Q108" s="55">
        <f t="shared" si="14"/>
        <v>0</v>
      </c>
      <c r="R108" s="145">
        <f t="shared" si="12"/>
        <v>55.205807824609344</v>
      </c>
      <c r="S108" s="125">
        <f t="shared" si="13"/>
        <v>-8.2941921753906556</v>
      </c>
      <c r="T108" s="144">
        <f t="shared" si="17"/>
        <v>0</v>
      </c>
      <c r="V108" s="12"/>
    </row>
    <row r="109" spans="1:22" x14ac:dyDescent="0.25">
      <c r="A109" s="49">
        <f>'A) Base RI'!A110</f>
        <v>5566</v>
      </c>
      <c r="B109" s="351" t="str">
        <f>'A) Base RI'!B110</f>
        <v>Provence</v>
      </c>
      <c r="C109" s="403">
        <v>168501.83347285248</v>
      </c>
      <c r="D109" s="403">
        <v>-121252.90809327093</v>
      </c>
      <c r="E109" s="404">
        <v>0</v>
      </c>
      <c r="F109" s="404">
        <v>0</v>
      </c>
      <c r="G109" s="404">
        <v>0</v>
      </c>
      <c r="H109" s="403">
        <f t="shared" si="15"/>
        <v>47248.925379581546</v>
      </c>
      <c r="I109" s="404">
        <v>8488.3012345678999</v>
      </c>
      <c r="J109" s="355">
        <f>'B) D RI'!U110</f>
        <v>7598.735102880657</v>
      </c>
      <c r="K109" s="62">
        <f t="shared" si="16"/>
        <v>5.5663582233821103</v>
      </c>
      <c r="L109" s="33">
        <f>'B) D RI'!S110</f>
        <v>81</v>
      </c>
      <c r="M109" s="465">
        <f t="shared" si="9"/>
        <v>75.43364177661789</v>
      </c>
      <c r="N109" s="457">
        <f>+'J) Plafonnement effort'!H108+'J) Plafonnement effort'!I108-'K) Plafonnement aide'!I108</f>
        <v>-55.6284783662122</v>
      </c>
      <c r="O109" s="145">
        <f t="shared" si="10"/>
        <v>19.80516341040569</v>
      </c>
      <c r="P109" s="47">
        <f t="shared" si="11"/>
        <v>0</v>
      </c>
      <c r="Q109" s="55">
        <f t="shared" si="14"/>
        <v>0</v>
      </c>
      <c r="R109" s="145">
        <f t="shared" si="12"/>
        <v>19.80516341040569</v>
      </c>
      <c r="S109" s="125">
        <f t="shared" si="13"/>
        <v>-61.19483658959431</v>
      </c>
      <c r="T109" s="144">
        <f t="shared" si="17"/>
        <v>0</v>
      </c>
      <c r="V109" s="12"/>
    </row>
    <row r="110" spans="1:22" x14ac:dyDescent="0.25">
      <c r="A110" s="49">
        <f>'A) Base RI'!A111</f>
        <v>5568</v>
      </c>
      <c r="B110" s="351" t="str">
        <f>'A) Base RI'!B111</f>
        <v>Sainte-Croix</v>
      </c>
      <c r="C110" s="403">
        <v>2665555.4979151306</v>
      </c>
      <c r="D110" s="403">
        <v>-1939572.9961110265</v>
      </c>
      <c r="E110" s="404">
        <v>0</v>
      </c>
      <c r="F110" s="404">
        <v>0</v>
      </c>
      <c r="G110" s="404">
        <v>0</v>
      </c>
      <c r="H110" s="403">
        <f t="shared" si="15"/>
        <v>725982.50180410407</v>
      </c>
      <c r="I110" s="404">
        <v>109300.43271428571</v>
      </c>
      <c r="J110" s="355">
        <f>'B) D RI'!U111</f>
        <v>106515.47628571428</v>
      </c>
      <c r="K110" s="62">
        <f t="shared" si="16"/>
        <v>6.6420825954261495</v>
      </c>
      <c r="L110" s="33">
        <f>'B) D RI'!S111</f>
        <v>70</v>
      </c>
      <c r="M110" s="465">
        <f t="shared" si="9"/>
        <v>63.357917404573854</v>
      </c>
      <c r="N110" s="457">
        <f>+'J) Plafonnement effort'!H109+'J) Plafonnement effort'!I109-'K) Plafonnement aide'!I109</f>
        <v>-21.89158363150608</v>
      </c>
      <c r="O110" s="145">
        <f t="shared" si="10"/>
        <v>41.466333773067774</v>
      </c>
      <c r="P110" s="47">
        <f t="shared" si="11"/>
        <v>0</v>
      </c>
      <c r="Q110" s="55">
        <f t="shared" si="14"/>
        <v>0</v>
      </c>
      <c r="R110" s="145">
        <f t="shared" si="12"/>
        <v>41.466333773067774</v>
      </c>
      <c r="S110" s="125">
        <f t="shared" si="13"/>
        <v>-28.533666226932226</v>
      </c>
      <c r="T110" s="144">
        <f t="shared" si="17"/>
        <v>0</v>
      </c>
      <c r="V110" s="12"/>
    </row>
    <row r="111" spans="1:22" x14ac:dyDescent="0.25">
      <c r="A111" s="49">
        <f>'A) Base RI'!A112</f>
        <v>5571</v>
      </c>
      <c r="B111" s="351" t="str">
        <f>'A) Base RI'!B112</f>
        <v>Tévenon</v>
      </c>
      <c r="C111" s="403">
        <v>434211.14091728063</v>
      </c>
      <c r="D111" s="403">
        <v>16622.248749252118</v>
      </c>
      <c r="E111" s="404">
        <v>0</v>
      </c>
      <c r="F111" s="404">
        <v>0</v>
      </c>
      <c r="G111" s="404">
        <v>0</v>
      </c>
      <c r="H111" s="403">
        <f t="shared" si="15"/>
        <v>450833.38966653275</v>
      </c>
      <c r="I111" s="404">
        <v>24815.960251141551</v>
      </c>
      <c r="J111" s="355">
        <f>'B) D RI'!U112</f>
        <v>21380.087226107229</v>
      </c>
      <c r="K111" s="62">
        <f t="shared" si="16"/>
        <v>18.16707413712891</v>
      </c>
      <c r="L111" s="33">
        <f>'B) D RI'!S112</f>
        <v>71.5</v>
      </c>
      <c r="M111" s="465">
        <f t="shared" si="9"/>
        <v>53.332925862871093</v>
      </c>
      <c r="N111" s="457">
        <f>+'J) Plafonnement effort'!H110+'J) Plafonnement effort'!I110-'K) Plafonnement aide'!I110</f>
        <v>-0.74015846888183834</v>
      </c>
      <c r="O111" s="145">
        <f t="shared" si="10"/>
        <v>52.592767393989256</v>
      </c>
      <c r="P111" s="47">
        <f t="shared" si="11"/>
        <v>0</v>
      </c>
      <c r="Q111" s="55">
        <f t="shared" si="14"/>
        <v>0</v>
      </c>
      <c r="R111" s="145">
        <f t="shared" si="12"/>
        <v>52.592767393989256</v>
      </c>
      <c r="S111" s="125">
        <f t="shared" si="13"/>
        <v>-18.907232606010744</v>
      </c>
      <c r="T111" s="144">
        <f t="shared" si="17"/>
        <v>0</v>
      </c>
      <c r="V111" s="12"/>
    </row>
    <row r="112" spans="1:22" x14ac:dyDescent="0.25">
      <c r="A112" s="49">
        <f>'A) Base RI'!A113</f>
        <v>5581</v>
      </c>
      <c r="B112" s="351" t="str">
        <f>'A) Base RI'!B113</f>
        <v>Belmont-sur-Lausanne</v>
      </c>
      <c r="C112" s="403">
        <v>3272414.9370178939</v>
      </c>
      <c r="D112" s="403">
        <v>2539156.0365479374</v>
      </c>
      <c r="E112" s="404">
        <v>0</v>
      </c>
      <c r="F112" s="404">
        <v>0</v>
      </c>
      <c r="G112" s="404">
        <v>0</v>
      </c>
      <c r="H112" s="403">
        <f t="shared" si="15"/>
        <v>5811570.9735658318</v>
      </c>
      <c r="I112" s="404">
        <v>187774.68592592591</v>
      </c>
      <c r="J112" s="355">
        <f>'B) D RI'!U113</f>
        <v>212445.65069444443</v>
      </c>
      <c r="K112" s="62">
        <f t="shared" si="16"/>
        <v>30.949704135617104</v>
      </c>
      <c r="L112" s="33">
        <f>'B) D RI'!S113</f>
        <v>72</v>
      </c>
      <c r="M112" s="465">
        <f t="shared" si="9"/>
        <v>41.050295864382896</v>
      </c>
      <c r="N112" s="457">
        <f>+'J) Plafonnement effort'!H111+'J) Plafonnement effort'!I111-'K) Plafonnement aide'!I111</f>
        <v>25.776057458283688</v>
      </c>
      <c r="O112" s="145">
        <f t="shared" si="10"/>
        <v>66.826353322666591</v>
      </c>
      <c r="P112" s="47">
        <f t="shared" si="11"/>
        <v>0</v>
      </c>
      <c r="Q112" s="55">
        <f t="shared" si="14"/>
        <v>0</v>
      </c>
      <c r="R112" s="145">
        <f t="shared" si="12"/>
        <v>66.826353322666591</v>
      </c>
      <c r="S112" s="125">
        <f t="shared" si="13"/>
        <v>-5.1736466773334087</v>
      </c>
      <c r="T112" s="144">
        <f t="shared" si="17"/>
        <v>0</v>
      </c>
      <c r="V112" s="12"/>
    </row>
    <row r="113" spans="1:22" x14ac:dyDescent="0.25">
      <c r="A113" s="49">
        <f>'A) Base RI'!A114</f>
        <v>5582</v>
      </c>
      <c r="B113" s="351" t="str">
        <f>'A) Base RI'!B114</f>
        <v>Cheseaux-sur-Lausanne</v>
      </c>
      <c r="C113" s="403">
        <v>3062948.4990868662</v>
      </c>
      <c r="D113" s="403">
        <v>1023789.2528102752</v>
      </c>
      <c r="E113" s="404">
        <v>0</v>
      </c>
      <c r="F113" s="404">
        <v>0</v>
      </c>
      <c r="G113" s="404">
        <v>0</v>
      </c>
      <c r="H113" s="403">
        <f t="shared" si="15"/>
        <v>4086737.7518971413</v>
      </c>
      <c r="I113" s="404">
        <v>167195.61731543625</v>
      </c>
      <c r="J113" s="355">
        <f>'B) D RI'!U114</f>
        <v>163780.29383561644</v>
      </c>
      <c r="K113" s="62">
        <f t="shared" si="16"/>
        <v>24.442852136410846</v>
      </c>
      <c r="L113" s="33">
        <f>'B) D RI'!S114</f>
        <v>73</v>
      </c>
      <c r="M113" s="465">
        <f t="shared" si="9"/>
        <v>48.557147863589151</v>
      </c>
      <c r="N113" s="457">
        <f>+'J) Plafonnement effort'!H112+'J) Plafonnement effort'!I112-'K) Plafonnement aide'!I112</f>
        <v>14.948449069098436</v>
      </c>
      <c r="O113" s="145">
        <f t="shared" si="10"/>
        <v>63.505596932687588</v>
      </c>
      <c r="P113" s="47">
        <f t="shared" si="11"/>
        <v>0</v>
      </c>
      <c r="Q113" s="55">
        <f t="shared" si="14"/>
        <v>0</v>
      </c>
      <c r="R113" s="145">
        <f t="shared" si="12"/>
        <v>63.505596932687588</v>
      </c>
      <c r="S113" s="125">
        <f t="shared" si="13"/>
        <v>-9.4944030673124118</v>
      </c>
      <c r="T113" s="144">
        <f t="shared" si="17"/>
        <v>0</v>
      </c>
      <c r="V113" s="12"/>
    </row>
    <row r="114" spans="1:22" x14ac:dyDescent="0.25">
      <c r="A114" s="49">
        <f>'A) Base RI'!A115</f>
        <v>5583</v>
      </c>
      <c r="B114" s="351" t="str">
        <f>'A) Base RI'!B115</f>
        <v>Crissier</v>
      </c>
      <c r="C114" s="403">
        <v>6044271.6497843657</v>
      </c>
      <c r="D114" s="403">
        <v>1639038.1392702311</v>
      </c>
      <c r="E114" s="404">
        <v>0</v>
      </c>
      <c r="F114" s="404">
        <v>0</v>
      </c>
      <c r="G114" s="404">
        <v>0</v>
      </c>
      <c r="H114" s="403">
        <f t="shared" si="15"/>
        <v>7683309.7890545968</v>
      </c>
      <c r="I114" s="404">
        <v>313349.85476923082</v>
      </c>
      <c r="J114" s="355">
        <f>'B) D RI'!U115</f>
        <v>368095.30976377946</v>
      </c>
      <c r="K114" s="62">
        <f t="shared" si="16"/>
        <v>24.51990856901158</v>
      </c>
      <c r="L114" s="33">
        <f>'B) D RI'!S115</f>
        <v>63.5</v>
      </c>
      <c r="M114" s="465">
        <f t="shared" si="9"/>
        <v>38.980091430988423</v>
      </c>
      <c r="N114" s="457">
        <f>+'J) Plafonnement effort'!H113+'J) Plafonnement effort'!I113-'K) Plafonnement aide'!I113</f>
        <v>12.118945577263997</v>
      </c>
      <c r="O114" s="145">
        <f t="shared" si="10"/>
        <v>51.099037008252424</v>
      </c>
      <c r="P114" s="47">
        <f t="shared" si="11"/>
        <v>0</v>
      </c>
      <c r="Q114" s="55">
        <f t="shared" si="14"/>
        <v>0</v>
      </c>
      <c r="R114" s="145">
        <f t="shared" si="12"/>
        <v>51.099037008252424</v>
      </c>
      <c r="S114" s="125">
        <f t="shared" si="13"/>
        <v>-12.400962991747576</v>
      </c>
      <c r="T114" s="144">
        <f t="shared" si="17"/>
        <v>0</v>
      </c>
      <c r="V114" s="12"/>
    </row>
    <row r="115" spans="1:22" x14ac:dyDescent="0.25">
      <c r="A115" s="49">
        <f>'A) Base RI'!A116</f>
        <v>5584</v>
      </c>
      <c r="B115" s="351" t="str">
        <f>'A) Base RI'!B116</f>
        <v>Epalinges</v>
      </c>
      <c r="C115" s="403">
        <v>8434738.2742269207</v>
      </c>
      <c r="D115" s="403">
        <v>4659906.7272477318</v>
      </c>
      <c r="E115" s="404">
        <v>0</v>
      </c>
      <c r="F115" s="404">
        <v>0</v>
      </c>
      <c r="G115" s="404">
        <v>0</v>
      </c>
      <c r="H115" s="403">
        <f t="shared" si="15"/>
        <v>13094645.001474652</v>
      </c>
      <c r="I115" s="404">
        <v>475091.38424242428</v>
      </c>
      <c r="J115" s="355">
        <f>'B) D RI'!U116</f>
        <v>482115.91751937981</v>
      </c>
      <c r="K115" s="62">
        <f t="shared" si="16"/>
        <v>27.562371021219917</v>
      </c>
      <c r="L115" s="33">
        <f>'B) D RI'!S116</f>
        <v>64.5</v>
      </c>
      <c r="M115" s="465">
        <f t="shared" ref="M115:M166" si="18">L115-K115</f>
        <v>36.937628978780083</v>
      </c>
      <c r="N115" s="457">
        <f>+'J) Plafonnement effort'!H114+'J) Plafonnement effort'!I114-'K) Plafonnement aide'!I114</f>
        <v>15.982539871084571</v>
      </c>
      <c r="O115" s="145">
        <f t="shared" ref="O115:O166" si="19">M115+N115</f>
        <v>52.920168849864652</v>
      </c>
      <c r="P115" s="47">
        <f t="shared" ref="P115:P166" si="20">IF(O115&gt;$P$5,$P$5-O115,0)</f>
        <v>0</v>
      </c>
      <c r="Q115" s="55">
        <f t="shared" si="14"/>
        <v>0</v>
      </c>
      <c r="R115" s="145">
        <f t="shared" ref="R115:R166" si="21">O115+P115</f>
        <v>52.920168849864652</v>
      </c>
      <c r="S115" s="125">
        <f t="shared" ref="S115:S166" si="22">R115-L115</f>
        <v>-11.579831150135348</v>
      </c>
      <c r="T115" s="144">
        <f t="shared" si="17"/>
        <v>0</v>
      </c>
      <c r="V115" s="12"/>
    </row>
    <row r="116" spans="1:22" x14ac:dyDescent="0.25">
      <c r="A116" s="49">
        <f>'A) Base RI'!A117</f>
        <v>5585</v>
      </c>
      <c r="B116" s="351" t="str">
        <f>'A) Base RI'!B117</f>
        <v>Jouxtens-Mézery</v>
      </c>
      <c r="C116" s="403">
        <v>7887589.3596754055</v>
      </c>
      <c r="D116" s="403">
        <v>4321014.7699577641</v>
      </c>
      <c r="E116" s="404">
        <v>0</v>
      </c>
      <c r="F116" s="404">
        <v>-1872325.9948874046</v>
      </c>
      <c r="G116" s="404">
        <v>0</v>
      </c>
      <c r="H116" s="403">
        <f t="shared" si="15"/>
        <v>10336278.134745765</v>
      </c>
      <c r="I116" s="404">
        <v>229695.06966101698</v>
      </c>
      <c r="J116" s="355">
        <f>'B) D RI'!U117</f>
        <v>202487.97135593221</v>
      </c>
      <c r="K116" s="62">
        <f t="shared" si="16"/>
        <v>45.000000000000007</v>
      </c>
      <c r="L116" s="33">
        <f>'B) D RI'!S117</f>
        <v>59</v>
      </c>
      <c r="M116" s="465">
        <f t="shared" si="18"/>
        <v>13.999999999999993</v>
      </c>
      <c r="N116" s="457">
        <f>+'J) Plafonnement effort'!H115+'J) Plafonnement effort'!I115-'K) Plafonnement aide'!I115</f>
        <v>47.588728760390524</v>
      </c>
      <c r="O116" s="145">
        <f t="shared" si="19"/>
        <v>61.588728760390516</v>
      </c>
      <c r="P116" s="47">
        <f t="shared" si="20"/>
        <v>0</v>
      </c>
      <c r="Q116" s="55">
        <f t="shared" si="14"/>
        <v>0</v>
      </c>
      <c r="R116" s="145">
        <f t="shared" si="21"/>
        <v>61.588728760390516</v>
      </c>
      <c r="S116" s="125">
        <f t="shared" si="22"/>
        <v>2.5887287603905165</v>
      </c>
      <c r="T116" s="144">
        <f t="shared" si="17"/>
        <v>0</v>
      </c>
      <c r="V116" s="12"/>
    </row>
    <row r="117" spans="1:22" x14ac:dyDescent="0.25">
      <c r="A117" s="49">
        <f>'A) Base RI'!A118</f>
        <v>5586</v>
      </c>
      <c r="B117" s="351" t="str">
        <f>'A) Base RI'!B118</f>
        <v>Lausanne</v>
      </c>
      <c r="C117" s="403">
        <v>108920136.56291933</v>
      </c>
      <c r="D117" s="403">
        <v>-34138159.861661166</v>
      </c>
      <c r="E117" s="404">
        <v>0</v>
      </c>
      <c r="F117" s="404">
        <v>0</v>
      </c>
      <c r="G117" s="404">
        <v>0</v>
      </c>
      <c r="H117" s="403">
        <f t="shared" si="15"/>
        <v>74781976.701258168</v>
      </c>
      <c r="I117" s="404">
        <v>6038274.9810970454</v>
      </c>
      <c r="J117" s="355">
        <f>'B) D RI'!U118</f>
        <v>6272364.2800849257</v>
      </c>
      <c r="K117" s="62">
        <f t="shared" si="16"/>
        <v>12.384659018571499</v>
      </c>
      <c r="L117" s="33">
        <f>'B) D RI'!S118</f>
        <v>78.5</v>
      </c>
      <c r="M117" s="465">
        <f t="shared" si="18"/>
        <v>66.115340981428503</v>
      </c>
      <c r="N117" s="457">
        <f>+'J) Plafonnement effort'!H116+'J) Plafonnement effort'!I116-'K) Plafonnement aide'!I116</f>
        <v>1.2067303883686096</v>
      </c>
      <c r="O117" s="145">
        <f t="shared" si="19"/>
        <v>67.322071369797115</v>
      </c>
      <c r="P117" s="47">
        <f t="shared" si="20"/>
        <v>0</v>
      </c>
      <c r="Q117" s="55">
        <f t="shared" si="14"/>
        <v>0</v>
      </c>
      <c r="R117" s="145">
        <f t="shared" si="21"/>
        <v>67.322071369797115</v>
      </c>
      <c r="S117" s="125">
        <f t="shared" si="22"/>
        <v>-11.177928630202885</v>
      </c>
      <c r="T117" s="144">
        <f t="shared" si="17"/>
        <v>0</v>
      </c>
      <c r="V117" s="12"/>
    </row>
    <row r="118" spans="1:22" x14ac:dyDescent="0.25">
      <c r="A118" s="49">
        <f>'A) Base RI'!A119</f>
        <v>5587</v>
      </c>
      <c r="B118" s="351" t="str">
        <f>'A) Base RI'!B119</f>
        <v>Le Mont-sur-Lausanne</v>
      </c>
      <c r="C118" s="403">
        <v>7555978.8820711616</v>
      </c>
      <c r="D118" s="403">
        <v>4510627.8405609569</v>
      </c>
      <c r="E118" s="404">
        <v>0</v>
      </c>
      <c r="F118" s="404">
        <v>0</v>
      </c>
      <c r="G118" s="404">
        <v>0</v>
      </c>
      <c r="H118" s="403">
        <f t="shared" si="15"/>
        <v>12066606.722632118</v>
      </c>
      <c r="I118" s="404">
        <v>437426.32075555553</v>
      </c>
      <c r="J118" s="355">
        <f>'B) D RI'!U119</f>
        <v>442860.74013605446</v>
      </c>
      <c r="K118" s="62">
        <f t="shared" si="16"/>
        <v>27.585461025275684</v>
      </c>
      <c r="L118" s="33">
        <f>'B) D RI'!S119</f>
        <v>73.5</v>
      </c>
      <c r="M118" s="465">
        <f t="shared" si="18"/>
        <v>45.914538974724316</v>
      </c>
      <c r="N118" s="457">
        <f>+'J) Plafonnement effort'!H117+'J) Plafonnement effort'!I117-'K) Plafonnement aide'!I117</f>
        <v>18.170974953145837</v>
      </c>
      <c r="O118" s="145">
        <f t="shared" si="19"/>
        <v>64.085513927870153</v>
      </c>
      <c r="P118" s="47">
        <f t="shared" si="20"/>
        <v>0</v>
      </c>
      <c r="Q118" s="55">
        <f t="shared" ref="Q118:Q167" si="23">P118*J118</f>
        <v>0</v>
      </c>
      <c r="R118" s="145">
        <f t="shared" si="21"/>
        <v>64.085513927870153</v>
      </c>
      <c r="S118" s="125">
        <f t="shared" si="22"/>
        <v>-9.4144860721298471</v>
      </c>
      <c r="T118" s="144">
        <f t="shared" si="17"/>
        <v>0</v>
      </c>
      <c r="V118" s="12"/>
    </row>
    <row r="119" spans="1:22" x14ac:dyDescent="0.25">
      <c r="A119" s="49">
        <f>'A) Base RI'!A120</f>
        <v>5588</v>
      </c>
      <c r="B119" s="351" t="str">
        <f>'A) Base RI'!B120</f>
        <v>Paudex</v>
      </c>
      <c r="C119" s="403">
        <v>3415240.8549245796</v>
      </c>
      <c r="D119" s="403">
        <v>2379896.9766078112</v>
      </c>
      <c r="E119" s="404">
        <v>0</v>
      </c>
      <c r="F119" s="404">
        <v>0</v>
      </c>
      <c r="G119" s="404">
        <v>0</v>
      </c>
      <c r="H119" s="403">
        <f t="shared" si="15"/>
        <v>5795137.8315323908</v>
      </c>
      <c r="I119" s="404">
        <v>134588.09264705883</v>
      </c>
      <c r="J119" s="355">
        <f>'B) D RI'!U120</f>
        <v>135448.58760472611</v>
      </c>
      <c r="K119" s="62">
        <f t="shared" si="16"/>
        <v>43.058324979234577</v>
      </c>
      <c r="L119" s="33">
        <f>'B) D RI'!S120</f>
        <v>66.5</v>
      </c>
      <c r="M119" s="465">
        <f t="shared" si="18"/>
        <v>23.441675020765423</v>
      </c>
      <c r="N119" s="457">
        <f>+'J) Plafonnement effort'!H118+'J) Plafonnement effort'!I118-'K) Plafonnement aide'!I118</f>
        <v>39.884826100070775</v>
      </c>
      <c r="O119" s="145">
        <f t="shared" si="19"/>
        <v>63.326501120836198</v>
      </c>
      <c r="P119" s="47">
        <f t="shared" si="20"/>
        <v>0</v>
      </c>
      <c r="Q119" s="55">
        <f t="shared" si="23"/>
        <v>0</v>
      </c>
      <c r="R119" s="145">
        <f t="shared" si="21"/>
        <v>63.326501120836198</v>
      </c>
      <c r="S119" s="125">
        <f t="shared" si="22"/>
        <v>-3.1734988791638017</v>
      </c>
      <c r="T119" s="144">
        <f t="shared" si="17"/>
        <v>0</v>
      </c>
      <c r="V119" s="12"/>
    </row>
    <row r="120" spans="1:22" x14ac:dyDescent="0.25">
      <c r="A120" s="49">
        <f>'A) Base RI'!A121</f>
        <v>5589</v>
      </c>
      <c r="B120" s="351" t="str">
        <f>'A) Base RI'!B121</f>
        <v>Prilly</v>
      </c>
      <c r="C120" s="403">
        <v>7233589.5168114295</v>
      </c>
      <c r="D120" s="403">
        <v>-2447992.579830314</v>
      </c>
      <c r="E120" s="404">
        <v>0</v>
      </c>
      <c r="F120" s="404">
        <v>0</v>
      </c>
      <c r="G120" s="404">
        <v>0</v>
      </c>
      <c r="H120" s="403">
        <f t="shared" si="15"/>
        <v>4785596.9369811155</v>
      </c>
      <c r="I120" s="404">
        <v>418113.86360020924</v>
      </c>
      <c r="J120" s="355">
        <f>'B) D RI'!U121</f>
        <v>455017.22467904515</v>
      </c>
      <c r="K120" s="62">
        <f t="shared" si="16"/>
        <v>11.445678686122189</v>
      </c>
      <c r="L120" s="33">
        <f>'B) D RI'!S121</f>
        <v>72.5</v>
      </c>
      <c r="M120" s="465">
        <f t="shared" si="18"/>
        <v>61.054321313877807</v>
      </c>
      <c r="N120" s="457">
        <f>+'J) Plafonnement effort'!H119+'J) Plafonnement effort'!I119-'K) Plafonnement aide'!I119</f>
        <v>4.7986403950779</v>
      </c>
      <c r="O120" s="145">
        <f t="shared" si="19"/>
        <v>65.852961708955704</v>
      </c>
      <c r="P120" s="47">
        <f t="shared" si="20"/>
        <v>0</v>
      </c>
      <c r="Q120" s="55">
        <f t="shared" si="23"/>
        <v>0</v>
      </c>
      <c r="R120" s="145">
        <f t="shared" si="21"/>
        <v>65.852961708955704</v>
      </c>
      <c r="S120" s="125">
        <f t="shared" si="22"/>
        <v>-6.6470382910442964</v>
      </c>
      <c r="T120" s="144">
        <f t="shared" si="17"/>
        <v>0</v>
      </c>
      <c r="V120" s="12"/>
    </row>
    <row r="121" spans="1:22" x14ac:dyDescent="0.25">
      <c r="A121" s="49">
        <f>'A) Base RI'!A122</f>
        <v>5590</v>
      </c>
      <c r="B121" s="351" t="str">
        <f>'A) Base RI'!B122</f>
        <v>Pully</v>
      </c>
      <c r="C121" s="403">
        <v>39946403.184118681</v>
      </c>
      <c r="D121" s="403">
        <v>17159773.672288485</v>
      </c>
      <c r="E121" s="404">
        <v>0</v>
      </c>
      <c r="F121" s="404">
        <v>0</v>
      </c>
      <c r="G121" s="404">
        <v>0</v>
      </c>
      <c r="H121" s="403">
        <f t="shared" si="15"/>
        <v>57106176.856407166</v>
      </c>
      <c r="I121" s="404">
        <v>1533094.7704683845</v>
      </c>
      <c r="J121" s="355">
        <f>'B) D RI'!U122</f>
        <v>1478979.5848477751</v>
      </c>
      <c r="K121" s="62">
        <f t="shared" si="16"/>
        <v>37.248954178455868</v>
      </c>
      <c r="L121" s="33">
        <f>'B) D RI'!S122</f>
        <v>61</v>
      </c>
      <c r="M121" s="465">
        <f t="shared" si="18"/>
        <v>23.751045821544132</v>
      </c>
      <c r="N121" s="457">
        <f>+'J) Plafonnement effort'!H120+'J) Plafonnement effort'!I120-'K) Plafonnement aide'!I120</f>
        <v>28.88726685516815</v>
      </c>
      <c r="O121" s="145">
        <f t="shared" si="19"/>
        <v>52.638312676712282</v>
      </c>
      <c r="P121" s="47">
        <f t="shared" si="20"/>
        <v>0</v>
      </c>
      <c r="Q121" s="55">
        <f t="shared" si="23"/>
        <v>0</v>
      </c>
      <c r="R121" s="145">
        <f t="shared" si="21"/>
        <v>52.638312676712282</v>
      </c>
      <c r="S121" s="125">
        <f t="shared" si="22"/>
        <v>-8.3616873232877182</v>
      </c>
      <c r="T121" s="144">
        <f t="shared" si="17"/>
        <v>0</v>
      </c>
      <c r="V121" s="12"/>
    </row>
    <row r="122" spans="1:22" x14ac:dyDescent="0.25">
      <c r="A122" s="49">
        <f>'A) Base RI'!A123</f>
        <v>5591</v>
      </c>
      <c r="B122" s="351" t="str">
        <f>'A) Base RI'!B123</f>
        <v>Renens</v>
      </c>
      <c r="C122" s="403">
        <v>10244932.356363542</v>
      </c>
      <c r="D122" s="403">
        <v>-15136672.70904661</v>
      </c>
      <c r="E122" s="404">
        <v>386713.92735094792</v>
      </c>
      <c r="F122" s="404">
        <v>0</v>
      </c>
      <c r="G122" s="404">
        <v>0</v>
      </c>
      <c r="H122" s="403">
        <f t="shared" si="15"/>
        <v>-4505026.4253321197</v>
      </c>
      <c r="I122" s="404">
        <v>563128.30316651508</v>
      </c>
      <c r="J122" s="355">
        <f>'B) D RI'!U123</f>
        <v>596748.60283858993</v>
      </c>
      <c r="K122" s="62">
        <f t="shared" si="16"/>
        <v>-7.9999999999999982</v>
      </c>
      <c r="L122" s="33">
        <f>'B) D RI'!S123</f>
        <v>77</v>
      </c>
      <c r="M122" s="465">
        <f t="shared" si="18"/>
        <v>85</v>
      </c>
      <c r="N122" s="457">
        <f>+'J) Plafonnement effort'!H121+'J) Plafonnement effort'!I121-'K) Plafonnement aide'!I121</f>
        <v>-19.69880368044749</v>
      </c>
      <c r="O122" s="145">
        <f t="shared" si="19"/>
        <v>65.301196319552503</v>
      </c>
      <c r="P122" s="47">
        <f t="shared" si="20"/>
        <v>0</v>
      </c>
      <c r="Q122" s="55">
        <f t="shared" si="23"/>
        <v>0</v>
      </c>
      <c r="R122" s="145">
        <f t="shared" si="21"/>
        <v>65.301196319552503</v>
      </c>
      <c r="S122" s="125">
        <f t="shared" si="22"/>
        <v>-11.698803680447497</v>
      </c>
      <c r="T122" s="144">
        <f t="shared" si="17"/>
        <v>0</v>
      </c>
      <c r="V122" s="12"/>
    </row>
    <row r="123" spans="1:22" x14ac:dyDescent="0.25">
      <c r="A123" s="49">
        <f>'A) Base RI'!A124</f>
        <v>5592</v>
      </c>
      <c r="B123" s="351" t="str">
        <f>'A) Base RI'!B124</f>
        <v>Romanel-sur-Lausanne</v>
      </c>
      <c r="C123" s="403">
        <v>2028734.5267953984</v>
      </c>
      <c r="D123" s="403">
        <v>444442.76554978546</v>
      </c>
      <c r="E123" s="404">
        <v>0</v>
      </c>
      <c r="F123" s="404">
        <v>0</v>
      </c>
      <c r="G123" s="404">
        <v>0</v>
      </c>
      <c r="H123" s="403">
        <f t="shared" si="15"/>
        <v>2473177.2923451839</v>
      </c>
      <c r="I123" s="404">
        <v>113674.73902777777</v>
      </c>
      <c r="J123" s="355">
        <f>'B) D RI'!U124</f>
        <v>121292.24695035459</v>
      </c>
      <c r="K123" s="62">
        <f t="shared" si="16"/>
        <v>21.756612889525382</v>
      </c>
      <c r="L123" s="33">
        <f>'B) D RI'!S124</f>
        <v>70.5</v>
      </c>
      <c r="M123" s="465">
        <f t="shared" si="18"/>
        <v>48.743387110474615</v>
      </c>
      <c r="N123" s="457">
        <f>+'J) Plafonnement effort'!H122+'J) Plafonnement effort'!I122-'K) Plafonnement aide'!I122</f>
        <v>17.472059508241276</v>
      </c>
      <c r="O123" s="145">
        <f t="shared" si="19"/>
        <v>66.215446618715887</v>
      </c>
      <c r="P123" s="47">
        <f t="shared" si="20"/>
        <v>0</v>
      </c>
      <c r="Q123" s="55">
        <f t="shared" si="23"/>
        <v>0</v>
      </c>
      <c r="R123" s="145">
        <f t="shared" si="21"/>
        <v>66.215446618715887</v>
      </c>
      <c r="S123" s="125">
        <f t="shared" si="22"/>
        <v>-4.2845533812841126</v>
      </c>
      <c r="T123" s="144">
        <f t="shared" si="17"/>
        <v>0</v>
      </c>
      <c r="V123" s="12"/>
    </row>
    <row r="124" spans="1:22" x14ac:dyDescent="0.25">
      <c r="A124" s="49">
        <f>'A) Base RI'!A125</f>
        <v>5601</v>
      </c>
      <c r="B124" s="351" t="str">
        <f>'A) Base RI'!B125</f>
        <v>Chexbres</v>
      </c>
      <c r="C124" s="403">
        <v>1945355.1326032868</v>
      </c>
      <c r="D124" s="403">
        <v>1475132.7042704569</v>
      </c>
      <c r="E124" s="404">
        <v>0</v>
      </c>
      <c r="F124" s="404">
        <v>0</v>
      </c>
      <c r="G124" s="404">
        <v>0</v>
      </c>
      <c r="H124" s="403">
        <f t="shared" si="15"/>
        <v>3420487.8368737437</v>
      </c>
      <c r="I124" s="404">
        <v>103470.98536231882</v>
      </c>
      <c r="J124" s="355">
        <f>'B) D RI'!U125</f>
        <v>98072.029481481484</v>
      </c>
      <c r="K124" s="62">
        <f t="shared" si="16"/>
        <v>33.057458812211017</v>
      </c>
      <c r="L124" s="33">
        <f>'B) D RI'!S125</f>
        <v>67.5</v>
      </c>
      <c r="M124" s="465">
        <f t="shared" si="18"/>
        <v>34.442541187788983</v>
      </c>
      <c r="N124" s="457">
        <f>+'J) Plafonnement effort'!H123+'J) Plafonnement effort'!I123-'K) Plafonnement aide'!I123</f>
        <v>21.356434119811421</v>
      </c>
      <c r="O124" s="145">
        <f t="shared" si="19"/>
        <v>55.798975307600401</v>
      </c>
      <c r="P124" s="47">
        <f t="shared" si="20"/>
        <v>0</v>
      </c>
      <c r="Q124" s="55">
        <f t="shared" si="23"/>
        <v>0</v>
      </c>
      <c r="R124" s="145">
        <f t="shared" si="21"/>
        <v>55.798975307600401</v>
      </c>
      <c r="S124" s="125">
        <f t="shared" si="22"/>
        <v>-11.701024692399599</v>
      </c>
      <c r="T124" s="144">
        <f t="shared" si="17"/>
        <v>0</v>
      </c>
      <c r="V124" s="12"/>
    </row>
    <row r="125" spans="1:22" x14ac:dyDescent="0.25">
      <c r="A125" s="49">
        <f>'A) Base RI'!A126</f>
        <v>5604</v>
      </c>
      <c r="B125" s="351" t="str">
        <f>'A) Base RI'!B126</f>
        <v>Forel (Lavaux)</v>
      </c>
      <c r="C125" s="403">
        <v>1284917.0365128051</v>
      </c>
      <c r="D125" s="403">
        <v>528079.62885413598</v>
      </c>
      <c r="E125" s="404">
        <v>0</v>
      </c>
      <c r="F125" s="404">
        <v>0</v>
      </c>
      <c r="G125" s="404">
        <v>0</v>
      </c>
      <c r="H125" s="403">
        <f t="shared" si="15"/>
        <v>1812996.6653669411</v>
      </c>
      <c r="I125" s="404">
        <v>73971.129714285707</v>
      </c>
      <c r="J125" s="355">
        <f>'B) D RI'!U126</f>
        <v>71309.914782608685</v>
      </c>
      <c r="K125" s="62">
        <f t="shared" si="16"/>
        <v>24.509517055771088</v>
      </c>
      <c r="L125" s="33">
        <f>'B) D RI'!S126</f>
        <v>69</v>
      </c>
      <c r="M125" s="465">
        <f t="shared" si="18"/>
        <v>44.490482944228916</v>
      </c>
      <c r="N125" s="457">
        <f>+'J) Plafonnement effort'!H124+'J) Plafonnement effort'!I124-'K) Plafonnement aide'!I124</f>
        <v>13.398318643768082</v>
      </c>
      <c r="O125" s="145">
        <f t="shared" si="19"/>
        <v>57.888801587996994</v>
      </c>
      <c r="P125" s="47">
        <f t="shared" si="20"/>
        <v>0</v>
      </c>
      <c r="Q125" s="55">
        <f t="shared" si="23"/>
        <v>0</v>
      </c>
      <c r="R125" s="145">
        <f t="shared" si="21"/>
        <v>57.888801587996994</v>
      </c>
      <c r="S125" s="125">
        <f t="shared" si="22"/>
        <v>-11.111198412003006</v>
      </c>
      <c r="T125" s="144">
        <f t="shared" si="17"/>
        <v>0</v>
      </c>
      <c r="V125" s="12"/>
    </row>
    <row r="126" spans="1:22" x14ac:dyDescent="0.25">
      <c r="A126" s="49">
        <f>'A) Base RI'!A127</f>
        <v>5606</v>
      </c>
      <c r="B126" s="351" t="str">
        <f>'A) Base RI'!B127</f>
        <v>Lutry</v>
      </c>
      <c r="C126" s="403">
        <v>20721620.896863993</v>
      </c>
      <c r="D126" s="403">
        <v>10739862.061995743</v>
      </c>
      <c r="E126" s="404">
        <v>0</v>
      </c>
      <c r="F126" s="404">
        <v>0</v>
      </c>
      <c r="G126" s="404">
        <v>0</v>
      </c>
      <c r="H126" s="403">
        <f t="shared" si="15"/>
        <v>31461482.958859734</v>
      </c>
      <c r="I126" s="404">
        <v>806998.35454311455</v>
      </c>
      <c r="J126" s="355">
        <f>'B) D RI'!U127</f>
        <v>875230.37264550268</v>
      </c>
      <c r="K126" s="62">
        <f t="shared" si="16"/>
        <v>38.985808064840207</v>
      </c>
      <c r="L126" s="33">
        <f>'B) D RI'!S127</f>
        <v>54</v>
      </c>
      <c r="M126" s="465">
        <f t="shared" si="18"/>
        <v>15.014191935159793</v>
      </c>
      <c r="N126" s="457">
        <f>+'J) Plafonnement effort'!H125+'J) Plafonnement effort'!I125-'K) Plafonnement aide'!I125</f>
        <v>31.030482655932559</v>
      </c>
      <c r="O126" s="145">
        <f t="shared" si="19"/>
        <v>46.044674591092353</v>
      </c>
      <c r="P126" s="47">
        <f t="shared" si="20"/>
        <v>0</v>
      </c>
      <c r="Q126" s="55">
        <f t="shared" si="23"/>
        <v>0</v>
      </c>
      <c r="R126" s="145">
        <f t="shared" si="21"/>
        <v>46.044674591092353</v>
      </c>
      <c r="S126" s="125">
        <f t="shared" si="22"/>
        <v>-7.9553254089076475</v>
      </c>
      <c r="T126" s="144">
        <f t="shared" si="17"/>
        <v>0</v>
      </c>
      <c r="V126" s="12"/>
    </row>
    <row r="127" spans="1:22" x14ac:dyDescent="0.25">
      <c r="A127" s="49">
        <f>'A) Base RI'!A128</f>
        <v>5607</v>
      </c>
      <c r="B127" s="351" t="str">
        <f>'A) Base RI'!B128</f>
        <v>Puidoux</v>
      </c>
      <c r="C127" s="403">
        <v>1665842.003055369</v>
      </c>
      <c r="D127" s="403">
        <v>555653.18405925436</v>
      </c>
      <c r="E127" s="404">
        <v>0</v>
      </c>
      <c r="F127" s="404">
        <v>0</v>
      </c>
      <c r="G127" s="404">
        <v>0</v>
      </c>
      <c r="H127" s="403">
        <f t="shared" si="15"/>
        <v>2221495.1871146234</v>
      </c>
      <c r="I127" s="404">
        <v>100918.13995031056</v>
      </c>
      <c r="J127" s="355">
        <f>'B) D RI'!U128</f>
        <v>102944.97501110758</v>
      </c>
      <c r="K127" s="62">
        <f t="shared" si="16"/>
        <v>22.012843163859632</v>
      </c>
      <c r="L127" s="33">
        <f>'B) D RI'!S128</f>
        <v>68.5</v>
      </c>
      <c r="M127" s="465">
        <f t="shared" si="18"/>
        <v>46.487156836140372</v>
      </c>
      <c r="N127" s="457">
        <f>+'J) Plafonnement effort'!H126+'J) Plafonnement effort'!I126-'K) Plafonnement aide'!I126</f>
        <v>10.113649406056687</v>
      </c>
      <c r="O127" s="145">
        <f t="shared" si="19"/>
        <v>56.600806242197059</v>
      </c>
      <c r="P127" s="47">
        <f t="shared" si="20"/>
        <v>0</v>
      </c>
      <c r="Q127" s="55">
        <f t="shared" si="23"/>
        <v>0</v>
      </c>
      <c r="R127" s="145">
        <f t="shared" si="21"/>
        <v>56.600806242197059</v>
      </c>
      <c r="S127" s="125">
        <f t="shared" si="22"/>
        <v>-11.899193757802941</v>
      </c>
      <c r="T127" s="144">
        <f t="shared" si="17"/>
        <v>0</v>
      </c>
      <c r="V127" s="12"/>
    </row>
    <row r="128" spans="1:22" x14ac:dyDescent="0.25">
      <c r="A128" s="49">
        <f>'A) Base RI'!A129</f>
        <v>5609</v>
      </c>
      <c r="B128" s="351" t="str">
        <f>'A) Base RI'!B129</f>
        <v>Rivaz</v>
      </c>
      <c r="C128" s="403">
        <v>219028.34569907488</v>
      </c>
      <c r="D128" s="403">
        <v>190442.51246051519</v>
      </c>
      <c r="E128" s="404">
        <v>0</v>
      </c>
      <c r="F128" s="404">
        <v>0</v>
      </c>
      <c r="G128" s="404">
        <v>0</v>
      </c>
      <c r="H128" s="403">
        <f t="shared" si="15"/>
        <v>409470.85815959005</v>
      </c>
      <c r="I128" s="404">
        <v>13641.583779527558</v>
      </c>
      <c r="J128" s="355">
        <f>'B) D RI'!U129</f>
        <v>16048.850483870969</v>
      </c>
      <c r="K128" s="62">
        <f t="shared" si="16"/>
        <v>30.016372349235468</v>
      </c>
      <c r="L128" s="33">
        <f>'B) D RI'!S129</f>
        <v>62</v>
      </c>
      <c r="M128" s="465">
        <f t="shared" si="18"/>
        <v>31.983627650764532</v>
      </c>
      <c r="N128" s="457">
        <f>+'J) Plafonnement effort'!H127+'J) Plafonnement effort'!I127-'K) Plafonnement aide'!I127</f>
        <v>28.383464734174684</v>
      </c>
      <c r="O128" s="145">
        <f t="shared" si="19"/>
        <v>60.367092384939212</v>
      </c>
      <c r="P128" s="47">
        <f t="shared" si="20"/>
        <v>0</v>
      </c>
      <c r="Q128" s="55">
        <f t="shared" si="23"/>
        <v>0</v>
      </c>
      <c r="R128" s="145">
        <f t="shared" si="21"/>
        <v>60.367092384939212</v>
      </c>
      <c r="S128" s="125">
        <f t="shared" si="22"/>
        <v>-1.6329076150607875</v>
      </c>
      <c r="T128" s="144">
        <f t="shared" si="17"/>
        <v>0</v>
      </c>
      <c r="V128" s="12"/>
    </row>
    <row r="129" spans="1:22" x14ac:dyDescent="0.25">
      <c r="A129" s="49">
        <f>'A) Base RI'!A130</f>
        <v>5610</v>
      </c>
      <c r="B129" s="351" t="str">
        <f>'A) Base RI'!B130</f>
        <v>St-Saphorin (Lavaux)</v>
      </c>
      <c r="C129" s="403">
        <v>406706.50426759897</v>
      </c>
      <c r="D129" s="403">
        <v>397481.87603997771</v>
      </c>
      <c r="E129" s="404">
        <v>0</v>
      </c>
      <c r="F129" s="404">
        <v>0</v>
      </c>
      <c r="G129" s="404">
        <v>0</v>
      </c>
      <c r="H129" s="403">
        <f t="shared" si="15"/>
        <v>804188.38030757662</v>
      </c>
      <c r="I129" s="404">
        <v>22278.713000000003</v>
      </c>
      <c r="J129" s="355">
        <f>'B) D RI'!U130</f>
        <v>19213.723703703701</v>
      </c>
      <c r="K129" s="62">
        <f t="shared" si="16"/>
        <v>36.096716193057311</v>
      </c>
      <c r="L129" s="33">
        <f>'B) D RI'!S130</f>
        <v>72</v>
      </c>
      <c r="M129" s="465">
        <f t="shared" si="18"/>
        <v>35.903283806942689</v>
      </c>
      <c r="N129" s="457">
        <f>+'J) Plafonnement effort'!H128+'J) Plafonnement effort'!I128-'K) Plafonnement aide'!I128</f>
        <v>30.25126046842804</v>
      </c>
      <c r="O129" s="145">
        <f t="shared" si="19"/>
        <v>66.154544275370725</v>
      </c>
      <c r="P129" s="47">
        <f t="shared" si="20"/>
        <v>0</v>
      </c>
      <c r="Q129" s="55">
        <f t="shared" si="23"/>
        <v>0</v>
      </c>
      <c r="R129" s="145">
        <f t="shared" si="21"/>
        <v>66.154544275370725</v>
      </c>
      <c r="S129" s="125">
        <f t="shared" si="22"/>
        <v>-5.8454557246292751</v>
      </c>
      <c r="T129" s="144">
        <f t="shared" si="17"/>
        <v>0</v>
      </c>
      <c r="V129" s="12"/>
    </row>
    <row r="130" spans="1:22" x14ac:dyDescent="0.25">
      <c r="A130" s="49">
        <f>'A) Base RI'!A131</f>
        <v>5611</v>
      </c>
      <c r="B130" s="351" t="str">
        <f>'A) Base RI'!B131</f>
        <v>Savigny</v>
      </c>
      <c r="C130" s="403">
        <v>2637448.846702815</v>
      </c>
      <c r="D130" s="403">
        <v>1249549.1262238536</v>
      </c>
      <c r="E130" s="404">
        <v>0</v>
      </c>
      <c r="F130" s="404">
        <v>0</v>
      </c>
      <c r="G130" s="404">
        <v>0</v>
      </c>
      <c r="H130" s="403">
        <f t="shared" si="15"/>
        <v>3886997.9729266688</v>
      </c>
      <c r="I130" s="404">
        <v>134929.74355072467</v>
      </c>
      <c r="J130" s="355">
        <f>'B) D RI'!U131</f>
        <v>136715.33886473431</v>
      </c>
      <c r="K130" s="62">
        <f t="shared" si="16"/>
        <v>28.807569559082534</v>
      </c>
      <c r="L130" s="33">
        <f>'B) D RI'!S131</f>
        <v>69</v>
      </c>
      <c r="M130" s="465">
        <f t="shared" si="18"/>
        <v>40.192430440917462</v>
      </c>
      <c r="N130" s="457">
        <f>+'J) Plafonnement effort'!H129+'J) Plafonnement effort'!I129-'K) Plafonnement aide'!I129</f>
        <v>18.248704476004576</v>
      </c>
      <c r="O130" s="145">
        <f t="shared" si="19"/>
        <v>58.441134916922039</v>
      </c>
      <c r="P130" s="47">
        <f t="shared" si="20"/>
        <v>0</v>
      </c>
      <c r="Q130" s="55">
        <f t="shared" si="23"/>
        <v>0</v>
      </c>
      <c r="R130" s="145">
        <f t="shared" si="21"/>
        <v>58.441134916922039</v>
      </c>
      <c r="S130" s="125">
        <f t="shared" si="22"/>
        <v>-10.558865083077961</v>
      </c>
      <c r="T130" s="144">
        <f t="shared" si="17"/>
        <v>0</v>
      </c>
      <c r="V130" s="12"/>
    </row>
    <row r="131" spans="1:22" x14ac:dyDescent="0.25">
      <c r="A131" s="49">
        <f>'A) Base RI'!A132</f>
        <v>5613</v>
      </c>
      <c r="B131" s="351" t="str">
        <f>'A) Base RI'!B132</f>
        <v>Bourg-en-Lavaux</v>
      </c>
      <c r="C131" s="403">
        <v>7124988.4752306249</v>
      </c>
      <c r="D131" s="403">
        <v>4622545.0732493224</v>
      </c>
      <c r="E131" s="404">
        <v>0</v>
      </c>
      <c r="F131" s="404">
        <v>0</v>
      </c>
      <c r="G131" s="404">
        <v>0</v>
      </c>
      <c r="H131" s="403">
        <f t="shared" si="15"/>
        <v>11747533.548479948</v>
      </c>
      <c r="I131" s="404">
        <v>333126.87406250008</v>
      </c>
      <c r="J131" s="355">
        <f>'B) D RI'!U132</f>
        <v>343828.17631999997</v>
      </c>
      <c r="K131" s="62">
        <f t="shared" si="16"/>
        <v>35.264442658792873</v>
      </c>
      <c r="L131" s="33">
        <f>'B) D RI'!S132</f>
        <v>62.5</v>
      </c>
      <c r="M131" s="465">
        <f t="shared" si="18"/>
        <v>27.235557341207127</v>
      </c>
      <c r="N131" s="457">
        <f>+'J) Plafonnement effort'!H130+'J) Plafonnement effort'!I130-'K) Plafonnement aide'!I130</f>
        <v>30.386184465747554</v>
      </c>
      <c r="O131" s="145">
        <f t="shared" si="19"/>
        <v>57.621741806954681</v>
      </c>
      <c r="P131" s="47">
        <f t="shared" si="20"/>
        <v>0</v>
      </c>
      <c r="Q131" s="55">
        <f t="shared" si="23"/>
        <v>0</v>
      </c>
      <c r="R131" s="145">
        <f t="shared" si="21"/>
        <v>57.621741806954681</v>
      </c>
      <c r="S131" s="125">
        <f t="shared" si="22"/>
        <v>-4.878258193045319</v>
      </c>
      <c r="T131" s="144">
        <f t="shared" si="17"/>
        <v>0</v>
      </c>
      <c r="V131" s="12"/>
    </row>
    <row r="132" spans="1:22" x14ac:dyDescent="0.25">
      <c r="A132" s="49">
        <f>'A) Base RI'!A133</f>
        <v>5621</v>
      </c>
      <c r="B132" s="351" t="str">
        <f>'A) Base RI'!B133</f>
        <v>Aclens</v>
      </c>
      <c r="C132" s="403">
        <v>572991.88423543901</v>
      </c>
      <c r="D132" s="403">
        <v>482768.3125547283</v>
      </c>
      <c r="E132" s="404">
        <v>0</v>
      </c>
      <c r="F132" s="404">
        <v>0</v>
      </c>
      <c r="G132" s="404">
        <v>0</v>
      </c>
      <c r="H132" s="403">
        <f t="shared" si="15"/>
        <v>1055760.1967901674</v>
      </c>
      <c r="I132" s="404">
        <v>27514.906070381232</v>
      </c>
      <c r="J132" s="355">
        <f>'B) D RI'!U133</f>
        <v>32411.912521994131</v>
      </c>
      <c r="K132" s="62">
        <f t="shared" si="16"/>
        <v>38.370481588765216</v>
      </c>
      <c r="L132" s="33">
        <f>'B) D RI'!S133</f>
        <v>62</v>
      </c>
      <c r="M132" s="465">
        <f t="shared" si="18"/>
        <v>23.629518411234784</v>
      </c>
      <c r="N132" s="457">
        <f>+'J) Plafonnement effort'!H131+'J) Plafonnement effort'!I131-'K) Plafonnement aide'!I131</f>
        <v>32.488534438879896</v>
      </c>
      <c r="O132" s="145">
        <f t="shared" si="19"/>
        <v>56.11805285011468</v>
      </c>
      <c r="P132" s="47">
        <f t="shared" si="20"/>
        <v>0</v>
      </c>
      <c r="Q132" s="55">
        <f t="shared" si="23"/>
        <v>0</v>
      </c>
      <c r="R132" s="145">
        <f t="shared" si="21"/>
        <v>56.11805285011468</v>
      </c>
      <c r="S132" s="125">
        <f t="shared" si="22"/>
        <v>-5.8819471498853204</v>
      </c>
      <c r="T132" s="144">
        <f t="shared" si="17"/>
        <v>0</v>
      </c>
      <c r="V132" s="12"/>
    </row>
    <row r="133" spans="1:22" x14ac:dyDescent="0.25">
      <c r="A133" s="49">
        <f>'A) Base RI'!A134</f>
        <v>5622</v>
      </c>
      <c r="B133" s="351" t="str">
        <f>'A) Base RI'!B134</f>
        <v>Bremblens</v>
      </c>
      <c r="C133" s="403">
        <v>529390.18377926096</v>
      </c>
      <c r="D133" s="403">
        <v>477799.26585449628</v>
      </c>
      <c r="E133" s="404">
        <v>0</v>
      </c>
      <c r="F133" s="404">
        <v>0</v>
      </c>
      <c r="G133" s="404">
        <v>0</v>
      </c>
      <c r="H133" s="403">
        <f t="shared" si="15"/>
        <v>1007189.4496337572</v>
      </c>
      <c r="I133" s="404">
        <v>27505.151666666668</v>
      </c>
      <c r="J133" s="355">
        <f>'B) D RI'!U134</f>
        <v>27803.201911764703</v>
      </c>
      <c r="K133" s="62">
        <f t="shared" si="16"/>
        <v>36.618211084229877</v>
      </c>
      <c r="L133" s="33">
        <f>'B) D RI'!S134</f>
        <v>68</v>
      </c>
      <c r="M133" s="465">
        <f t="shared" si="18"/>
        <v>31.381788915770123</v>
      </c>
      <c r="N133" s="457">
        <f>+'J) Plafonnement effort'!H132+'J) Plafonnement effort'!I132-'K) Plafonnement aide'!I132</f>
        <v>29.887862676683362</v>
      </c>
      <c r="O133" s="145">
        <f t="shared" si="19"/>
        <v>61.269651592453485</v>
      </c>
      <c r="P133" s="47">
        <f t="shared" si="20"/>
        <v>0</v>
      </c>
      <c r="Q133" s="55">
        <f t="shared" si="23"/>
        <v>0</v>
      </c>
      <c r="R133" s="145">
        <f t="shared" si="21"/>
        <v>61.269651592453485</v>
      </c>
      <c r="S133" s="125">
        <f t="shared" si="22"/>
        <v>-6.730348407546515</v>
      </c>
      <c r="T133" s="144">
        <f t="shared" si="17"/>
        <v>0</v>
      </c>
      <c r="V133" s="12"/>
    </row>
    <row r="134" spans="1:22" x14ac:dyDescent="0.25">
      <c r="A134" s="49">
        <f>'A) Base RI'!A135</f>
        <v>5623</v>
      </c>
      <c r="B134" s="351" t="str">
        <f>'A) Base RI'!B135</f>
        <v>Buchillon</v>
      </c>
      <c r="C134" s="403">
        <v>2783607.0210639983</v>
      </c>
      <c r="D134" s="403">
        <v>1710017.3178248792</v>
      </c>
      <c r="E134" s="404">
        <v>0</v>
      </c>
      <c r="F134" s="404">
        <v>-453528.95775680285</v>
      </c>
      <c r="G134" s="404">
        <v>0</v>
      </c>
      <c r="H134" s="403">
        <f t="shared" si="15"/>
        <v>4040095.3811320751</v>
      </c>
      <c r="I134" s="404">
        <v>89779.897358490547</v>
      </c>
      <c r="J134" s="355">
        <f>'B) D RI'!U135</f>
        <v>94394.012307692305</v>
      </c>
      <c r="K134" s="62">
        <f t="shared" si="16"/>
        <v>45.000000000000007</v>
      </c>
      <c r="L134" s="33">
        <f>'B) D RI'!S135</f>
        <v>52</v>
      </c>
      <c r="M134" s="465">
        <f t="shared" si="18"/>
        <v>6.9999999999999929</v>
      </c>
      <c r="N134" s="457">
        <f>+'J) Plafonnement effort'!H133+'J) Plafonnement effort'!I133-'K) Plafonnement aide'!I133</f>
        <v>45.576955571774356</v>
      </c>
      <c r="O134" s="145">
        <f t="shared" si="19"/>
        <v>52.576955571774349</v>
      </c>
      <c r="P134" s="47">
        <f t="shared" si="20"/>
        <v>0</v>
      </c>
      <c r="Q134" s="55">
        <f t="shared" si="23"/>
        <v>0</v>
      </c>
      <c r="R134" s="145">
        <f t="shared" si="21"/>
        <v>52.576955571774349</v>
      </c>
      <c r="S134" s="125">
        <f t="shared" si="22"/>
        <v>0.57695557177434864</v>
      </c>
      <c r="T134" s="144">
        <f t="shared" si="17"/>
        <v>0</v>
      </c>
      <c r="V134" s="12"/>
    </row>
    <row r="135" spans="1:22" x14ac:dyDescent="0.25">
      <c r="A135" s="49">
        <f>'A) Base RI'!A136</f>
        <v>5624</v>
      </c>
      <c r="B135" s="351" t="str">
        <f>'A) Base RI'!B136</f>
        <v>Bussigny</v>
      </c>
      <c r="C135" s="403">
        <v>7778192.9398488672</v>
      </c>
      <c r="D135" s="403">
        <v>3342940.6752898339</v>
      </c>
      <c r="E135" s="404">
        <v>0</v>
      </c>
      <c r="F135" s="404">
        <v>0</v>
      </c>
      <c r="G135" s="404">
        <v>0</v>
      </c>
      <c r="H135" s="403">
        <f t="shared" ref="H135:H198" si="24">SUM(C135:G135)</f>
        <v>11121133.615138702</v>
      </c>
      <c r="I135" s="404">
        <v>397950.93625000003</v>
      </c>
      <c r="J135" s="355">
        <f>'B) D RI'!U136</f>
        <v>351876.09247999993</v>
      </c>
      <c r="K135" s="62">
        <f t="shared" ref="K135:K198" si="25">H135/I135</f>
        <v>27.945991834913546</v>
      </c>
      <c r="L135" s="33">
        <f>'B) D RI'!S136</f>
        <v>62.5</v>
      </c>
      <c r="M135" s="465">
        <f t="shared" si="18"/>
        <v>34.554008165086458</v>
      </c>
      <c r="N135" s="457">
        <f>+'J) Plafonnement effort'!H134+'J) Plafonnement effort'!I134-'K) Plafonnement aide'!I134</f>
        <v>10.531042977927489</v>
      </c>
      <c r="O135" s="145">
        <f t="shared" si="19"/>
        <v>45.085051143013949</v>
      </c>
      <c r="P135" s="47">
        <f t="shared" si="20"/>
        <v>0</v>
      </c>
      <c r="Q135" s="55">
        <f t="shared" si="23"/>
        <v>0</v>
      </c>
      <c r="R135" s="145">
        <f t="shared" si="21"/>
        <v>45.085051143013949</v>
      </c>
      <c r="S135" s="125">
        <f t="shared" si="22"/>
        <v>-17.414948856986051</v>
      </c>
      <c r="T135" s="144">
        <f t="shared" ref="T135:T198" si="26">+C135+D135+E135+F135+G135-H135</f>
        <v>0</v>
      </c>
      <c r="V135" s="12"/>
    </row>
    <row r="136" spans="1:22" x14ac:dyDescent="0.25">
      <c r="A136" s="49">
        <f>'A) Base RI'!A137</f>
        <v>5625</v>
      </c>
      <c r="B136" s="351" t="str">
        <f>'A) Base RI'!B137</f>
        <v>Bussy-Chardonney</v>
      </c>
      <c r="C136" s="403">
        <v>290489.98598669027</v>
      </c>
      <c r="D136" s="403">
        <v>257796.7725847199</v>
      </c>
      <c r="E136" s="404">
        <v>0</v>
      </c>
      <c r="F136" s="404">
        <v>0</v>
      </c>
      <c r="G136" s="404">
        <v>0</v>
      </c>
      <c r="H136" s="403">
        <f t="shared" si="24"/>
        <v>548286.7585714102</v>
      </c>
      <c r="I136" s="404">
        <v>16807.989913419911</v>
      </c>
      <c r="J136" s="355">
        <f>'B) D RI'!U137</f>
        <v>17740.486103896103</v>
      </c>
      <c r="K136" s="62">
        <f t="shared" si="25"/>
        <v>32.620602546509417</v>
      </c>
      <c r="L136" s="33">
        <f>'B) D RI'!S137</f>
        <v>77</v>
      </c>
      <c r="M136" s="465">
        <f t="shared" si="18"/>
        <v>44.379397453490583</v>
      </c>
      <c r="N136" s="457">
        <f>+'J) Plafonnement effort'!H135+'J) Plafonnement effort'!I135-'K) Plafonnement aide'!I135</f>
        <v>26.629827299090891</v>
      </c>
      <c r="O136" s="145">
        <f t="shared" si="19"/>
        <v>71.009224752581474</v>
      </c>
      <c r="P136" s="47">
        <f t="shared" si="20"/>
        <v>0</v>
      </c>
      <c r="Q136" s="55">
        <f t="shared" si="23"/>
        <v>0</v>
      </c>
      <c r="R136" s="145">
        <f t="shared" si="21"/>
        <v>71.009224752581474</v>
      </c>
      <c r="S136" s="125">
        <f t="shared" si="22"/>
        <v>-5.9907752474185259</v>
      </c>
      <c r="T136" s="144">
        <f t="shared" si="26"/>
        <v>0</v>
      </c>
      <c r="V136" s="12"/>
    </row>
    <row r="137" spans="1:22" x14ac:dyDescent="0.25">
      <c r="A137" s="49">
        <f>'A) Base RI'!A138</f>
        <v>5627</v>
      </c>
      <c r="B137" s="351" t="str">
        <f>'A) Base RI'!B138</f>
        <v>Chavannes-près-Renens</v>
      </c>
      <c r="C137" s="403">
        <v>4532938.7334451936</v>
      </c>
      <c r="D137" s="403">
        <v>-3280358.7566900114</v>
      </c>
      <c r="E137" s="404">
        <v>0</v>
      </c>
      <c r="F137" s="404">
        <v>0</v>
      </c>
      <c r="G137" s="404">
        <v>0</v>
      </c>
      <c r="H137" s="403">
        <f t="shared" si="24"/>
        <v>1252579.9767551823</v>
      </c>
      <c r="I137" s="404">
        <v>211976.34008438818</v>
      </c>
      <c r="J137" s="355">
        <f>'B) D RI'!U138</f>
        <v>161901.70176344088</v>
      </c>
      <c r="K137" s="62">
        <f t="shared" si="25"/>
        <v>5.9090555873194521</v>
      </c>
      <c r="L137" s="33">
        <f>'B) D RI'!S138</f>
        <v>77.5</v>
      </c>
      <c r="M137" s="465">
        <f t="shared" si="18"/>
        <v>71.590944412680543</v>
      </c>
      <c r="N137" s="457">
        <f>+'J) Plafonnement effort'!H136+'J) Plafonnement effort'!I136-'K) Plafonnement aide'!I136</f>
        <v>-20.384614074959185</v>
      </c>
      <c r="O137" s="145">
        <f t="shared" si="19"/>
        <v>51.206330337721354</v>
      </c>
      <c r="P137" s="47">
        <f t="shared" si="20"/>
        <v>0</v>
      </c>
      <c r="Q137" s="55">
        <f t="shared" si="23"/>
        <v>0</v>
      </c>
      <c r="R137" s="145">
        <f t="shared" si="21"/>
        <v>51.206330337721354</v>
      </c>
      <c r="S137" s="125">
        <f t="shared" si="22"/>
        <v>-26.293669662278646</v>
      </c>
      <c r="T137" s="144">
        <f t="shared" si="26"/>
        <v>0</v>
      </c>
      <c r="V137" s="12"/>
    </row>
    <row r="138" spans="1:22" x14ac:dyDescent="0.25">
      <c r="A138" s="49">
        <f>'A) Base RI'!A139</f>
        <v>5628</v>
      </c>
      <c r="B138" s="351" t="str">
        <f>'A) Base RI'!B139</f>
        <v>Chigny</v>
      </c>
      <c r="C138" s="403">
        <v>467814.25288006134</v>
      </c>
      <c r="D138" s="403">
        <v>399978.84075358987</v>
      </c>
      <c r="E138" s="404">
        <v>0</v>
      </c>
      <c r="F138" s="404">
        <v>0</v>
      </c>
      <c r="G138" s="404">
        <v>0</v>
      </c>
      <c r="H138" s="403">
        <f t="shared" si="24"/>
        <v>867793.09363365127</v>
      </c>
      <c r="I138" s="404">
        <v>22390.960806451614</v>
      </c>
      <c r="J138" s="355">
        <f>'B) D RI'!U139</f>
        <v>24624.530161290324</v>
      </c>
      <c r="K138" s="62">
        <f t="shared" si="25"/>
        <v>38.756402690125292</v>
      </c>
      <c r="L138" s="33">
        <f>'B) D RI'!S139</f>
        <v>62</v>
      </c>
      <c r="M138" s="465">
        <f t="shared" si="18"/>
        <v>23.243597309874708</v>
      </c>
      <c r="N138" s="457">
        <f>+'J) Plafonnement effort'!H137+'J) Plafonnement effort'!I137-'K) Plafonnement aide'!I137</f>
        <v>33.911582048848651</v>
      </c>
      <c r="O138" s="145">
        <f t="shared" si="19"/>
        <v>57.155179358723359</v>
      </c>
      <c r="P138" s="47">
        <f t="shared" si="20"/>
        <v>0</v>
      </c>
      <c r="Q138" s="55">
        <f t="shared" si="23"/>
        <v>0</v>
      </c>
      <c r="R138" s="145">
        <f t="shared" si="21"/>
        <v>57.155179358723359</v>
      </c>
      <c r="S138" s="125">
        <f t="shared" si="22"/>
        <v>-4.844820641276641</v>
      </c>
      <c r="T138" s="144">
        <f t="shared" si="26"/>
        <v>0</v>
      </c>
      <c r="V138" s="12"/>
    </row>
    <row r="139" spans="1:22" x14ac:dyDescent="0.25">
      <c r="A139" s="49">
        <f>'A) Base RI'!A140</f>
        <v>5629</v>
      </c>
      <c r="B139" s="351" t="str">
        <f>'A) Base RI'!B140</f>
        <v>Clarmont</v>
      </c>
      <c r="C139" s="403">
        <v>150763.45955791863</v>
      </c>
      <c r="D139" s="403">
        <v>61644.395063556934</v>
      </c>
      <c r="E139" s="404">
        <v>0</v>
      </c>
      <c r="F139" s="404">
        <v>0</v>
      </c>
      <c r="G139" s="404">
        <v>0</v>
      </c>
      <c r="H139" s="403">
        <f t="shared" si="24"/>
        <v>212407.85462147556</v>
      </c>
      <c r="I139" s="404">
        <v>6767.1243999999997</v>
      </c>
      <c r="J139" s="355">
        <f>'B) D RI'!U140</f>
        <v>8521.2598639455773</v>
      </c>
      <c r="K139" s="62">
        <f t="shared" si="25"/>
        <v>31.388200078230508</v>
      </c>
      <c r="L139" s="33">
        <f>'B) D RI'!S140</f>
        <v>73.5</v>
      </c>
      <c r="M139" s="465">
        <f t="shared" si="18"/>
        <v>42.111799921769489</v>
      </c>
      <c r="N139" s="457">
        <f>+'J) Plafonnement effort'!H138+'J) Plafonnement effort'!I138-'K) Plafonnement aide'!I138</f>
        <v>22.493020026896573</v>
      </c>
      <c r="O139" s="145">
        <f t="shared" si="19"/>
        <v>64.604819948666062</v>
      </c>
      <c r="P139" s="47">
        <f t="shared" si="20"/>
        <v>0</v>
      </c>
      <c r="Q139" s="55">
        <f t="shared" si="23"/>
        <v>0</v>
      </c>
      <c r="R139" s="145">
        <f t="shared" si="21"/>
        <v>64.604819948666062</v>
      </c>
      <c r="S139" s="125">
        <f t="shared" si="22"/>
        <v>-8.8951800513339379</v>
      </c>
      <c r="T139" s="144">
        <f t="shared" si="26"/>
        <v>0</v>
      </c>
      <c r="V139" s="12"/>
    </row>
    <row r="140" spans="1:22" x14ac:dyDescent="0.25">
      <c r="A140" s="49">
        <f>'A) Base RI'!A141</f>
        <v>5631</v>
      </c>
      <c r="B140" s="351" t="str">
        <f>'A) Base RI'!B141</f>
        <v>Denens</v>
      </c>
      <c r="C140" s="403">
        <v>1105993.3915390924</v>
      </c>
      <c r="D140" s="403">
        <v>936645.33940817311</v>
      </c>
      <c r="E140" s="404">
        <v>0</v>
      </c>
      <c r="F140" s="404">
        <v>0</v>
      </c>
      <c r="G140" s="404">
        <v>0</v>
      </c>
      <c r="H140" s="403">
        <f t="shared" si="24"/>
        <v>2042638.7309472654</v>
      </c>
      <c r="I140" s="404">
        <v>51475.873428571431</v>
      </c>
      <c r="J140" s="355">
        <f>'B) D RI'!U141</f>
        <v>43455.14235294117</v>
      </c>
      <c r="K140" s="62">
        <f t="shared" si="25"/>
        <v>39.681477843822435</v>
      </c>
      <c r="L140" s="33">
        <f>'B) D RI'!S141</f>
        <v>68</v>
      </c>
      <c r="M140" s="465">
        <f t="shared" si="18"/>
        <v>28.318522156177565</v>
      </c>
      <c r="N140" s="457">
        <f>+'J) Plafonnement effort'!H139+'J) Plafonnement effort'!I139-'K) Plafonnement aide'!I139</f>
        <v>33.059676110481327</v>
      </c>
      <c r="O140" s="145">
        <f t="shared" si="19"/>
        <v>61.378198266658892</v>
      </c>
      <c r="P140" s="47">
        <f t="shared" si="20"/>
        <v>0</v>
      </c>
      <c r="Q140" s="55">
        <f t="shared" si="23"/>
        <v>0</v>
      </c>
      <c r="R140" s="145">
        <f t="shared" si="21"/>
        <v>61.378198266658892</v>
      </c>
      <c r="S140" s="125">
        <f t="shared" si="22"/>
        <v>-6.6218017333411083</v>
      </c>
      <c r="T140" s="144">
        <f t="shared" si="26"/>
        <v>0</v>
      </c>
      <c r="V140" s="12"/>
    </row>
    <row r="141" spans="1:22" x14ac:dyDescent="0.25">
      <c r="A141" s="49">
        <f>'A) Base RI'!A142</f>
        <v>5632</v>
      </c>
      <c r="B141" s="351" t="str">
        <f>'A) Base RI'!B142</f>
        <v>Denges</v>
      </c>
      <c r="C141" s="403">
        <v>1244384.0841051333</v>
      </c>
      <c r="D141" s="403">
        <v>1077379.5643599471</v>
      </c>
      <c r="E141" s="404">
        <v>0</v>
      </c>
      <c r="F141" s="404">
        <v>0</v>
      </c>
      <c r="G141" s="404">
        <v>0</v>
      </c>
      <c r="H141" s="403">
        <f t="shared" si="24"/>
        <v>2321763.6484650802</v>
      </c>
      <c r="I141" s="404">
        <v>72992.009193548365</v>
      </c>
      <c r="J141" s="355">
        <f>'B) D RI'!U142</f>
        <v>76479.966774193541</v>
      </c>
      <c r="K141" s="62">
        <f t="shared" si="25"/>
        <v>31.808463338892398</v>
      </c>
      <c r="L141" s="33">
        <f>'B) D RI'!S142</f>
        <v>62</v>
      </c>
      <c r="M141" s="465">
        <f t="shared" si="18"/>
        <v>30.191536661107602</v>
      </c>
      <c r="N141" s="457">
        <f>+'J) Plafonnement effort'!H140+'J) Plafonnement effort'!I140-'K) Plafonnement aide'!I140</f>
        <v>25.098907073296118</v>
      </c>
      <c r="O141" s="145">
        <f t="shared" si="19"/>
        <v>55.290443734403723</v>
      </c>
      <c r="P141" s="47">
        <f t="shared" si="20"/>
        <v>0</v>
      </c>
      <c r="Q141" s="55">
        <f t="shared" si="23"/>
        <v>0</v>
      </c>
      <c r="R141" s="145">
        <f t="shared" si="21"/>
        <v>55.290443734403723</v>
      </c>
      <c r="S141" s="125">
        <f t="shared" si="22"/>
        <v>-6.7095562655962766</v>
      </c>
      <c r="T141" s="144">
        <f t="shared" si="26"/>
        <v>0</v>
      </c>
      <c r="V141" s="12"/>
    </row>
    <row r="142" spans="1:22" x14ac:dyDescent="0.25">
      <c r="A142" s="49">
        <f>'A) Base RI'!A143</f>
        <v>5633</v>
      </c>
      <c r="B142" s="351" t="str">
        <f>'A) Base RI'!B143</f>
        <v>Echandens</v>
      </c>
      <c r="C142" s="403">
        <v>3100696.3006851585</v>
      </c>
      <c r="D142" s="403">
        <v>2481782.1991851283</v>
      </c>
      <c r="E142" s="404">
        <v>0</v>
      </c>
      <c r="F142" s="404">
        <v>0</v>
      </c>
      <c r="G142" s="404">
        <v>0</v>
      </c>
      <c r="H142" s="403">
        <f t="shared" si="24"/>
        <v>5582478.4998702873</v>
      </c>
      <c r="I142" s="404">
        <v>160902.30048387093</v>
      </c>
      <c r="J142" s="355">
        <f>'B) D RI'!U143</f>
        <v>148489.97685950415</v>
      </c>
      <c r="K142" s="62">
        <f t="shared" si="25"/>
        <v>34.694833343479033</v>
      </c>
      <c r="L142" s="33">
        <f>'B) D RI'!S143</f>
        <v>60.5</v>
      </c>
      <c r="M142" s="465">
        <f t="shared" si="18"/>
        <v>25.805166656520967</v>
      </c>
      <c r="N142" s="457">
        <f>+'J) Plafonnement effort'!H141+'J) Plafonnement effort'!I141-'K) Plafonnement aide'!I141</f>
        <v>24.858684188019641</v>
      </c>
      <c r="O142" s="145">
        <f t="shared" si="19"/>
        <v>50.663850844540605</v>
      </c>
      <c r="P142" s="47">
        <f t="shared" si="20"/>
        <v>0</v>
      </c>
      <c r="Q142" s="55">
        <f t="shared" si="23"/>
        <v>0</v>
      </c>
      <c r="R142" s="145">
        <f t="shared" si="21"/>
        <v>50.663850844540605</v>
      </c>
      <c r="S142" s="125">
        <f t="shared" si="22"/>
        <v>-9.8361491554593954</v>
      </c>
      <c r="T142" s="144">
        <f t="shared" si="26"/>
        <v>0</v>
      </c>
      <c r="V142" s="12"/>
    </row>
    <row r="143" spans="1:22" x14ac:dyDescent="0.25">
      <c r="A143" s="49">
        <f>'A) Base RI'!A144</f>
        <v>5634</v>
      </c>
      <c r="B143" s="351" t="str">
        <f>'A) Base RI'!B144</f>
        <v>Echichens</v>
      </c>
      <c r="C143" s="403">
        <v>3585007.2110498417</v>
      </c>
      <c r="D143" s="403">
        <v>2598375.8137741447</v>
      </c>
      <c r="E143" s="404">
        <v>0</v>
      </c>
      <c r="F143" s="404">
        <v>0</v>
      </c>
      <c r="G143" s="404">
        <v>0</v>
      </c>
      <c r="H143" s="403">
        <f t="shared" si="24"/>
        <v>6183383.024823986</v>
      </c>
      <c r="I143" s="404">
        <v>173253.00779411764</v>
      </c>
      <c r="J143" s="355">
        <f>'B) D RI'!U144</f>
        <v>164177.5981818182</v>
      </c>
      <c r="K143" s="62">
        <f t="shared" si="25"/>
        <v>35.689902897223625</v>
      </c>
      <c r="L143" s="33">
        <f>'B) D RI'!S144</f>
        <v>66</v>
      </c>
      <c r="M143" s="465">
        <f t="shared" si="18"/>
        <v>30.310097102776375</v>
      </c>
      <c r="N143" s="457">
        <f>+'J) Plafonnement effort'!H142+'J) Plafonnement effort'!I142-'K) Plafonnement aide'!I142</f>
        <v>28.395712296761289</v>
      </c>
      <c r="O143" s="145">
        <f t="shared" si="19"/>
        <v>58.705809399537664</v>
      </c>
      <c r="P143" s="47">
        <f t="shared" si="20"/>
        <v>0</v>
      </c>
      <c r="Q143" s="55">
        <f t="shared" si="23"/>
        <v>0</v>
      </c>
      <c r="R143" s="145">
        <f t="shared" si="21"/>
        <v>58.705809399537664</v>
      </c>
      <c r="S143" s="125">
        <f t="shared" si="22"/>
        <v>-7.2941906004623362</v>
      </c>
      <c r="T143" s="144">
        <f t="shared" si="26"/>
        <v>0</v>
      </c>
      <c r="V143" s="12"/>
    </row>
    <row r="144" spans="1:22" x14ac:dyDescent="0.25">
      <c r="A144" s="49">
        <f>'A) Base RI'!A145</f>
        <v>5635</v>
      </c>
      <c r="B144" s="351" t="str">
        <f>'A) Base RI'!B145</f>
        <v>Ecublens</v>
      </c>
      <c r="C144" s="403">
        <v>9118647.4423422944</v>
      </c>
      <c r="D144" s="403">
        <v>-177658.21355390549</v>
      </c>
      <c r="E144" s="404">
        <v>0</v>
      </c>
      <c r="F144" s="404">
        <v>0</v>
      </c>
      <c r="G144" s="404">
        <v>0</v>
      </c>
      <c r="H144" s="403">
        <f t="shared" si="24"/>
        <v>8940989.2287883889</v>
      </c>
      <c r="I144" s="404">
        <v>489428.14554687496</v>
      </c>
      <c r="J144" s="355">
        <f>'B) D RI'!U145</f>
        <v>681739.39309333346</v>
      </c>
      <c r="K144" s="62">
        <f t="shared" si="25"/>
        <v>18.268236737382455</v>
      </c>
      <c r="L144" s="33">
        <f>'B) D RI'!S145</f>
        <v>62.5</v>
      </c>
      <c r="M144" s="465">
        <f t="shared" si="18"/>
        <v>44.231763262617548</v>
      </c>
      <c r="N144" s="457">
        <f>+'J) Plafonnement effort'!H143+'J) Plafonnement effort'!I143-'K) Plafonnement aide'!I143</f>
        <v>18.998019543362688</v>
      </c>
      <c r="O144" s="145">
        <f t="shared" si="19"/>
        <v>63.229782805980236</v>
      </c>
      <c r="P144" s="47">
        <f t="shared" si="20"/>
        <v>0</v>
      </c>
      <c r="Q144" s="55">
        <f t="shared" si="23"/>
        <v>0</v>
      </c>
      <c r="R144" s="145">
        <f t="shared" si="21"/>
        <v>63.229782805980236</v>
      </c>
      <c r="S144" s="125">
        <f t="shared" si="22"/>
        <v>0.72978280598023559</v>
      </c>
      <c r="T144" s="144">
        <f t="shared" si="26"/>
        <v>0</v>
      </c>
      <c r="V144" s="12"/>
    </row>
    <row r="145" spans="1:22" x14ac:dyDescent="0.25">
      <c r="A145" s="49">
        <f>'A) Base RI'!A146</f>
        <v>5636</v>
      </c>
      <c r="B145" s="351" t="str">
        <f>'A) Base RI'!B146</f>
        <v>Etoy</v>
      </c>
      <c r="C145" s="403">
        <v>3759596.492169857</v>
      </c>
      <c r="D145" s="403">
        <v>2720639.380326075</v>
      </c>
      <c r="E145" s="404">
        <v>0</v>
      </c>
      <c r="F145" s="404">
        <v>0</v>
      </c>
      <c r="G145" s="404">
        <v>0</v>
      </c>
      <c r="H145" s="403">
        <f t="shared" si="24"/>
        <v>6480235.8724959325</v>
      </c>
      <c r="I145" s="404">
        <v>176252.1018032787</v>
      </c>
      <c r="J145" s="355">
        <f>'B) D RI'!U146</f>
        <v>170715.46099999998</v>
      </c>
      <c r="K145" s="62">
        <f t="shared" si="25"/>
        <v>36.766857281104976</v>
      </c>
      <c r="L145" s="33">
        <f>'B) D RI'!S146</f>
        <v>60</v>
      </c>
      <c r="M145" s="465">
        <f t="shared" si="18"/>
        <v>23.233142718895024</v>
      </c>
      <c r="N145" s="457">
        <f>+'J) Plafonnement effort'!H144+'J) Plafonnement effort'!I144-'K) Plafonnement aide'!I144</f>
        <v>30.30622591633017</v>
      </c>
      <c r="O145" s="145">
        <f t="shared" si="19"/>
        <v>53.539368635225195</v>
      </c>
      <c r="P145" s="47">
        <f t="shared" si="20"/>
        <v>0</v>
      </c>
      <c r="Q145" s="55">
        <f t="shared" si="23"/>
        <v>0</v>
      </c>
      <c r="R145" s="145">
        <f t="shared" si="21"/>
        <v>53.539368635225195</v>
      </c>
      <c r="S145" s="125">
        <f t="shared" si="22"/>
        <v>-6.4606313647748053</v>
      </c>
      <c r="T145" s="144">
        <f t="shared" si="26"/>
        <v>0</v>
      </c>
      <c r="V145" s="12"/>
    </row>
    <row r="146" spans="1:22" x14ac:dyDescent="0.25">
      <c r="A146" s="49">
        <f>'A) Base RI'!A147</f>
        <v>5637</v>
      </c>
      <c r="B146" s="351" t="str">
        <f>'A) Base RI'!B147</f>
        <v>Lavigny</v>
      </c>
      <c r="C146" s="403">
        <v>666471.21109418862</v>
      </c>
      <c r="D146" s="403">
        <v>409508.66897248948</v>
      </c>
      <c r="E146" s="404">
        <v>0</v>
      </c>
      <c r="F146" s="404">
        <v>0</v>
      </c>
      <c r="G146" s="404">
        <v>0</v>
      </c>
      <c r="H146" s="403">
        <f t="shared" si="24"/>
        <v>1075979.8800666782</v>
      </c>
      <c r="I146" s="404">
        <v>37192.899776286358</v>
      </c>
      <c r="J146" s="355">
        <f>'B) D RI'!U147</f>
        <v>41194.659315068493</v>
      </c>
      <c r="K146" s="62">
        <f t="shared" si="25"/>
        <v>28.929712029410165</v>
      </c>
      <c r="L146" s="33">
        <f>'B) D RI'!S147</f>
        <v>73</v>
      </c>
      <c r="M146" s="465">
        <f t="shared" si="18"/>
        <v>44.070287970589831</v>
      </c>
      <c r="N146" s="457">
        <f>+'J) Plafonnement effort'!H145+'J) Plafonnement effort'!I145-'K) Plafonnement aide'!I145</f>
        <v>22.188633826256467</v>
      </c>
      <c r="O146" s="145">
        <f t="shared" si="19"/>
        <v>66.258921796846295</v>
      </c>
      <c r="P146" s="47">
        <f t="shared" si="20"/>
        <v>0</v>
      </c>
      <c r="Q146" s="55">
        <f t="shared" si="23"/>
        <v>0</v>
      </c>
      <c r="R146" s="145">
        <f t="shared" si="21"/>
        <v>66.258921796846295</v>
      </c>
      <c r="S146" s="125">
        <f t="shared" si="22"/>
        <v>-6.7410782031537053</v>
      </c>
      <c r="T146" s="144">
        <f t="shared" si="26"/>
        <v>0</v>
      </c>
      <c r="V146" s="12"/>
    </row>
    <row r="147" spans="1:22" x14ac:dyDescent="0.25">
      <c r="A147" s="49">
        <f>'A) Base RI'!A148</f>
        <v>5638</v>
      </c>
      <c r="B147" s="351" t="str">
        <f>'A) Base RI'!B148</f>
        <v>Lonay</v>
      </c>
      <c r="C147" s="403">
        <v>4319933.9244946996</v>
      </c>
      <c r="D147" s="403">
        <v>2428631.6092328168</v>
      </c>
      <c r="E147" s="404">
        <v>0</v>
      </c>
      <c r="F147" s="404">
        <v>0</v>
      </c>
      <c r="G147" s="404">
        <v>0</v>
      </c>
      <c r="H147" s="403">
        <f t="shared" si="24"/>
        <v>6748565.5337275164</v>
      </c>
      <c r="I147" s="404">
        <v>157137.98454545456</v>
      </c>
      <c r="J147" s="355">
        <f>'B) D RI'!U148</f>
        <v>145490.01981818181</v>
      </c>
      <c r="K147" s="62">
        <f t="shared" si="25"/>
        <v>42.946748701459839</v>
      </c>
      <c r="L147" s="33">
        <f>'B) D RI'!S148</f>
        <v>55</v>
      </c>
      <c r="M147" s="465">
        <f t="shared" si="18"/>
        <v>12.053251298540161</v>
      </c>
      <c r="N147" s="457">
        <f>+'J) Plafonnement effort'!H146+'J) Plafonnement effort'!I146-'K) Plafonnement aide'!I146</f>
        <v>25.851381630464218</v>
      </c>
      <c r="O147" s="145">
        <f t="shared" si="19"/>
        <v>37.904632929004379</v>
      </c>
      <c r="P147" s="47">
        <f t="shared" si="20"/>
        <v>0</v>
      </c>
      <c r="Q147" s="55">
        <f t="shared" si="23"/>
        <v>0</v>
      </c>
      <c r="R147" s="145">
        <f t="shared" si="21"/>
        <v>37.904632929004379</v>
      </c>
      <c r="S147" s="125">
        <f t="shared" si="22"/>
        <v>-17.095367070995621</v>
      </c>
      <c r="T147" s="144">
        <f t="shared" si="26"/>
        <v>0</v>
      </c>
      <c r="V147" s="12"/>
    </row>
    <row r="148" spans="1:22" x14ac:dyDescent="0.25">
      <c r="A148" s="49">
        <f>'A) Base RI'!A149</f>
        <v>5639</v>
      </c>
      <c r="B148" s="351" t="str">
        <f>'A) Base RI'!B149</f>
        <v>Lully</v>
      </c>
      <c r="C148" s="403">
        <v>869096.13799074583</v>
      </c>
      <c r="D148" s="403">
        <v>841079.95303040266</v>
      </c>
      <c r="E148" s="404">
        <v>0</v>
      </c>
      <c r="F148" s="404">
        <v>0</v>
      </c>
      <c r="G148" s="404">
        <v>0</v>
      </c>
      <c r="H148" s="403">
        <f t="shared" si="24"/>
        <v>1710176.0910211485</v>
      </c>
      <c r="I148" s="404">
        <v>47176.43180327869</v>
      </c>
      <c r="J148" s="355">
        <f>'B) D RI'!U149</f>
        <v>45623.094262295082</v>
      </c>
      <c r="K148" s="62">
        <f t="shared" si="25"/>
        <v>36.250645198272366</v>
      </c>
      <c r="L148" s="33">
        <f>'B) D RI'!S149</f>
        <v>61</v>
      </c>
      <c r="M148" s="465">
        <f t="shared" si="18"/>
        <v>24.749354801727634</v>
      </c>
      <c r="N148" s="457">
        <f>+'J) Plafonnement effort'!H147+'J) Plafonnement effort'!I147-'K) Plafonnement aide'!I147</f>
        <v>32.005474052058119</v>
      </c>
      <c r="O148" s="145">
        <f t="shared" si="19"/>
        <v>56.754828853785753</v>
      </c>
      <c r="P148" s="47">
        <f t="shared" si="20"/>
        <v>0</v>
      </c>
      <c r="Q148" s="55">
        <f t="shared" si="23"/>
        <v>0</v>
      </c>
      <c r="R148" s="145">
        <f t="shared" si="21"/>
        <v>56.754828853785753</v>
      </c>
      <c r="S148" s="125">
        <f t="shared" si="22"/>
        <v>-4.245171146214247</v>
      </c>
      <c r="T148" s="144">
        <f t="shared" si="26"/>
        <v>0</v>
      </c>
      <c r="V148" s="12"/>
    </row>
    <row r="149" spans="1:22" x14ac:dyDescent="0.25">
      <c r="A149" s="49">
        <f>'A) Base RI'!A150</f>
        <v>5640</v>
      </c>
      <c r="B149" s="351" t="str">
        <f>'A) Base RI'!B150</f>
        <v>Lussy-sur-Morges</v>
      </c>
      <c r="C149" s="403">
        <v>1736633.7301760232</v>
      </c>
      <c r="D149" s="403">
        <v>1140982.3321459931</v>
      </c>
      <c r="E149" s="404">
        <v>0</v>
      </c>
      <c r="F149" s="404">
        <v>-114595.51232201634</v>
      </c>
      <c r="G149" s="404">
        <v>0</v>
      </c>
      <c r="H149" s="403">
        <f t="shared" si="24"/>
        <v>2763020.55</v>
      </c>
      <c r="I149" s="404">
        <v>61400.456666666665</v>
      </c>
      <c r="J149" s="355">
        <f>'B) D RI'!U150</f>
        <v>57031.532424242418</v>
      </c>
      <c r="K149" s="62">
        <f t="shared" si="25"/>
        <v>45</v>
      </c>
      <c r="L149" s="33">
        <f>'B) D RI'!S150</f>
        <v>66</v>
      </c>
      <c r="M149" s="465">
        <f t="shared" si="18"/>
        <v>21</v>
      </c>
      <c r="N149" s="457">
        <f>+'J) Plafonnement effort'!H148+'J) Plafonnement effort'!I148-'K) Plafonnement aide'!I148</f>
        <v>38.588425839351245</v>
      </c>
      <c r="O149" s="145">
        <f t="shared" si="19"/>
        <v>59.588425839351245</v>
      </c>
      <c r="P149" s="47">
        <f t="shared" si="20"/>
        <v>0</v>
      </c>
      <c r="Q149" s="55">
        <f t="shared" si="23"/>
        <v>0</v>
      </c>
      <c r="R149" s="145">
        <f t="shared" si="21"/>
        <v>59.588425839351245</v>
      </c>
      <c r="S149" s="125">
        <f t="shared" si="22"/>
        <v>-6.4115741606487546</v>
      </c>
      <c r="T149" s="144">
        <f t="shared" si="26"/>
        <v>0</v>
      </c>
      <c r="V149" s="12"/>
    </row>
    <row r="150" spans="1:22" x14ac:dyDescent="0.25">
      <c r="A150" s="49">
        <f>'A) Base RI'!A151</f>
        <v>5642</v>
      </c>
      <c r="B150" s="351" t="str">
        <f>'A) Base RI'!B151</f>
        <v>Morges</v>
      </c>
      <c r="C150" s="403">
        <v>17047853.214152928</v>
      </c>
      <c r="D150" s="403">
        <v>6114107.5701209828</v>
      </c>
      <c r="E150" s="404">
        <v>0</v>
      </c>
      <c r="F150" s="404">
        <v>0</v>
      </c>
      <c r="G150" s="404">
        <v>0</v>
      </c>
      <c r="H150" s="403">
        <f t="shared" si="24"/>
        <v>23161960.784273911</v>
      </c>
      <c r="I150" s="404">
        <v>842114.79489051085</v>
      </c>
      <c r="J150" s="355">
        <f>'B) D RI'!U151</f>
        <v>787513.11402985093</v>
      </c>
      <c r="K150" s="62">
        <f t="shared" si="25"/>
        <v>27.504517109553166</v>
      </c>
      <c r="L150" s="33">
        <f>'B) D RI'!S151</f>
        <v>67</v>
      </c>
      <c r="M150" s="465">
        <f t="shared" si="18"/>
        <v>39.495482890446837</v>
      </c>
      <c r="N150" s="457">
        <f>+'J) Plafonnement effort'!H149+'J) Plafonnement effort'!I149-'K) Plafonnement aide'!I149</f>
        <v>17.607878360100209</v>
      </c>
      <c r="O150" s="145">
        <f t="shared" si="19"/>
        <v>57.103361250547046</v>
      </c>
      <c r="P150" s="47">
        <f t="shared" si="20"/>
        <v>0</v>
      </c>
      <c r="Q150" s="55">
        <f t="shared" si="23"/>
        <v>0</v>
      </c>
      <c r="R150" s="145">
        <f t="shared" si="21"/>
        <v>57.103361250547046</v>
      </c>
      <c r="S150" s="125">
        <f t="shared" si="22"/>
        <v>-9.8966387494529542</v>
      </c>
      <c r="T150" s="144">
        <f t="shared" si="26"/>
        <v>0</v>
      </c>
      <c r="V150" s="12"/>
    </row>
    <row r="151" spans="1:22" x14ac:dyDescent="0.25">
      <c r="A151" s="49">
        <f>'A) Base RI'!A152</f>
        <v>5643</v>
      </c>
      <c r="B151" s="351" t="str">
        <f>'A) Base RI'!B152</f>
        <v>Préverenges</v>
      </c>
      <c r="C151" s="403">
        <v>4895220.5829126667</v>
      </c>
      <c r="D151" s="403">
        <v>3208317.1163546713</v>
      </c>
      <c r="E151" s="404">
        <v>0</v>
      </c>
      <c r="F151" s="404">
        <v>0</v>
      </c>
      <c r="G151" s="404">
        <v>0</v>
      </c>
      <c r="H151" s="403">
        <f t="shared" si="24"/>
        <v>8103537.699267338</v>
      </c>
      <c r="I151" s="404">
        <v>259364.760625</v>
      </c>
      <c r="J151" s="355">
        <f>'B) D RI'!U152</f>
        <v>262337.37167999998</v>
      </c>
      <c r="K151" s="62">
        <f t="shared" si="25"/>
        <v>31.243788399549615</v>
      </c>
      <c r="L151" s="33">
        <f>'B) D RI'!S152</f>
        <v>62.5</v>
      </c>
      <c r="M151" s="465">
        <f t="shared" si="18"/>
        <v>31.256211600450385</v>
      </c>
      <c r="N151" s="457">
        <f>+'J) Plafonnement effort'!H150+'J) Plafonnement effort'!I150-'K) Plafonnement aide'!I150</f>
        <v>25.69777487184291</v>
      </c>
      <c r="O151" s="145">
        <f t="shared" si="19"/>
        <v>56.953986472293295</v>
      </c>
      <c r="P151" s="47">
        <f t="shared" si="20"/>
        <v>0</v>
      </c>
      <c r="Q151" s="55">
        <f t="shared" si="23"/>
        <v>0</v>
      </c>
      <c r="R151" s="145">
        <f t="shared" si="21"/>
        <v>56.953986472293295</v>
      </c>
      <c r="S151" s="125">
        <f t="shared" si="22"/>
        <v>-5.5460135277067053</v>
      </c>
      <c r="T151" s="144">
        <f t="shared" si="26"/>
        <v>0</v>
      </c>
      <c r="V151" s="12"/>
    </row>
    <row r="152" spans="1:22" x14ac:dyDescent="0.25">
      <c r="A152" s="49">
        <f>'A) Base RI'!A153</f>
        <v>5644</v>
      </c>
      <c r="B152" s="351" t="str">
        <f>'A) Base RI'!B153</f>
        <v>Reverolle</v>
      </c>
      <c r="C152" s="403">
        <v>288479.23813299288</v>
      </c>
      <c r="D152" s="403">
        <v>225898.22939567629</v>
      </c>
      <c r="E152" s="404">
        <v>0</v>
      </c>
      <c r="F152" s="404">
        <v>0</v>
      </c>
      <c r="G152" s="404">
        <v>0</v>
      </c>
      <c r="H152" s="403">
        <f t="shared" si="24"/>
        <v>514377.46752866916</v>
      </c>
      <c r="I152" s="404">
        <v>16859.730657894735</v>
      </c>
      <c r="J152" s="355">
        <f>'B) D RI'!U153</f>
        <v>16020.747027027028</v>
      </c>
      <c r="K152" s="62">
        <f t="shared" si="25"/>
        <v>30.509233982798346</v>
      </c>
      <c r="L152" s="33">
        <f>'B) D RI'!S153</f>
        <v>74</v>
      </c>
      <c r="M152" s="465">
        <f t="shared" si="18"/>
        <v>43.490766017201651</v>
      </c>
      <c r="N152" s="457">
        <f>+'J) Plafonnement effort'!H151+'J) Plafonnement effort'!I151-'K) Plafonnement aide'!I151</f>
        <v>20.835012410725394</v>
      </c>
      <c r="O152" s="145">
        <f t="shared" si="19"/>
        <v>64.325778427927048</v>
      </c>
      <c r="P152" s="47">
        <f t="shared" si="20"/>
        <v>0</v>
      </c>
      <c r="Q152" s="55">
        <f t="shared" si="23"/>
        <v>0</v>
      </c>
      <c r="R152" s="145">
        <f t="shared" si="21"/>
        <v>64.325778427927048</v>
      </c>
      <c r="S152" s="125">
        <f t="shared" si="22"/>
        <v>-9.6742215720729519</v>
      </c>
      <c r="T152" s="144">
        <f t="shared" si="26"/>
        <v>0</v>
      </c>
      <c r="V152" s="12"/>
    </row>
    <row r="153" spans="1:22" x14ac:dyDescent="0.25">
      <c r="A153" s="49">
        <f>'A) Base RI'!A154</f>
        <v>5645</v>
      </c>
      <c r="B153" s="351" t="str">
        <f>'A) Base RI'!B154</f>
        <v>Romanel-sur-Morges</v>
      </c>
      <c r="C153" s="403">
        <v>629782.76944932796</v>
      </c>
      <c r="D153" s="403">
        <v>536024.53097325924</v>
      </c>
      <c r="E153" s="404">
        <v>0</v>
      </c>
      <c r="F153" s="404">
        <v>0</v>
      </c>
      <c r="G153" s="404">
        <v>0</v>
      </c>
      <c r="H153" s="403">
        <f t="shared" si="24"/>
        <v>1165807.3004225872</v>
      </c>
      <c r="I153" s="404">
        <v>29743.552142857145</v>
      </c>
      <c r="J153" s="355">
        <f>'B) D RI'!U154</f>
        <v>27365.134464285718</v>
      </c>
      <c r="K153" s="62">
        <f t="shared" si="25"/>
        <v>39.195294994466678</v>
      </c>
      <c r="L153" s="33">
        <f>'B) D RI'!S154</f>
        <v>56</v>
      </c>
      <c r="M153" s="465">
        <f t="shared" si="18"/>
        <v>16.804705005533322</v>
      </c>
      <c r="N153" s="457">
        <f>+'J) Plafonnement effort'!H152+'J) Plafonnement effort'!I152-'K) Plafonnement aide'!I152</f>
        <v>30.117677692050645</v>
      </c>
      <c r="O153" s="145">
        <f t="shared" si="19"/>
        <v>46.92238269758397</v>
      </c>
      <c r="P153" s="47">
        <f t="shared" si="20"/>
        <v>0</v>
      </c>
      <c r="Q153" s="55">
        <f t="shared" si="23"/>
        <v>0</v>
      </c>
      <c r="R153" s="145">
        <f t="shared" si="21"/>
        <v>46.92238269758397</v>
      </c>
      <c r="S153" s="125">
        <f t="shared" si="22"/>
        <v>-9.07761730241603</v>
      </c>
      <c r="T153" s="144">
        <f t="shared" si="26"/>
        <v>0</v>
      </c>
      <c r="V153" s="12"/>
    </row>
    <row r="154" spans="1:22" x14ac:dyDescent="0.25">
      <c r="A154" s="49">
        <f>'A) Base RI'!A155</f>
        <v>5646</v>
      </c>
      <c r="B154" s="351" t="str">
        <f>'A) Base RI'!B155</f>
        <v>Saint-Prex</v>
      </c>
      <c r="C154" s="403">
        <v>9279074.7527597435</v>
      </c>
      <c r="D154" s="403">
        <v>6083556.692325728</v>
      </c>
      <c r="E154" s="404">
        <v>0</v>
      </c>
      <c r="F154" s="404">
        <v>0</v>
      </c>
      <c r="G154" s="404">
        <v>0</v>
      </c>
      <c r="H154" s="403">
        <f t="shared" si="24"/>
        <v>15362631.445085471</v>
      </c>
      <c r="I154" s="404">
        <v>419083.43709090899</v>
      </c>
      <c r="J154" s="355">
        <f>'B) D RI'!U155</f>
        <v>541092.68090909091</v>
      </c>
      <c r="K154" s="62">
        <f t="shared" si="25"/>
        <v>36.657691727752436</v>
      </c>
      <c r="L154" s="33">
        <f>'B) D RI'!S155</f>
        <v>55</v>
      </c>
      <c r="M154" s="465">
        <f t="shared" si="18"/>
        <v>18.342308272247564</v>
      </c>
      <c r="N154" s="457">
        <f>+'J) Plafonnement effort'!H153+'J) Plafonnement effort'!I153-'K) Plafonnement aide'!I153</f>
        <v>36.880571545729204</v>
      </c>
      <c r="O154" s="145">
        <f t="shared" si="19"/>
        <v>55.222879817976768</v>
      </c>
      <c r="P154" s="47">
        <f t="shared" si="20"/>
        <v>0</v>
      </c>
      <c r="Q154" s="55">
        <f t="shared" si="23"/>
        <v>0</v>
      </c>
      <c r="R154" s="145">
        <f t="shared" si="21"/>
        <v>55.222879817976768</v>
      </c>
      <c r="S154" s="125">
        <f t="shared" si="22"/>
        <v>0.22287981797676792</v>
      </c>
      <c r="T154" s="144">
        <f t="shared" si="26"/>
        <v>0</v>
      </c>
      <c r="V154" s="12"/>
    </row>
    <row r="155" spans="1:22" x14ac:dyDescent="0.25">
      <c r="A155" s="49">
        <f>'A) Base RI'!A156</f>
        <v>5648</v>
      </c>
      <c r="B155" s="351" t="str">
        <f>'A) Base RI'!B156</f>
        <v>Saint-Sulpice</v>
      </c>
      <c r="C155" s="403">
        <v>9512323.221918229</v>
      </c>
      <c r="D155" s="403">
        <v>5980030.9496113956</v>
      </c>
      <c r="E155" s="404">
        <v>0</v>
      </c>
      <c r="F155" s="404">
        <v>0</v>
      </c>
      <c r="G155" s="404">
        <v>0</v>
      </c>
      <c r="H155" s="403">
        <f t="shared" si="24"/>
        <v>15492354.171529625</v>
      </c>
      <c r="I155" s="404">
        <v>383471.67436363641</v>
      </c>
      <c r="J155" s="355">
        <f>'B) D RI'!U156</f>
        <v>396480.48181818181</v>
      </c>
      <c r="K155" s="62">
        <f t="shared" si="25"/>
        <v>40.400256934854127</v>
      </c>
      <c r="L155" s="33">
        <f>'B) D RI'!S156</f>
        <v>55</v>
      </c>
      <c r="M155" s="465">
        <f t="shared" si="18"/>
        <v>14.599743065145873</v>
      </c>
      <c r="N155" s="457">
        <f>+'J) Plafonnement effort'!H154+'J) Plafonnement effort'!I154-'K) Plafonnement aide'!I154</f>
        <v>34.805170845942051</v>
      </c>
      <c r="O155" s="145">
        <f t="shared" si="19"/>
        <v>49.404913911087924</v>
      </c>
      <c r="P155" s="47">
        <f t="shared" si="20"/>
        <v>0</v>
      </c>
      <c r="Q155" s="55">
        <f t="shared" si="23"/>
        <v>0</v>
      </c>
      <c r="R155" s="145">
        <f t="shared" si="21"/>
        <v>49.404913911087924</v>
      </c>
      <c r="S155" s="125">
        <f t="shared" si="22"/>
        <v>-5.5950860889120761</v>
      </c>
      <c r="T155" s="144">
        <f t="shared" si="26"/>
        <v>0</v>
      </c>
      <c r="V155" s="12"/>
    </row>
    <row r="156" spans="1:22" x14ac:dyDescent="0.25">
      <c r="A156" s="49">
        <f>'A) Base RI'!A157</f>
        <v>5649</v>
      </c>
      <c r="B156" s="351" t="str">
        <f>'A) Base RI'!B157</f>
        <v>Tolochenaz</v>
      </c>
      <c r="C156" s="403">
        <v>2068987.3541509476</v>
      </c>
      <c r="D156" s="403">
        <v>1751943.6344315775</v>
      </c>
      <c r="E156" s="404">
        <v>0</v>
      </c>
      <c r="F156" s="404">
        <v>0</v>
      </c>
      <c r="G156" s="404">
        <v>0</v>
      </c>
      <c r="H156" s="403">
        <f t="shared" si="24"/>
        <v>3820930.9885825254</v>
      </c>
      <c r="I156" s="404">
        <v>109794.23076923077</v>
      </c>
      <c r="J156" s="355">
        <f>'B) D RI'!U157</f>
        <v>215548.34569230766</v>
      </c>
      <c r="K156" s="62">
        <f t="shared" si="25"/>
        <v>34.800835725271284</v>
      </c>
      <c r="L156" s="33">
        <f>'B) D RI'!S157</f>
        <v>65</v>
      </c>
      <c r="M156" s="465">
        <f t="shared" si="18"/>
        <v>30.199164274728716</v>
      </c>
      <c r="N156" s="457">
        <f>+'J) Plafonnement effort'!H155+'J) Plafonnement effort'!I155-'K) Plafonnement aide'!I155</f>
        <v>44.782963180150198</v>
      </c>
      <c r="O156" s="145">
        <f t="shared" si="19"/>
        <v>74.982127454878906</v>
      </c>
      <c r="P156" s="47">
        <f t="shared" si="20"/>
        <v>0</v>
      </c>
      <c r="Q156" s="55">
        <f t="shared" si="23"/>
        <v>0</v>
      </c>
      <c r="R156" s="145">
        <f t="shared" si="21"/>
        <v>74.982127454878906</v>
      </c>
      <c r="S156" s="125">
        <f t="shared" si="22"/>
        <v>9.9821274548789063</v>
      </c>
      <c r="T156" s="144">
        <f t="shared" si="26"/>
        <v>0</v>
      </c>
      <c r="V156" s="12"/>
    </row>
    <row r="157" spans="1:22" x14ac:dyDescent="0.25">
      <c r="A157" s="49">
        <f>'A) Base RI'!A158</f>
        <v>5650</v>
      </c>
      <c r="B157" s="351" t="str">
        <f>'A) Base RI'!B158</f>
        <v>Vaux-sur-Morges</v>
      </c>
      <c r="C157" s="403">
        <v>7368678.8639374375</v>
      </c>
      <c r="D157" s="403">
        <v>3233160.1504558627</v>
      </c>
      <c r="E157" s="404">
        <v>0</v>
      </c>
      <c r="F157" s="404">
        <v>-3274277.7876075851</v>
      </c>
      <c r="G157" s="404">
        <v>0</v>
      </c>
      <c r="H157" s="403">
        <f t="shared" si="24"/>
        <v>7327561.2267857147</v>
      </c>
      <c r="I157" s="404">
        <v>162834.69392857142</v>
      </c>
      <c r="J157" s="355">
        <f>'B) D RI'!U158</f>
        <v>63002.429285714286</v>
      </c>
      <c r="K157" s="62">
        <f t="shared" si="25"/>
        <v>45.000000000000007</v>
      </c>
      <c r="L157" s="33">
        <f>'B) D RI'!S158</f>
        <v>56</v>
      </c>
      <c r="M157" s="465">
        <f t="shared" si="18"/>
        <v>10.999999999999993</v>
      </c>
      <c r="N157" s="457">
        <f>+'J) Plafonnement effort'!H156+'J) Plafonnement effort'!I156-'K) Plafonnement aide'!I156</f>
        <v>48</v>
      </c>
      <c r="O157" s="145">
        <f t="shared" si="19"/>
        <v>58.999999999999993</v>
      </c>
      <c r="P157" s="47">
        <f t="shared" si="20"/>
        <v>0</v>
      </c>
      <c r="Q157" s="55">
        <f t="shared" si="23"/>
        <v>0</v>
      </c>
      <c r="R157" s="145">
        <f t="shared" si="21"/>
        <v>58.999999999999993</v>
      </c>
      <c r="S157" s="125">
        <f t="shared" si="22"/>
        <v>2.9999999999999929</v>
      </c>
      <c r="T157" s="144">
        <f t="shared" si="26"/>
        <v>0</v>
      </c>
      <c r="V157" s="12"/>
    </row>
    <row r="158" spans="1:22" x14ac:dyDescent="0.25">
      <c r="A158" s="49">
        <f>'A) Base RI'!A159</f>
        <v>5651</v>
      </c>
      <c r="B158" s="351" t="str">
        <f>'A) Base RI'!B159</f>
        <v>Villars-Sainte-Croix</v>
      </c>
      <c r="C158" s="403">
        <v>1184718.7729052808</v>
      </c>
      <c r="D158" s="403">
        <v>1051811.9936491475</v>
      </c>
      <c r="E158" s="404">
        <v>0</v>
      </c>
      <c r="F158" s="404">
        <v>0</v>
      </c>
      <c r="G158" s="404">
        <v>0</v>
      </c>
      <c r="H158" s="403">
        <f t="shared" si="24"/>
        <v>2236530.7665544283</v>
      </c>
      <c r="I158" s="404">
        <v>58682.807419354831</v>
      </c>
      <c r="J158" s="355">
        <f>'B) D RI'!U159</f>
        <v>56095.490247933893</v>
      </c>
      <c r="K158" s="62">
        <f t="shared" si="25"/>
        <v>38.112197846498617</v>
      </c>
      <c r="L158" s="33">
        <f>'B) D RI'!S159</f>
        <v>60.5</v>
      </c>
      <c r="M158" s="465">
        <f t="shared" si="18"/>
        <v>22.387802153501383</v>
      </c>
      <c r="N158" s="457">
        <f>+'J) Plafonnement effort'!H157+'J) Plafonnement effort'!I157-'K) Plafonnement aide'!I157</f>
        <v>32.780556530038737</v>
      </c>
      <c r="O158" s="145">
        <f t="shared" si="19"/>
        <v>55.16835868354012</v>
      </c>
      <c r="P158" s="47">
        <f t="shared" si="20"/>
        <v>0</v>
      </c>
      <c r="Q158" s="55">
        <f t="shared" si="23"/>
        <v>0</v>
      </c>
      <c r="R158" s="145">
        <f t="shared" si="21"/>
        <v>55.16835868354012</v>
      </c>
      <c r="S158" s="125">
        <f t="shared" si="22"/>
        <v>-5.3316413164598799</v>
      </c>
      <c r="T158" s="144">
        <f t="shared" si="26"/>
        <v>0</v>
      </c>
      <c r="V158" s="12"/>
    </row>
    <row r="159" spans="1:22" x14ac:dyDescent="0.25">
      <c r="A159" s="49">
        <f>'A) Base RI'!A160</f>
        <v>5652</v>
      </c>
      <c r="B159" s="351" t="str">
        <f>'A) Base RI'!B160</f>
        <v>Villars-sous-Yens</v>
      </c>
      <c r="C159" s="403">
        <v>586267.14705282368</v>
      </c>
      <c r="D159" s="403">
        <v>583170.22206894436</v>
      </c>
      <c r="E159" s="404">
        <v>0</v>
      </c>
      <c r="F159" s="404">
        <v>0</v>
      </c>
      <c r="G159" s="404">
        <v>0</v>
      </c>
      <c r="H159" s="403">
        <f t="shared" si="24"/>
        <v>1169437.369121768</v>
      </c>
      <c r="I159" s="404">
        <v>32935.200285087711</v>
      </c>
      <c r="J159" s="355">
        <f>'B) D RI'!U160</f>
        <v>25662.281995614037</v>
      </c>
      <c r="K159" s="62">
        <f t="shared" si="25"/>
        <v>35.50721899363284</v>
      </c>
      <c r="L159" s="33">
        <f>'B) D RI'!S160</f>
        <v>76</v>
      </c>
      <c r="M159" s="465">
        <f t="shared" si="18"/>
        <v>40.49278100636716</v>
      </c>
      <c r="N159" s="457">
        <f>+'J) Plafonnement effort'!H158+'J) Plafonnement effort'!I158-'K) Plafonnement aide'!I158</f>
        <v>25.582311882597573</v>
      </c>
      <c r="O159" s="145">
        <f t="shared" si="19"/>
        <v>66.075092888964733</v>
      </c>
      <c r="P159" s="47">
        <f t="shared" si="20"/>
        <v>0</v>
      </c>
      <c r="Q159" s="55">
        <f t="shared" si="23"/>
        <v>0</v>
      </c>
      <c r="R159" s="145">
        <f t="shared" si="21"/>
        <v>66.075092888964733</v>
      </c>
      <c r="S159" s="125">
        <f t="shared" si="22"/>
        <v>-9.9249071110352673</v>
      </c>
      <c r="T159" s="144">
        <f t="shared" si="26"/>
        <v>0</v>
      </c>
      <c r="V159" s="12"/>
    </row>
    <row r="160" spans="1:22" x14ac:dyDescent="0.25">
      <c r="A160" s="49">
        <f>'A) Base RI'!A161</f>
        <v>5653</v>
      </c>
      <c r="B160" s="351" t="str">
        <f>'A) Base RI'!B161</f>
        <v>Vufflens-le-Château</v>
      </c>
      <c r="C160" s="403">
        <v>2520648.8416742105</v>
      </c>
      <c r="D160" s="403">
        <v>1326887.2078166173</v>
      </c>
      <c r="E160" s="404">
        <v>0</v>
      </c>
      <c r="F160" s="404">
        <v>-613528.78949082759</v>
      </c>
      <c r="G160" s="404">
        <v>0</v>
      </c>
      <c r="H160" s="403">
        <f t="shared" si="24"/>
        <v>3234007.2600000007</v>
      </c>
      <c r="I160" s="404">
        <v>71866.827999999994</v>
      </c>
      <c r="J160" s="355">
        <f>'B) D RI'!U161</f>
        <v>68786.034529914527</v>
      </c>
      <c r="K160" s="62">
        <f t="shared" si="25"/>
        <v>45.000000000000014</v>
      </c>
      <c r="L160" s="33">
        <f>'B) D RI'!S161</f>
        <v>58.5</v>
      </c>
      <c r="M160" s="465">
        <f t="shared" si="18"/>
        <v>13.499999999999986</v>
      </c>
      <c r="N160" s="457">
        <f>+'J) Plafonnement effort'!H159+'J) Plafonnement effort'!I159-'K) Plafonnement aide'!I159</f>
        <v>37.755013006890778</v>
      </c>
      <c r="O160" s="145">
        <f t="shared" si="19"/>
        <v>51.255013006890763</v>
      </c>
      <c r="P160" s="47">
        <f t="shared" si="20"/>
        <v>0</v>
      </c>
      <c r="Q160" s="55">
        <f t="shared" si="23"/>
        <v>0</v>
      </c>
      <c r="R160" s="145">
        <f t="shared" si="21"/>
        <v>51.255013006890763</v>
      </c>
      <c r="S160" s="125">
        <f t="shared" si="22"/>
        <v>-7.2449869931092366</v>
      </c>
      <c r="T160" s="144">
        <f t="shared" si="26"/>
        <v>0</v>
      </c>
      <c r="V160" s="12"/>
    </row>
    <row r="161" spans="1:22" x14ac:dyDescent="0.25">
      <c r="A161" s="49">
        <f>'A) Base RI'!A162</f>
        <v>5654</v>
      </c>
      <c r="B161" s="351" t="str">
        <f>'A) Base RI'!B162</f>
        <v>Vullierens</v>
      </c>
      <c r="C161" s="403">
        <v>292261.14718037349</v>
      </c>
      <c r="D161" s="403">
        <v>157343.54522893656</v>
      </c>
      <c r="E161" s="404">
        <v>0</v>
      </c>
      <c r="F161" s="404">
        <v>0</v>
      </c>
      <c r="G161" s="404">
        <v>0</v>
      </c>
      <c r="H161" s="403">
        <f t="shared" si="24"/>
        <v>449604.69240931002</v>
      </c>
      <c r="I161" s="404">
        <v>18067.402499999997</v>
      </c>
      <c r="J161" s="355">
        <f>'B) D RI'!U162</f>
        <v>19265.899342105262</v>
      </c>
      <c r="K161" s="62">
        <f t="shared" si="25"/>
        <v>24.884855053697404</v>
      </c>
      <c r="L161" s="33">
        <f>'B) D RI'!S162</f>
        <v>76</v>
      </c>
      <c r="M161" s="465">
        <f t="shared" si="18"/>
        <v>51.115144946302593</v>
      </c>
      <c r="N161" s="457">
        <f>+'J) Plafonnement effort'!H160+'J) Plafonnement effort'!I160-'K) Plafonnement aide'!I160</f>
        <v>19.648526661137637</v>
      </c>
      <c r="O161" s="145">
        <f t="shared" si="19"/>
        <v>70.76367160744023</v>
      </c>
      <c r="P161" s="47">
        <f t="shared" si="20"/>
        <v>0</v>
      </c>
      <c r="Q161" s="55">
        <f t="shared" si="23"/>
        <v>0</v>
      </c>
      <c r="R161" s="145">
        <f t="shared" si="21"/>
        <v>70.76367160744023</v>
      </c>
      <c r="S161" s="125">
        <f t="shared" si="22"/>
        <v>-5.2363283925597699</v>
      </c>
      <c r="T161" s="144">
        <f t="shared" si="26"/>
        <v>0</v>
      </c>
      <c r="V161" s="12"/>
    </row>
    <row r="162" spans="1:22" x14ac:dyDescent="0.25">
      <c r="A162" s="49">
        <f>'A) Base RI'!A163</f>
        <v>5655</v>
      </c>
      <c r="B162" s="351" t="str">
        <f>'A) Base RI'!B163</f>
        <v>Yens</v>
      </c>
      <c r="C162" s="403">
        <v>1510281.1106004845</v>
      </c>
      <c r="D162" s="403">
        <v>1251729.7630611965</v>
      </c>
      <c r="E162" s="404">
        <v>0</v>
      </c>
      <c r="F162" s="404">
        <v>0</v>
      </c>
      <c r="G162" s="404">
        <v>0</v>
      </c>
      <c r="H162" s="403">
        <f t="shared" si="24"/>
        <v>2762010.8736616811</v>
      </c>
      <c r="I162" s="404">
        <v>77231.578767123297</v>
      </c>
      <c r="J162" s="355">
        <f>'B) D RI'!U163</f>
        <v>90935.122097902116</v>
      </c>
      <c r="K162" s="62">
        <f t="shared" si="25"/>
        <v>35.76271413523714</v>
      </c>
      <c r="L162" s="33">
        <f>'B) D RI'!S163</f>
        <v>71.5</v>
      </c>
      <c r="M162" s="465">
        <f t="shared" si="18"/>
        <v>35.73728586476286</v>
      </c>
      <c r="N162" s="457">
        <f>+'J) Plafonnement effort'!H161+'J) Plafonnement effort'!I161-'K) Plafonnement aide'!I161</f>
        <v>32.990947556923068</v>
      </c>
      <c r="O162" s="145">
        <f t="shared" si="19"/>
        <v>68.728233421685928</v>
      </c>
      <c r="P162" s="47">
        <f t="shared" si="20"/>
        <v>0</v>
      </c>
      <c r="Q162" s="55">
        <f t="shared" si="23"/>
        <v>0</v>
      </c>
      <c r="R162" s="145">
        <f t="shared" si="21"/>
        <v>68.728233421685928</v>
      </c>
      <c r="S162" s="125">
        <f t="shared" si="22"/>
        <v>-2.7717665783140717</v>
      </c>
      <c r="T162" s="144">
        <f t="shared" si="26"/>
        <v>0</v>
      </c>
      <c r="V162" s="12"/>
    </row>
    <row r="163" spans="1:22" x14ac:dyDescent="0.25">
      <c r="A163" s="49">
        <f>'A) Base RI'!A164</f>
        <v>5661</v>
      </c>
      <c r="B163" s="351" t="str">
        <f>'A) Base RI'!B164</f>
        <v>Boulens</v>
      </c>
      <c r="C163" s="403">
        <v>154082.96105970879</v>
      </c>
      <c r="D163" s="403">
        <v>9532.3145439714426</v>
      </c>
      <c r="E163" s="404">
        <v>0</v>
      </c>
      <c r="F163" s="404">
        <v>0</v>
      </c>
      <c r="G163" s="404">
        <v>0</v>
      </c>
      <c r="H163" s="403">
        <f t="shared" si="24"/>
        <v>163615.27560368023</v>
      </c>
      <c r="I163" s="404">
        <v>10067.366438356165</v>
      </c>
      <c r="J163" s="355">
        <f>'B) D RI'!U164</f>
        <v>10167.852447552446</v>
      </c>
      <c r="K163" s="62">
        <f t="shared" si="25"/>
        <v>16.252043332833718</v>
      </c>
      <c r="L163" s="33">
        <f>'B) D RI'!S164</f>
        <v>71.5</v>
      </c>
      <c r="M163" s="465">
        <f t="shared" si="18"/>
        <v>55.247956667166278</v>
      </c>
      <c r="N163" s="457">
        <f>+'J) Plafonnement effort'!H162+'J) Plafonnement effort'!I162-'K) Plafonnement aide'!I162</f>
        <v>11.486557765171625</v>
      </c>
      <c r="O163" s="145">
        <f t="shared" si="19"/>
        <v>66.734514432337903</v>
      </c>
      <c r="P163" s="47">
        <f t="shared" si="20"/>
        <v>0</v>
      </c>
      <c r="Q163" s="55">
        <f t="shared" si="23"/>
        <v>0</v>
      </c>
      <c r="R163" s="145">
        <f t="shared" si="21"/>
        <v>66.734514432337903</v>
      </c>
      <c r="S163" s="125">
        <f t="shared" si="22"/>
        <v>-4.7654855676620969</v>
      </c>
      <c r="T163" s="144">
        <f t="shared" si="26"/>
        <v>0</v>
      </c>
      <c r="V163" s="12"/>
    </row>
    <row r="164" spans="1:22" x14ac:dyDescent="0.25">
      <c r="A164" s="49">
        <f>'A) Base RI'!A165</f>
        <v>5663</v>
      </c>
      <c r="B164" s="351" t="str">
        <f>'A) Base RI'!B165</f>
        <v>Bussy-sur-Moudon</v>
      </c>
      <c r="C164" s="403">
        <v>116096.59945191049</v>
      </c>
      <c r="D164" s="403">
        <v>582.11598697307636</v>
      </c>
      <c r="E164" s="404">
        <v>0</v>
      </c>
      <c r="F164" s="404">
        <v>0</v>
      </c>
      <c r="G164" s="404">
        <v>0</v>
      </c>
      <c r="H164" s="403">
        <f t="shared" si="24"/>
        <v>116678.71543888356</v>
      </c>
      <c r="I164" s="404">
        <v>6357.5273750000006</v>
      </c>
      <c r="J164" s="355">
        <f>'B) D RI'!U165</f>
        <v>5408.1284999999998</v>
      </c>
      <c r="K164" s="62">
        <f t="shared" si="25"/>
        <v>18.352845148210399</v>
      </c>
      <c r="L164" s="33">
        <f>'B) D RI'!S165</f>
        <v>80</v>
      </c>
      <c r="M164" s="465">
        <f t="shared" si="18"/>
        <v>61.647154851789601</v>
      </c>
      <c r="N164" s="457">
        <f>+'J) Plafonnement effort'!H163+'J) Plafonnement effort'!I163-'K) Plafonnement aide'!I163</f>
        <v>3.2446902984923822</v>
      </c>
      <c r="O164" s="145">
        <f t="shared" si="19"/>
        <v>64.891845150281981</v>
      </c>
      <c r="P164" s="47">
        <f t="shared" si="20"/>
        <v>0</v>
      </c>
      <c r="Q164" s="55">
        <f t="shared" si="23"/>
        <v>0</v>
      </c>
      <c r="R164" s="145">
        <f t="shared" si="21"/>
        <v>64.891845150281981</v>
      </c>
      <c r="S164" s="125">
        <f t="shared" si="22"/>
        <v>-15.108154849718019</v>
      </c>
      <c r="T164" s="144">
        <f t="shared" si="26"/>
        <v>0</v>
      </c>
      <c r="V164" s="12"/>
    </row>
    <row r="165" spans="1:22" x14ac:dyDescent="0.25">
      <c r="A165" s="49">
        <f>'A) Base RI'!A166</f>
        <v>5665</v>
      </c>
      <c r="B165" s="351" t="str">
        <f>'A) Base RI'!B166</f>
        <v>Chavannes-sur-Moudon</v>
      </c>
      <c r="C165" s="403">
        <v>84311.882415610526</v>
      </c>
      <c r="D165" s="403">
        <v>-40554.25434183664</v>
      </c>
      <c r="E165" s="404">
        <v>0</v>
      </c>
      <c r="F165" s="404">
        <v>0</v>
      </c>
      <c r="G165" s="404">
        <v>0</v>
      </c>
      <c r="H165" s="403">
        <f t="shared" si="24"/>
        <v>43757.628073773885</v>
      </c>
      <c r="I165" s="404">
        <v>4734.8986301369869</v>
      </c>
      <c r="J165" s="355">
        <f>'B) D RI'!U166</f>
        <v>6834.8221917808223</v>
      </c>
      <c r="K165" s="62">
        <f t="shared" si="25"/>
        <v>9.2415131752267143</v>
      </c>
      <c r="L165" s="33">
        <f>'B) D RI'!S166</f>
        <v>73</v>
      </c>
      <c r="M165" s="465">
        <f t="shared" si="18"/>
        <v>63.758486824773286</v>
      </c>
      <c r="N165" s="457">
        <f>+'J) Plafonnement effort'!H164+'J) Plafonnement effort'!I164-'K) Plafonnement aide'!I164</f>
        <v>16.070627255845601</v>
      </c>
      <c r="O165" s="145">
        <f t="shared" si="19"/>
        <v>79.829114080618893</v>
      </c>
      <c r="P165" s="47">
        <f t="shared" si="20"/>
        <v>0</v>
      </c>
      <c r="Q165" s="55">
        <f t="shared" si="23"/>
        <v>0</v>
      </c>
      <c r="R165" s="145">
        <f t="shared" si="21"/>
        <v>79.829114080618893</v>
      </c>
      <c r="S165" s="125">
        <f t="shared" si="22"/>
        <v>6.8291140806188935</v>
      </c>
      <c r="T165" s="144">
        <f t="shared" si="26"/>
        <v>0</v>
      </c>
      <c r="V165" s="12"/>
    </row>
    <row r="166" spans="1:22" x14ac:dyDescent="0.25">
      <c r="A166" s="49">
        <f>'A) Base RI'!A167</f>
        <v>5669</v>
      </c>
      <c r="B166" s="351" t="str">
        <f>'A) Base RI'!B167</f>
        <v>Curtilles</v>
      </c>
      <c r="C166" s="403">
        <v>154560.57103144846</v>
      </c>
      <c r="D166" s="403">
        <v>58572.118354149134</v>
      </c>
      <c r="E166" s="404">
        <v>0</v>
      </c>
      <c r="F166" s="404">
        <v>0</v>
      </c>
      <c r="G166" s="404">
        <v>0</v>
      </c>
      <c r="H166" s="403">
        <f t="shared" si="24"/>
        <v>213132.68938559759</v>
      </c>
      <c r="I166" s="404">
        <v>10002.199066666666</v>
      </c>
      <c r="J166" s="355">
        <f>'B) D RI'!U167</f>
        <v>10286.853972602739</v>
      </c>
      <c r="K166" s="62">
        <f t="shared" si="25"/>
        <v>21.308583039092245</v>
      </c>
      <c r="L166" s="33">
        <f>'B) D RI'!S167</f>
        <v>73</v>
      </c>
      <c r="M166" s="465">
        <f t="shared" si="18"/>
        <v>51.691416960907759</v>
      </c>
      <c r="N166" s="457">
        <f>+'J) Plafonnement effort'!H165+'J) Plafonnement effort'!I165-'K) Plafonnement aide'!I165</f>
        <v>20.291771684982333</v>
      </c>
      <c r="O166" s="145">
        <f t="shared" si="19"/>
        <v>71.983188645890095</v>
      </c>
      <c r="P166" s="47">
        <f t="shared" si="20"/>
        <v>0</v>
      </c>
      <c r="Q166" s="55">
        <f t="shared" si="23"/>
        <v>0</v>
      </c>
      <c r="R166" s="145">
        <f t="shared" si="21"/>
        <v>71.983188645890095</v>
      </c>
      <c r="S166" s="125">
        <f t="shared" si="22"/>
        <v>-1.0168113541099046</v>
      </c>
      <c r="T166" s="144">
        <f t="shared" si="26"/>
        <v>0</v>
      </c>
      <c r="V166" s="12"/>
    </row>
    <row r="167" spans="1:22" x14ac:dyDescent="0.25">
      <c r="A167" s="49">
        <f>'A) Base RI'!A168</f>
        <v>5671</v>
      </c>
      <c r="B167" s="351" t="str">
        <f>'A) Base RI'!B168</f>
        <v>Dompierre</v>
      </c>
      <c r="C167" s="403">
        <v>120548.36113394867</v>
      </c>
      <c r="D167" s="403">
        <v>-8197.0556861176447</v>
      </c>
      <c r="E167" s="404">
        <v>0</v>
      </c>
      <c r="F167" s="404">
        <v>0</v>
      </c>
      <c r="G167" s="404">
        <v>0</v>
      </c>
      <c r="H167" s="403">
        <f t="shared" si="24"/>
        <v>112351.30544783102</v>
      </c>
      <c r="I167" s="404">
        <v>6571.3844999999983</v>
      </c>
      <c r="J167" s="355">
        <f>'B) D RI'!U168</f>
        <v>6034.0657692307695</v>
      </c>
      <c r="K167" s="62">
        <f t="shared" si="25"/>
        <v>17.097052447293422</v>
      </c>
      <c r="L167" s="33">
        <f>'B) D RI'!S168</f>
        <v>78</v>
      </c>
      <c r="M167" s="465">
        <f t="shared" ref="M167:M218" si="27">L167-K167</f>
        <v>60.902947552706578</v>
      </c>
      <c r="N167" s="457">
        <f>+'J) Plafonnement effort'!H166+'J) Plafonnement effort'!I166-'K) Plafonnement aide'!I166</f>
        <v>-3.4670609796833221</v>
      </c>
      <c r="O167" s="145">
        <f t="shared" ref="O167:O218" si="28">M167+N167</f>
        <v>57.435886573023254</v>
      </c>
      <c r="P167" s="47">
        <f t="shared" ref="P167:P218" si="29">IF(O167&gt;$P$5,$P$5-O167,0)</f>
        <v>0</v>
      </c>
      <c r="Q167" s="55">
        <f t="shared" si="23"/>
        <v>0</v>
      </c>
      <c r="R167" s="145">
        <f t="shared" ref="R167:R218" si="30">O167+P167</f>
        <v>57.435886573023254</v>
      </c>
      <c r="S167" s="125">
        <f t="shared" ref="S167:S218" si="31">R167-L167</f>
        <v>-20.564113426976746</v>
      </c>
      <c r="T167" s="144">
        <f t="shared" si="26"/>
        <v>0</v>
      </c>
      <c r="V167" s="12"/>
    </row>
    <row r="168" spans="1:22" x14ac:dyDescent="0.25">
      <c r="A168" s="49">
        <f>'A) Base RI'!A169</f>
        <v>5673</v>
      </c>
      <c r="B168" s="351" t="str">
        <f>'A) Base RI'!B169</f>
        <v>Hermenches</v>
      </c>
      <c r="C168" s="403">
        <v>168896.91571658928</v>
      </c>
      <c r="D168" s="403">
        <v>-12323.726686992304</v>
      </c>
      <c r="E168" s="404">
        <v>0</v>
      </c>
      <c r="F168" s="404">
        <v>0</v>
      </c>
      <c r="G168" s="404">
        <v>0</v>
      </c>
      <c r="H168" s="403">
        <f t="shared" si="24"/>
        <v>156573.18902959698</v>
      </c>
      <c r="I168" s="404">
        <v>9909.6989333333331</v>
      </c>
      <c r="J168" s="355">
        <f>'B) D RI'!U169</f>
        <v>10638.728435374151</v>
      </c>
      <c r="K168" s="62">
        <f t="shared" si="25"/>
        <v>15.799994538979433</v>
      </c>
      <c r="L168" s="33">
        <f>'B) D RI'!S169</f>
        <v>73.5</v>
      </c>
      <c r="M168" s="465">
        <f t="shared" si="27"/>
        <v>57.700005461020567</v>
      </c>
      <c r="N168" s="457">
        <f>+'J) Plafonnement effort'!H167+'J) Plafonnement effort'!I167-'K) Plafonnement aide'!I167</f>
        <v>7.0698498797880038</v>
      </c>
      <c r="O168" s="145">
        <f t="shared" si="28"/>
        <v>64.769855340808576</v>
      </c>
      <c r="P168" s="47">
        <f t="shared" si="29"/>
        <v>0</v>
      </c>
      <c r="Q168" s="55">
        <f t="shared" ref="Q168:Q221" si="32">P168*J168</f>
        <v>0</v>
      </c>
      <c r="R168" s="145">
        <f t="shared" si="30"/>
        <v>64.769855340808576</v>
      </c>
      <c r="S168" s="125">
        <f t="shared" si="31"/>
        <v>-8.7301446591914242</v>
      </c>
      <c r="T168" s="144">
        <f t="shared" si="26"/>
        <v>0</v>
      </c>
      <c r="V168" s="12"/>
    </row>
    <row r="169" spans="1:22" x14ac:dyDescent="0.25">
      <c r="A169" s="49">
        <f>'A) Base RI'!A170</f>
        <v>5674</v>
      </c>
      <c r="B169" s="351" t="str">
        <f>'A) Base RI'!B170</f>
        <v>Lovatens</v>
      </c>
      <c r="C169" s="403">
        <v>47327.537415906518</v>
      </c>
      <c r="D169" s="403">
        <v>-23896.862273103143</v>
      </c>
      <c r="E169" s="404">
        <v>0</v>
      </c>
      <c r="F169" s="404">
        <v>0</v>
      </c>
      <c r="G169" s="404">
        <v>0</v>
      </c>
      <c r="H169" s="403">
        <f t="shared" si="24"/>
        <v>23430.675142803375</v>
      </c>
      <c r="I169" s="404">
        <v>3215.0507999999995</v>
      </c>
      <c r="J169" s="355">
        <f>'B) D RI'!U170</f>
        <v>3430.742038095239</v>
      </c>
      <c r="K169" s="62">
        <f t="shared" si="25"/>
        <v>7.2878086849524673</v>
      </c>
      <c r="L169" s="33">
        <f>'B) D RI'!S170</f>
        <v>75</v>
      </c>
      <c r="M169" s="465">
        <f t="shared" si="27"/>
        <v>67.712191315047534</v>
      </c>
      <c r="N169" s="457">
        <f>+'J) Plafonnement effort'!H168+'J) Plafonnement effort'!I168-'K) Plafonnement aide'!I168</f>
        <v>-3.5653923015340396</v>
      </c>
      <c r="O169" s="145">
        <f t="shared" si="28"/>
        <v>64.146799013513487</v>
      </c>
      <c r="P169" s="47">
        <f t="shared" si="29"/>
        <v>0</v>
      </c>
      <c r="Q169" s="55">
        <f t="shared" si="32"/>
        <v>0</v>
      </c>
      <c r="R169" s="145">
        <f t="shared" si="30"/>
        <v>64.146799013513487</v>
      </c>
      <c r="S169" s="125">
        <f t="shared" si="31"/>
        <v>-10.853200986486513</v>
      </c>
      <c r="T169" s="144">
        <f t="shared" si="26"/>
        <v>0</v>
      </c>
      <c r="V169" s="12"/>
    </row>
    <row r="170" spans="1:22" x14ac:dyDescent="0.25">
      <c r="A170" s="49">
        <f>'A) Base RI'!A171</f>
        <v>5675</v>
      </c>
      <c r="B170" s="351" t="str">
        <f>'A) Base RI'!B171</f>
        <v>Lucens</v>
      </c>
      <c r="C170" s="403">
        <v>1895615.4201690583</v>
      </c>
      <c r="D170" s="403">
        <v>-1392359.2196683423</v>
      </c>
      <c r="E170" s="404">
        <v>0</v>
      </c>
      <c r="F170" s="404">
        <v>0</v>
      </c>
      <c r="G170" s="404">
        <v>0</v>
      </c>
      <c r="H170" s="403">
        <f t="shared" si="24"/>
        <v>503256.20050071599</v>
      </c>
      <c r="I170" s="404">
        <v>97758.400909090895</v>
      </c>
      <c r="J170" s="355">
        <f>'B) D RI'!U171</f>
        <v>97154.219717171698</v>
      </c>
      <c r="K170" s="62">
        <f t="shared" si="25"/>
        <v>5.1479585981435223</v>
      </c>
      <c r="L170" s="33">
        <f>'B) D RI'!S171</f>
        <v>67.5</v>
      </c>
      <c r="M170" s="465">
        <f t="shared" ref="M170" si="33">L170-K170</f>
        <v>62.352041401856475</v>
      </c>
      <c r="N170" s="457">
        <f>+'J) Plafonnement effort'!H169+'J) Plafonnement effort'!I169-'K) Plafonnement aide'!I169</f>
        <v>-9.1821986262213819</v>
      </c>
      <c r="O170" s="145">
        <f t="shared" ref="O170" si="34">M170+N170</f>
        <v>53.16984277563509</v>
      </c>
      <c r="P170" s="47">
        <f t="shared" ref="P170" si="35">IF(O170&gt;$P$5,$P$5-O170,0)</f>
        <v>0</v>
      </c>
      <c r="Q170" s="55">
        <f t="shared" ref="Q170" si="36">P170*J170</f>
        <v>0</v>
      </c>
      <c r="R170" s="145">
        <f t="shared" ref="R170" si="37">O170+P170</f>
        <v>53.16984277563509</v>
      </c>
      <c r="S170" s="125">
        <f t="shared" ref="S170" si="38">R170-L170</f>
        <v>-14.33015722436491</v>
      </c>
      <c r="T170" s="144">
        <f t="shared" si="26"/>
        <v>0</v>
      </c>
      <c r="V170" s="12"/>
    </row>
    <row r="171" spans="1:22" x14ac:dyDescent="0.25">
      <c r="A171" s="49">
        <f>'A) Base RI'!A172</f>
        <v>5678</v>
      </c>
      <c r="B171" s="351" t="str">
        <f>'A) Base RI'!B172</f>
        <v>Moudon</v>
      </c>
      <c r="C171" s="403">
        <v>2606363.9719164721</v>
      </c>
      <c r="D171" s="403">
        <v>-3536220.3926691776</v>
      </c>
      <c r="E171" s="404">
        <v>0</v>
      </c>
      <c r="F171" s="404">
        <v>0</v>
      </c>
      <c r="G171" s="404">
        <v>0</v>
      </c>
      <c r="H171" s="403">
        <f t="shared" si="24"/>
        <v>-929856.42075270554</v>
      </c>
      <c r="I171" s="404">
        <v>126080.27293333331</v>
      </c>
      <c r="J171" s="355">
        <f>'B) D RI'!U172</f>
        <v>124965.41862068966</v>
      </c>
      <c r="K171" s="62">
        <f t="shared" si="25"/>
        <v>-7.3751142753662977</v>
      </c>
      <c r="L171" s="33">
        <f>'B) D RI'!S172</f>
        <v>72.5</v>
      </c>
      <c r="M171" s="465">
        <f t="shared" si="27"/>
        <v>79.8751142753663</v>
      </c>
      <c r="N171" s="457">
        <f>+'J) Plafonnement effort'!H170+'J) Plafonnement effort'!I170-'K) Plafonnement aide'!I170</f>
        <v>-23.056439165677709</v>
      </c>
      <c r="O171" s="145">
        <f t="shared" si="28"/>
        <v>56.818675109688591</v>
      </c>
      <c r="P171" s="47">
        <f t="shared" si="29"/>
        <v>0</v>
      </c>
      <c r="Q171" s="55">
        <f t="shared" si="32"/>
        <v>0</v>
      </c>
      <c r="R171" s="145">
        <f t="shared" si="30"/>
        <v>56.818675109688591</v>
      </c>
      <c r="S171" s="125">
        <f t="shared" si="31"/>
        <v>-15.681324890311409</v>
      </c>
      <c r="T171" s="144">
        <f t="shared" si="26"/>
        <v>0</v>
      </c>
      <c r="V171" s="12"/>
    </row>
    <row r="172" spans="1:22" x14ac:dyDescent="0.25">
      <c r="A172" s="49">
        <f>'A) Base RI'!A173</f>
        <v>5680</v>
      </c>
      <c r="B172" s="351" t="str">
        <f>'A) Base RI'!B173</f>
        <v>Ogens</v>
      </c>
      <c r="C172" s="403">
        <v>129427.79098761189</v>
      </c>
      <c r="D172" s="403">
        <v>-94803.927488851987</v>
      </c>
      <c r="E172" s="404">
        <v>0</v>
      </c>
      <c r="F172" s="404">
        <v>0</v>
      </c>
      <c r="G172" s="404">
        <v>0</v>
      </c>
      <c r="H172" s="403">
        <f t="shared" si="24"/>
        <v>34623.863498759907</v>
      </c>
      <c r="I172" s="404">
        <v>6313.5037606837595</v>
      </c>
      <c r="J172" s="355">
        <f>'B) D RI'!U173</f>
        <v>8675.0652136752142</v>
      </c>
      <c r="K172" s="62">
        <f t="shared" si="25"/>
        <v>5.4840964401374022</v>
      </c>
      <c r="L172" s="33">
        <f>'B) D RI'!S173</f>
        <v>78</v>
      </c>
      <c r="M172" s="465">
        <f t="shared" si="27"/>
        <v>72.515903559862593</v>
      </c>
      <c r="N172" s="457">
        <f>+'J) Plafonnement effort'!H171+'J) Plafonnement effort'!I171-'K) Plafonnement aide'!I171</f>
        <v>11.274158466792903</v>
      </c>
      <c r="O172" s="145">
        <f t="shared" si="28"/>
        <v>83.790062026655491</v>
      </c>
      <c r="P172" s="47">
        <f t="shared" si="29"/>
        <v>0</v>
      </c>
      <c r="Q172" s="55">
        <f t="shared" si="32"/>
        <v>0</v>
      </c>
      <c r="R172" s="145">
        <f t="shared" si="30"/>
        <v>83.790062026655491</v>
      </c>
      <c r="S172" s="125">
        <f t="shared" si="31"/>
        <v>5.790062026655491</v>
      </c>
      <c r="T172" s="144">
        <f t="shared" si="26"/>
        <v>0</v>
      </c>
      <c r="V172" s="12"/>
    </row>
    <row r="173" spans="1:22" x14ac:dyDescent="0.25">
      <c r="A173" s="49">
        <f>'A) Base RI'!A174</f>
        <v>5683</v>
      </c>
      <c r="B173" s="351" t="str">
        <f>'A) Base RI'!B174</f>
        <v>Prévonloup</v>
      </c>
      <c r="C173" s="403">
        <v>71550.125481803349</v>
      </c>
      <c r="D173" s="403">
        <v>-31266.434713486145</v>
      </c>
      <c r="E173" s="404">
        <v>0</v>
      </c>
      <c r="F173" s="404">
        <v>0</v>
      </c>
      <c r="G173" s="404">
        <v>0</v>
      </c>
      <c r="H173" s="403">
        <f t="shared" si="24"/>
        <v>40283.690768317203</v>
      </c>
      <c r="I173" s="404">
        <v>4589.3872972972958</v>
      </c>
      <c r="J173" s="355">
        <f>'B) D RI'!U174</f>
        <v>5006.0282758620697</v>
      </c>
      <c r="K173" s="62">
        <f t="shared" si="25"/>
        <v>8.7775749046153475</v>
      </c>
      <c r="L173" s="33">
        <f>'B) D RI'!S174</f>
        <v>72.5</v>
      </c>
      <c r="M173" s="465">
        <f t="shared" si="27"/>
        <v>63.722425095384651</v>
      </c>
      <c r="N173" s="457">
        <f>+'J) Plafonnement effort'!H172+'J) Plafonnement effort'!I172-'K) Plafonnement aide'!I172</f>
        <v>7.7700524436213509</v>
      </c>
      <c r="O173" s="145">
        <f t="shared" si="28"/>
        <v>71.492477539006003</v>
      </c>
      <c r="P173" s="47">
        <f t="shared" si="29"/>
        <v>0</v>
      </c>
      <c r="Q173" s="55">
        <f t="shared" si="32"/>
        <v>0</v>
      </c>
      <c r="R173" s="145">
        <f t="shared" si="30"/>
        <v>71.492477539006003</v>
      </c>
      <c r="S173" s="125">
        <f t="shared" si="31"/>
        <v>-1.0075224609939966</v>
      </c>
      <c r="T173" s="144">
        <f t="shared" si="26"/>
        <v>0</v>
      </c>
      <c r="V173" s="12"/>
    </row>
    <row r="174" spans="1:22" x14ac:dyDescent="0.25">
      <c r="A174" s="49">
        <f>'A) Base RI'!A175</f>
        <v>5684</v>
      </c>
      <c r="B174" s="351" t="str">
        <f>'A) Base RI'!B175</f>
        <v>Rossenges</v>
      </c>
      <c r="C174" s="403">
        <v>45523.841383246661</v>
      </c>
      <c r="D174" s="403">
        <v>32294.102327461704</v>
      </c>
      <c r="E174" s="404">
        <v>0</v>
      </c>
      <c r="F174" s="404">
        <v>0</v>
      </c>
      <c r="G174" s="404">
        <v>0</v>
      </c>
      <c r="H174" s="403">
        <f t="shared" si="24"/>
        <v>77817.943710708365</v>
      </c>
      <c r="I174" s="404">
        <v>3098.721</v>
      </c>
      <c r="J174" s="355">
        <f>'B) D RI'!U175</f>
        <v>4335.3234000000011</v>
      </c>
      <c r="K174" s="62">
        <f t="shared" si="25"/>
        <v>25.112923593543389</v>
      </c>
      <c r="L174" s="33">
        <f>'B) D RI'!S175</f>
        <v>75</v>
      </c>
      <c r="M174" s="465">
        <f t="shared" si="27"/>
        <v>49.887076406456615</v>
      </c>
      <c r="N174" s="457">
        <f>+'J) Plafonnement effort'!H173+'J) Plafonnement effort'!I173-'K) Plafonnement aide'!I173</f>
        <v>31.272177062817406</v>
      </c>
      <c r="O174" s="145">
        <f t="shared" si="28"/>
        <v>81.15925346927402</v>
      </c>
      <c r="P174" s="47">
        <f t="shared" si="29"/>
        <v>0</v>
      </c>
      <c r="Q174" s="55">
        <f t="shared" si="32"/>
        <v>0</v>
      </c>
      <c r="R174" s="145">
        <f t="shared" si="30"/>
        <v>81.15925346927402</v>
      </c>
      <c r="S174" s="125">
        <f t="shared" si="31"/>
        <v>6.1592534692740202</v>
      </c>
      <c r="T174" s="144">
        <f t="shared" si="26"/>
        <v>0</v>
      </c>
      <c r="V174" s="12"/>
    </row>
    <row r="175" spans="1:22" x14ac:dyDescent="0.25">
      <c r="A175" s="49">
        <f>'A) Base RI'!A176</f>
        <v>5688</v>
      </c>
      <c r="B175" s="351" t="str">
        <f>'A) Base RI'!B176</f>
        <v>Syens</v>
      </c>
      <c r="C175" s="403">
        <v>40409.612180245524</v>
      </c>
      <c r="D175" s="403">
        <v>-67843.330758204582</v>
      </c>
      <c r="E175" s="404">
        <v>5495.0910647315441</v>
      </c>
      <c r="F175" s="404">
        <v>0</v>
      </c>
      <c r="G175" s="404">
        <v>0</v>
      </c>
      <c r="H175" s="403">
        <f t="shared" si="24"/>
        <v>-21938.627513227515</v>
      </c>
      <c r="I175" s="404">
        <v>2742.3284391534398</v>
      </c>
      <c r="J175" s="355">
        <f>'B) D RI'!U176</f>
        <v>5094.0764550264557</v>
      </c>
      <c r="K175" s="62">
        <f t="shared" si="25"/>
        <v>-7.9999999999999991</v>
      </c>
      <c r="L175" s="33">
        <f>'B) D RI'!S176</f>
        <v>75.599999999999994</v>
      </c>
      <c r="M175" s="465">
        <f t="shared" si="27"/>
        <v>83.6</v>
      </c>
      <c r="N175" s="457">
        <f>+'J) Plafonnement effort'!H174+'J) Plafonnement effort'!I174-'K) Plafonnement aide'!I174</f>
        <v>16.052580598308719</v>
      </c>
      <c r="O175" s="145">
        <f t="shared" si="28"/>
        <v>99.652580598308717</v>
      </c>
      <c r="P175" s="47">
        <f t="shared" si="29"/>
        <v>-5.7706666864823859</v>
      </c>
      <c r="Q175" s="55">
        <f t="shared" si="32"/>
        <v>-29396.217297415456</v>
      </c>
      <c r="R175" s="145">
        <f t="shared" si="30"/>
        <v>93.881913911826331</v>
      </c>
      <c r="S175" s="125">
        <f t="shared" si="31"/>
        <v>18.281913911826337</v>
      </c>
      <c r="T175" s="144">
        <f t="shared" si="26"/>
        <v>0</v>
      </c>
      <c r="V175" s="12"/>
    </row>
    <row r="176" spans="1:22" x14ac:dyDescent="0.25">
      <c r="A176" s="49">
        <f>'A) Base RI'!A177</f>
        <v>5690</v>
      </c>
      <c r="B176" s="351" t="str">
        <f>'A) Base RI'!B177</f>
        <v>Villars-le-Comte</v>
      </c>
      <c r="C176" s="403">
        <v>123206.37203302459</v>
      </c>
      <c r="D176" s="403">
        <v>-7928.7305519157162</v>
      </c>
      <c r="E176" s="404">
        <v>0</v>
      </c>
      <c r="F176" s="404">
        <v>0</v>
      </c>
      <c r="G176" s="404">
        <v>0</v>
      </c>
      <c r="H176" s="403">
        <f t="shared" si="24"/>
        <v>115277.64148110888</v>
      </c>
      <c r="I176" s="404">
        <v>3018.1645000000003</v>
      </c>
      <c r="J176" s="355">
        <f>'B) D RI'!U177</f>
        <v>3483.7788571428573</v>
      </c>
      <c r="K176" s="62">
        <f t="shared" si="25"/>
        <v>38.194618444789498</v>
      </c>
      <c r="L176" s="33">
        <f>'B) D RI'!S177</f>
        <v>70</v>
      </c>
      <c r="M176" s="465">
        <f t="shared" si="27"/>
        <v>31.805381555210502</v>
      </c>
      <c r="N176" s="457">
        <f>+'J) Plafonnement effort'!H175+'J) Plafonnement effort'!I175-'K) Plafonnement aide'!I175</f>
        <v>12.656710037273626</v>
      </c>
      <c r="O176" s="145">
        <f t="shared" si="28"/>
        <v>44.462091592484128</v>
      </c>
      <c r="P176" s="47">
        <f t="shared" si="29"/>
        <v>0</v>
      </c>
      <c r="Q176" s="55">
        <f t="shared" si="32"/>
        <v>0</v>
      </c>
      <c r="R176" s="145">
        <f t="shared" si="30"/>
        <v>44.462091592484128</v>
      </c>
      <c r="S176" s="125">
        <f t="shared" si="31"/>
        <v>-25.537908407515872</v>
      </c>
      <c r="T176" s="144">
        <f t="shared" si="26"/>
        <v>0</v>
      </c>
      <c r="V176" s="12"/>
    </row>
    <row r="177" spans="1:22" x14ac:dyDescent="0.25">
      <c r="A177" s="49">
        <f>'A) Base RI'!A178</f>
        <v>5692</v>
      </c>
      <c r="B177" s="351" t="str">
        <f>'A) Base RI'!B178</f>
        <v>Vucherens</v>
      </c>
      <c r="C177" s="403">
        <v>285682.93876971729</v>
      </c>
      <c r="D177" s="403">
        <v>-32689.854251736426</v>
      </c>
      <c r="E177" s="404">
        <v>0</v>
      </c>
      <c r="F177" s="404">
        <v>0</v>
      </c>
      <c r="G177" s="404">
        <v>0</v>
      </c>
      <c r="H177" s="403">
        <f t="shared" si="24"/>
        <v>252993.08451798087</v>
      </c>
      <c r="I177" s="404">
        <v>16002.190506329114</v>
      </c>
      <c r="J177" s="355">
        <f>'B) D RI'!U178</f>
        <v>18084.556363636369</v>
      </c>
      <c r="K177" s="62">
        <f t="shared" si="25"/>
        <v>15.80990330154601</v>
      </c>
      <c r="L177" s="33">
        <f>'B) D RI'!S178</f>
        <v>77</v>
      </c>
      <c r="M177" s="465">
        <f t="shared" si="27"/>
        <v>61.190096698453992</v>
      </c>
      <c r="N177" s="457">
        <f>+'J) Plafonnement effort'!H176+'J) Plafonnement effort'!I176-'K) Plafonnement aide'!I176</f>
        <v>8.7258010656598088</v>
      </c>
      <c r="O177" s="145">
        <f t="shared" si="28"/>
        <v>69.915897764113794</v>
      </c>
      <c r="P177" s="47">
        <f t="shared" si="29"/>
        <v>0</v>
      </c>
      <c r="Q177" s="55">
        <f t="shared" si="32"/>
        <v>0</v>
      </c>
      <c r="R177" s="145">
        <f t="shared" si="30"/>
        <v>69.915897764113794</v>
      </c>
      <c r="S177" s="125">
        <f t="shared" si="31"/>
        <v>-7.0841022358862062</v>
      </c>
      <c r="T177" s="144">
        <f t="shared" si="26"/>
        <v>0</v>
      </c>
      <c r="V177" s="12"/>
    </row>
    <row r="178" spans="1:22" x14ac:dyDescent="0.25">
      <c r="A178" s="49">
        <f>'A) Base RI'!A179</f>
        <v>5693</v>
      </c>
      <c r="B178" s="351" t="str">
        <f>'A) Base RI'!B179</f>
        <v>Montanaire</v>
      </c>
      <c r="C178" s="403">
        <v>1208818.6463697727</v>
      </c>
      <c r="D178" s="403">
        <v>-487677.83495772653</v>
      </c>
      <c r="E178" s="404">
        <v>0</v>
      </c>
      <c r="F178" s="404">
        <v>0</v>
      </c>
      <c r="G178" s="404">
        <v>0</v>
      </c>
      <c r="H178" s="403">
        <f t="shared" si="24"/>
        <v>721140.8114120462</v>
      </c>
      <c r="I178" s="404">
        <v>70807.212499999965</v>
      </c>
      <c r="J178" s="355">
        <f>'B) D RI'!U179</f>
        <v>71120.535138888881</v>
      </c>
      <c r="K178" s="62">
        <f t="shared" si="25"/>
        <v>10.184567164143717</v>
      </c>
      <c r="L178" s="33">
        <f>'B) D RI'!S179</f>
        <v>72</v>
      </c>
      <c r="M178" s="465">
        <f>L178-K178</f>
        <v>61.815432835856285</v>
      </c>
      <c r="N178" s="457">
        <f>+'J) Plafonnement effort'!H177+'J) Plafonnement effort'!I177-'K) Plafonnement aide'!I177</f>
        <v>-2.2453520355897871</v>
      </c>
      <c r="O178" s="145">
        <f>M178+N178</f>
        <v>59.570080800266496</v>
      </c>
      <c r="P178" s="47">
        <f t="shared" si="29"/>
        <v>0</v>
      </c>
      <c r="Q178" s="55">
        <f>P178*J178</f>
        <v>0</v>
      </c>
      <c r="R178" s="145">
        <f>O178+P178</f>
        <v>59.570080800266496</v>
      </c>
      <c r="S178" s="125">
        <f>R178-L178</f>
        <v>-12.429919199733504</v>
      </c>
      <c r="T178" s="144">
        <f t="shared" si="26"/>
        <v>0</v>
      </c>
      <c r="V178" s="12"/>
    </row>
    <row r="179" spans="1:22" x14ac:dyDescent="0.25">
      <c r="A179" s="49">
        <f>'A) Base RI'!A180</f>
        <v>5701</v>
      </c>
      <c r="B179" s="351" t="str">
        <f>'A) Base RI'!B180</f>
        <v>Arnex-sur-Nyon</v>
      </c>
      <c r="C179" s="403">
        <v>216223.94082308756</v>
      </c>
      <c r="D179" s="403">
        <v>212674.44350984279</v>
      </c>
      <c r="E179" s="404">
        <v>0</v>
      </c>
      <c r="F179" s="404">
        <v>0</v>
      </c>
      <c r="G179" s="404">
        <v>0</v>
      </c>
      <c r="H179" s="403">
        <f t="shared" si="24"/>
        <v>428898.38433293032</v>
      </c>
      <c r="I179" s="404">
        <v>12068.134285714286</v>
      </c>
      <c r="J179" s="355">
        <f>'B) D RI'!U180</f>
        <v>12579.391714285715</v>
      </c>
      <c r="K179" s="62">
        <f t="shared" si="25"/>
        <v>35.539742447234858</v>
      </c>
      <c r="L179" s="33">
        <f>'B) D RI'!S180</f>
        <v>70</v>
      </c>
      <c r="M179" s="465">
        <f>L179-K179</f>
        <v>34.460257552765142</v>
      </c>
      <c r="N179" s="457">
        <f>+'J) Plafonnement effort'!H178+'J) Plafonnement effort'!I178-'K) Plafonnement aide'!I178</f>
        <v>31.44252194702608</v>
      </c>
      <c r="O179" s="145">
        <f>M179+N179</f>
        <v>65.902779499791222</v>
      </c>
      <c r="P179" s="47">
        <f t="shared" si="29"/>
        <v>0</v>
      </c>
      <c r="Q179" s="55">
        <f>P179*J179</f>
        <v>0</v>
      </c>
      <c r="R179" s="145">
        <f>O179+P179</f>
        <v>65.902779499791222</v>
      </c>
      <c r="S179" s="125">
        <f>R179-L179</f>
        <v>-4.0972205002087776</v>
      </c>
      <c r="T179" s="144">
        <f t="shared" si="26"/>
        <v>0</v>
      </c>
      <c r="V179" s="12"/>
    </row>
    <row r="180" spans="1:22" x14ac:dyDescent="0.25">
      <c r="A180" s="49">
        <f>'A) Base RI'!A181</f>
        <v>5702</v>
      </c>
      <c r="B180" s="351" t="str">
        <f>'A) Base RI'!B181</f>
        <v>Arzier-Le Muids</v>
      </c>
      <c r="C180" s="403">
        <v>3864330.6578436852</v>
      </c>
      <c r="D180" s="403">
        <v>2721069.734219823</v>
      </c>
      <c r="E180" s="404">
        <v>0</v>
      </c>
      <c r="F180" s="404">
        <v>0</v>
      </c>
      <c r="G180" s="404">
        <v>0</v>
      </c>
      <c r="H180" s="403">
        <f t="shared" si="24"/>
        <v>6585400.3920635078</v>
      </c>
      <c r="I180" s="404">
        <v>173952.76901041667</v>
      </c>
      <c r="J180" s="355">
        <f>'B) D RI'!U181</f>
        <v>167751.11713541666</v>
      </c>
      <c r="K180" s="62">
        <f t="shared" si="25"/>
        <v>37.85740479744338</v>
      </c>
      <c r="L180" s="33">
        <f>'B) D RI'!S181</f>
        <v>64</v>
      </c>
      <c r="M180" s="465">
        <f t="shared" si="27"/>
        <v>26.14259520255662</v>
      </c>
      <c r="N180" s="457">
        <f>+'J) Plafonnement effort'!H179+'J) Plafonnement effort'!I179-'K) Plafonnement aide'!I179</f>
        <v>27.456078287440373</v>
      </c>
      <c r="O180" s="145">
        <f t="shared" si="28"/>
        <v>53.598673489996997</v>
      </c>
      <c r="P180" s="47">
        <f t="shared" si="29"/>
        <v>0</v>
      </c>
      <c r="Q180" s="55">
        <f t="shared" si="32"/>
        <v>0</v>
      </c>
      <c r="R180" s="145">
        <f t="shared" si="30"/>
        <v>53.598673489996997</v>
      </c>
      <c r="S180" s="125">
        <f t="shared" si="31"/>
        <v>-10.401326510003003</v>
      </c>
      <c r="T180" s="144">
        <f t="shared" si="26"/>
        <v>0</v>
      </c>
      <c r="V180" s="12"/>
    </row>
    <row r="181" spans="1:22" x14ac:dyDescent="0.25">
      <c r="A181" s="49">
        <f>'A) Base RI'!A182</f>
        <v>5703</v>
      </c>
      <c r="B181" s="351" t="str">
        <f>'A) Base RI'!B182</f>
        <v>Bassins</v>
      </c>
      <c r="C181" s="403">
        <v>1041922.7659929006</v>
      </c>
      <c r="D181" s="403">
        <v>769385.62390288245</v>
      </c>
      <c r="E181" s="404">
        <v>0</v>
      </c>
      <c r="F181" s="404">
        <v>0</v>
      </c>
      <c r="G181" s="404">
        <v>0</v>
      </c>
      <c r="H181" s="403">
        <f t="shared" si="24"/>
        <v>1811308.389895783</v>
      </c>
      <c r="I181" s="404">
        <v>58992.28158301158</v>
      </c>
      <c r="J181" s="355">
        <f>'B) D RI'!U182</f>
        <v>66904.36396059113</v>
      </c>
      <c r="K181" s="62">
        <f t="shared" si="25"/>
        <v>30.704158938944957</v>
      </c>
      <c r="L181" s="33">
        <f>'B) D RI'!S182</f>
        <v>72.5</v>
      </c>
      <c r="M181" s="465">
        <f t="shared" si="27"/>
        <v>41.795841061055043</v>
      </c>
      <c r="N181" s="457">
        <f>+'J) Plafonnement effort'!H180+'J) Plafonnement effort'!I180-'K) Plafonnement aide'!I180</f>
        <v>22.91286099706987</v>
      </c>
      <c r="O181" s="145">
        <f t="shared" si="28"/>
        <v>64.708702058124913</v>
      </c>
      <c r="P181" s="47">
        <f t="shared" si="29"/>
        <v>0</v>
      </c>
      <c r="Q181" s="55">
        <f t="shared" si="32"/>
        <v>0</v>
      </c>
      <c r="R181" s="145">
        <f t="shared" si="30"/>
        <v>64.708702058124913</v>
      </c>
      <c r="S181" s="125">
        <f t="shared" si="31"/>
        <v>-7.7912979418750865</v>
      </c>
      <c r="T181" s="144">
        <f t="shared" si="26"/>
        <v>0</v>
      </c>
      <c r="V181" s="12"/>
    </row>
    <row r="182" spans="1:22" x14ac:dyDescent="0.25">
      <c r="A182" s="49">
        <f>'A) Base RI'!A183</f>
        <v>5704</v>
      </c>
      <c r="B182" s="351" t="str">
        <f>'A) Base RI'!B183</f>
        <v>Begnins</v>
      </c>
      <c r="C182" s="403">
        <v>2842775.7944342764</v>
      </c>
      <c r="D182" s="403">
        <v>2139046.1030278727</v>
      </c>
      <c r="E182" s="404">
        <v>0</v>
      </c>
      <c r="F182" s="404">
        <v>0</v>
      </c>
      <c r="G182" s="404">
        <v>0</v>
      </c>
      <c r="H182" s="403">
        <f t="shared" si="24"/>
        <v>4981821.8974621492</v>
      </c>
      <c r="I182" s="404">
        <v>129564.85270833333</v>
      </c>
      <c r="J182" s="355">
        <f>'B) D RI'!U183</f>
        <v>141538.79477333333</v>
      </c>
      <c r="K182" s="62">
        <f t="shared" si="25"/>
        <v>38.450411460559081</v>
      </c>
      <c r="L182" s="33">
        <f>'B) D RI'!S183</f>
        <v>62.5</v>
      </c>
      <c r="M182" s="465">
        <f t="shared" si="27"/>
        <v>24.049588539440919</v>
      </c>
      <c r="N182" s="457">
        <f>+'J) Plafonnement effort'!H181+'J) Plafonnement effort'!I181-'K) Plafonnement aide'!I181</f>
        <v>35.247663497674822</v>
      </c>
      <c r="O182" s="145">
        <f t="shared" si="28"/>
        <v>59.29725203711574</v>
      </c>
      <c r="P182" s="47">
        <f t="shared" si="29"/>
        <v>0</v>
      </c>
      <c r="Q182" s="55">
        <f t="shared" si="32"/>
        <v>0</v>
      </c>
      <c r="R182" s="145">
        <f t="shared" si="30"/>
        <v>59.29725203711574</v>
      </c>
      <c r="S182" s="125">
        <f t="shared" si="31"/>
        <v>-3.2027479628842599</v>
      </c>
      <c r="T182" s="144">
        <f t="shared" si="26"/>
        <v>0</v>
      </c>
      <c r="V182" s="12"/>
    </row>
    <row r="183" spans="1:22" x14ac:dyDescent="0.25">
      <c r="A183" s="49">
        <f>'A) Base RI'!A184</f>
        <v>5705</v>
      </c>
      <c r="B183" s="351" t="str">
        <f>'A) Base RI'!B184</f>
        <v>Bogis-Bossey</v>
      </c>
      <c r="C183" s="403">
        <v>995166.48959438351</v>
      </c>
      <c r="D183" s="403">
        <v>845405.97747687006</v>
      </c>
      <c r="E183" s="404">
        <v>0</v>
      </c>
      <c r="F183" s="404">
        <v>0</v>
      </c>
      <c r="G183" s="404">
        <v>0</v>
      </c>
      <c r="H183" s="403">
        <f t="shared" si="24"/>
        <v>1840572.4670712536</v>
      </c>
      <c r="I183" s="404">
        <v>47436.61605263158</v>
      </c>
      <c r="J183" s="355">
        <f>'B) D RI'!U184</f>
        <v>56148.948053691274</v>
      </c>
      <c r="K183" s="62">
        <f t="shared" si="25"/>
        <v>38.800669614146024</v>
      </c>
      <c r="L183" s="33">
        <f>'B) D RI'!S184</f>
        <v>74.5</v>
      </c>
      <c r="M183" s="465">
        <f t="shared" si="27"/>
        <v>35.699330385853976</v>
      </c>
      <c r="N183" s="457">
        <f>+'J) Plafonnement effort'!H182+'J) Plafonnement effort'!I182-'K) Plafonnement aide'!I182</f>
        <v>36.103044840133208</v>
      </c>
      <c r="O183" s="145">
        <f t="shared" si="28"/>
        <v>71.802375225987191</v>
      </c>
      <c r="P183" s="47">
        <f t="shared" si="29"/>
        <v>0</v>
      </c>
      <c r="Q183" s="55">
        <f t="shared" si="32"/>
        <v>0</v>
      </c>
      <c r="R183" s="145">
        <f t="shared" si="30"/>
        <v>71.802375225987191</v>
      </c>
      <c r="S183" s="125">
        <f t="shared" si="31"/>
        <v>-2.6976247740128088</v>
      </c>
      <c r="T183" s="144">
        <f t="shared" si="26"/>
        <v>0</v>
      </c>
      <c r="V183" s="12"/>
    </row>
    <row r="184" spans="1:22" x14ac:dyDescent="0.25">
      <c r="A184" s="49">
        <f>'A) Base RI'!A185</f>
        <v>5706</v>
      </c>
      <c r="B184" s="351" t="str">
        <f>'A) Base RI'!B185</f>
        <v>Borex</v>
      </c>
      <c r="C184" s="403">
        <v>1591318.1194359257</v>
      </c>
      <c r="D184" s="403">
        <v>1362119.4899935434</v>
      </c>
      <c r="E184" s="404">
        <v>0</v>
      </c>
      <c r="F184" s="404">
        <v>0</v>
      </c>
      <c r="G184" s="404">
        <v>0</v>
      </c>
      <c r="H184" s="403">
        <f t="shared" si="24"/>
        <v>2953437.6094294693</v>
      </c>
      <c r="I184" s="404">
        <v>76683.378793103446</v>
      </c>
      <c r="J184" s="355">
        <f>'B) D RI'!U185</f>
        <v>84057.706842105254</v>
      </c>
      <c r="K184" s="62">
        <f t="shared" si="25"/>
        <v>38.514703654334646</v>
      </c>
      <c r="L184" s="33">
        <f>'B) D RI'!S185</f>
        <v>57</v>
      </c>
      <c r="M184" s="465">
        <f t="shared" si="27"/>
        <v>18.485296345665354</v>
      </c>
      <c r="N184" s="457">
        <f>+'J) Plafonnement effort'!H183+'J) Plafonnement effort'!I183-'K) Plafonnement aide'!I183</f>
        <v>35.588517892522248</v>
      </c>
      <c r="O184" s="145">
        <f t="shared" si="28"/>
        <v>54.073814238187602</v>
      </c>
      <c r="P184" s="47">
        <f t="shared" si="29"/>
        <v>0</v>
      </c>
      <c r="Q184" s="55">
        <f t="shared" si="32"/>
        <v>0</v>
      </c>
      <c r="R184" s="145">
        <f t="shared" si="30"/>
        <v>54.073814238187602</v>
      </c>
      <c r="S184" s="125">
        <f t="shared" si="31"/>
        <v>-2.9261857618123983</v>
      </c>
      <c r="T184" s="144">
        <f t="shared" si="26"/>
        <v>0</v>
      </c>
      <c r="V184" s="12"/>
    </row>
    <row r="185" spans="1:22" x14ac:dyDescent="0.25">
      <c r="A185" s="49">
        <f>'A) Base RI'!A186</f>
        <v>5707</v>
      </c>
      <c r="B185" s="351" t="str">
        <f>'A) Base RI'!B186</f>
        <v>Chavannes-de-Bogis</v>
      </c>
      <c r="C185" s="403">
        <v>1808981.2649503581</v>
      </c>
      <c r="D185" s="403">
        <v>1375489.5075133874</v>
      </c>
      <c r="E185" s="404">
        <v>0</v>
      </c>
      <c r="F185" s="404">
        <v>0</v>
      </c>
      <c r="G185" s="404">
        <v>0</v>
      </c>
      <c r="H185" s="403">
        <f t="shared" si="24"/>
        <v>3184470.7724637454</v>
      </c>
      <c r="I185" s="404">
        <v>81307.638983050841</v>
      </c>
      <c r="J185" s="355">
        <f>'B) D RI'!U186</f>
        <v>81835.320459770097</v>
      </c>
      <c r="K185" s="62">
        <f t="shared" si="25"/>
        <v>39.16570216886474</v>
      </c>
      <c r="L185" s="33">
        <f>'B) D RI'!S186</f>
        <v>58</v>
      </c>
      <c r="M185" s="465">
        <f t="shared" si="27"/>
        <v>18.83429783113526</v>
      </c>
      <c r="N185" s="457">
        <f>+'J) Plafonnement effort'!H184+'J) Plafonnement effort'!I184-'K) Plafonnement aide'!I184</f>
        <v>32.644576180615601</v>
      </c>
      <c r="O185" s="145">
        <f t="shared" si="28"/>
        <v>51.478874011750861</v>
      </c>
      <c r="P185" s="47">
        <f t="shared" si="29"/>
        <v>0</v>
      </c>
      <c r="Q185" s="55">
        <f t="shared" si="32"/>
        <v>0</v>
      </c>
      <c r="R185" s="145">
        <f t="shared" si="30"/>
        <v>51.478874011750861</v>
      </c>
      <c r="S185" s="125">
        <f t="shared" si="31"/>
        <v>-6.521125988249139</v>
      </c>
      <c r="T185" s="144">
        <f t="shared" si="26"/>
        <v>0</v>
      </c>
      <c r="V185" s="12"/>
    </row>
    <row r="186" spans="1:22" x14ac:dyDescent="0.25">
      <c r="A186" s="49">
        <f>'A) Base RI'!A187</f>
        <v>5708</v>
      </c>
      <c r="B186" s="351" t="str">
        <f>'A) Base RI'!B187</f>
        <v>Chavannes-des-Bois</v>
      </c>
      <c r="C186" s="403">
        <v>1525222.8267562927</v>
      </c>
      <c r="D186" s="403">
        <v>1173919.0921540153</v>
      </c>
      <c r="E186" s="404">
        <v>0</v>
      </c>
      <c r="F186" s="404">
        <v>0</v>
      </c>
      <c r="G186" s="404">
        <v>0</v>
      </c>
      <c r="H186" s="403">
        <f t="shared" si="24"/>
        <v>2699141.9189103078</v>
      </c>
      <c r="I186" s="404">
        <v>64704.48911764707</v>
      </c>
      <c r="J186" s="355">
        <f>'B) D RI'!U187</f>
        <v>67256.112794117653</v>
      </c>
      <c r="K186" s="62">
        <f t="shared" si="25"/>
        <v>41.71490967191891</v>
      </c>
      <c r="L186" s="33">
        <f>'B) D RI'!S187</f>
        <v>68</v>
      </c>
      <c r="M186" s="465">
        <f t="shared" si="27"/>
        <v>26.28509032808109</v>
      </c>
      <c r="N186" s="457">
        <f>+'J) Plafonnement effort'!H185+'J) Plafonnement effort'!I185-'K) Plafonnement aide'!I185</f>
        <v>35.376386488113795</v>
      </c>
      <c r="O186" s="145">
        <f t="shared" si="28"/>
        <v>61.661476816194885</v>
      </c>
      <c r="P186" s="47">
        <f t="shared" si="29"/>
        <v>0</v>
      </c>
      <c r="Q186" s="55">
        <f t="shared" si="32"/>
        <v>0</v>
      </c>
      <c r="R186" s="145">
        <f t="shared" si="30"/>
        <v>61.661476816194885</v>
      </c>
      <c r="S186" s="125">
        <f t="shared" si="31"/>
        <v>-6.3385231838051155</v>
      </c>
      <c r="T186" s="144">
        <f t="shared" si="26"/>
        <v>0</v>
      </c>
      <c r="V186" s="12"/>
    </row>
    <row r="187" spans="1:22" x14ac:dyDescent="0.25">
      <c r="A187" s="49">
        <f>'A) Base RI'!A188</f>
        <v>5709</v>
      </c>
      <c r="B187" s="351" t="str">
        <f>'A) Base RI'!B188</f>
        <v>Chéserex</v>
      </c>
      <c r="C187" s="403">
        <v>2479999.2615934224</v>
      </c>
      <c r="D187" s="403">
        <v>1779851.464284305</v>
      </c>
      <c r="E187" s="404">
        <v>0</v>
      </c>
      <c r="F187" s="404">
        <v>0</v>
      </c>
      <c r="G187" s="404">
        <v>0</v>
      </c>
      <c r="H187" s="403">
        <f t="shared" si="24"/>
        <v>4259850.7258777274</v>
      </c>
      <c r="I187" s="404">
        <v>99426.699824561394</v>
      </c>
      <c r="J187" s="355">
        <f>'B) D RI'!U188</f>
        <v>97368.06631578946</v>
      </c>
      <c r="K187" s="62">
        <f t="shared" si="25"/>
        <v>42.844132746980861</v>
      </c>
      <c r="L187" s="33">
        <f>'B) D RI'!S188</f>
        <v>57</v>
      </c>
      <c r="M187" s="465">
        <f t="shared" si="27"/>
        <v>14.155867253019139</v>
      </c>
      <c r="N187" s="457">
        <f>+'J) Plafonnement effort'!H186+'J) Plafonnement effort'!I186-'K) Plafonnement aide'!I186</f>
        <v>36.776410436223983</v>
      </c>
      <c r="O187" s="145">
        <f t="shared" si="28"/>
        <v>50.932277689243122</v>
      </c>
      <c r="P187" s="47">
        <f t="shared" si="29"/>
        <v>0</v>
      </c>
      <c r="Q187" s="55">
        <f t="shared" si="32"/>
        <v>0</v>
      </c>
      <c r="R187" s="145">
        <f t="shared" si="30"/>
        <v>50.932277689243122</v>
      </c>
      <c r="S187" s="125">
        <f t="shared" si="31"/>
        <v>-6.0677223107568778</v>
      </c>
      <c r="T187" s="144">
        <f t="shared" si="26"/>
        <v>0</v>
      </c>
      <c r="V187" s="12"/>
    </row>
    <row r="188" spans="1:22" x14ac:dyDescent="0.25">
      <c r="A188" s="49">
        <f>'A) Base RI'!A189</f>
        <v>5710</v>
      </c>
      <c r="B188" s="351" t="str">
        <f>'A) Base RI'!B189</f>
        <v>Coinsins</v>
      </c>
      <c r="C188" s="403">
        <v>4001536.115234836</v>
      </c>
      <c r="D188" s="403">
        <v>2180908.0705701737</v>
      </c>
      <c r="E188" s="404">
        <v>0</v>
      </c>
      <c r="F188" s="404">
        <v>-1137452.4240403031</v>
      </c>
      <c r="G188" s="404">
        <v>0</v>
      </c>
      <c r="H188" s="403">
        <f t="shared" si="24"/>
        <v>5044991.761764707</v>
      </c>
      <c r="I188" s="404">
        <v>112110.92803921571</v>
      </c>
      <c r="J188" s="355">
        <f>'B) D RI'!U189</f>
        <v>41108.965294117646</v>
      </c>
      <c r="K188" s="62">
        <f t="shared" si="25"/>
        <v>45</v>
      </c>
      <c r="L188" s="33">
        <f>'B) D RI'!S189</f>
        <v>51</v>
      </c>
      <c r="M188" s="465">
        <f t="shared" si="27"/>
        <v>6</v>
      </c>
      <c r="N188" s="457">
        <f>+'J) Plafonnement effort'!H187+'J) Plafonnement effort'!I187-'K) Plafonnement aide'!I187</f>
        <v>37.242943472814382</v>
      </c>
      <c r="O188" s="145">
        <f t="shared" si="28"/>
        <v>43.242943472814382</v>
      </c>
      <c r="P188" s="47">
        <f t="shared" si="29"/>
        <v>0</v>
      </c>
      <c r="Q188" s="55">
        <f t="shared" si="32"/>
        <v>0</v>
      </c>
      <c r="R188" s="145">
        <f t="shared" si="30"/>
        <v>43.242943472814382</v>
      </c>
      <c r="S188" s="125">
        <f t="shared" si="31"/>
        <v>-7.7570565271856182</v>
      </c>
      <c r="T188" s="144">
        <f t="shared" si="26"/>
        <v>0</v>
      </c>
      <c r="V188" s="12"/>
    </row>
    <row r="189" spans="1:22" x14ac:dyDescent="0.25">
      <c r="A189" s="49">
        <f>'A) Base RI'!A190</f>
        <v>5711</v>
      </c>
      <c r="B189" s="351" t="str">
        <f>'A) Base RI'!B190</f>
        <v>Commugny</v>
      </c>
      <c r="C189" s="403">
        <v>6641777.1852600537</v>
      </c>
      <c r="D189" s="403">
        <v>4345182.8845916782</v>
      </c>
      <c r="E189" s="404">
        <v>0</v>
      </c>
      <c r="F189" s="404">
        <v>0</v>
      </c>
      <c r="G189" s="404">
        <v>0</v>
      </c>
      <c r="H189" s="403">
        <f t="shared" si="24"/>
        <v>10986960.069851732</v>
      </c>
      <c r="I189" s="404">
        <v>257487.27623481784</v>
      </c>
      <c r="J189" s="355">
        <f>'B) D RI'!U190</f>
        <v>252772.67295911297</v>
      </c>
      <c r="K189" s="62">
        <f t="shared" si="25"/>
        <v>42.669914531357563</v>
      </c>
      <c r="L189" s="33">
        <f>'B) D RI'!S190</f>
        <v>55.5</v>
      </c>
      <c r="M189" s="465">
        <f t="shared" si="27"/>
        <v>12.830085468642437</v>
      </c>
      <c r="N189" s="457">
        <f>+'J) Plafonnement effort'!H188+'J) Plafonnement effort'!I188-'K) Plafonnement aide'!I188</f>
        <v>36.743304301995394</v>
      </c>
      <c r="O189" s="145">
        <f t="shared" si="28"/>
        <v>49.573389770637831</v>
      </c>
      <c r="P189" s="47">
        <f t="shared" si="29"/>
        <v>0</v>
      </c>
      <c r="Q189" s="55">
        <f t="shared" si="32"/>
        <v>0</v>
      </c>
      <c r="R189" s="145">
        <f t="shared" si="30"/>
        <v>49.573389770637831</v>
      </c>
      <c r="S189" s="125">
        <f t="shared" si="31"/>
        <v>-5.9266102293621685</v>
      </c>
      <c r="T189" s="144">
        <f t="shared" si="26"/>
        <v>0</v>
      </c>
      <c r="V189" s="12"/>
    </row>
    <row r="190" spans="1:22" x14ac:dyDescent="0.25">
      <c r="A190" s="49">
        <f>'A) Base RI'!A191</f>
        <v>5712</v>
      </c>
      <c r="B190" s="351" t="str">
        <f>'A) Base RI'!B191</f>
        <v>Coppet</v>
      </c>
      <c r="C190" s="403">
        <v>11800015.109192647</v>
      </c>
      <c r="D190" s="403">
        <v>6848299.2752975617</v>
      </c>
      <c r="E190" s="404">
        <v>0</v>
      </c>
      <c r="F190" s="404">
        <v>-1141341.5759996397</v>
      </c>
      <c r="G190" s="404">
        <v>0</v>
      </c>
      <c r="H190" s="403">
        <f t="shared" si="24"/>
        <v>17506972.808490567</v>
      </c>
      <c r="I190" s="404">
        <v>389043.84018867929</v>
      </c>
      <c r="J190" s="355">
        <f>'B) D RI'!U191</f>
        <v>382004.08345911955</v>
      </c>
      <c r="K190" s="62">
        <f t="shared" si="25"/>
        <v>45</v>
      </c>
      <c r="L190" s="33">
        <f>'B) D RI'!S191</f>
        <v>53</v>
      </c>
      <c r="M190" s="465">
        <f t="shared" si="27"/>
        <v>8</v>
      </c>
      <c r="N190" s="457">
        <f>+'J) Plafonnement effort'!H189+'J) Plafonnement effort'!I189-'K) Plafonnement aide'!I189</f>
        <v>42.172369990772069</v>
      </c>
      <c r="O190" s="145">
        <f t="shared" si="28"/>
        <v>50.172369990772069</v>
      </c>
      <c r="P190" s="47">
        <f t="shared" si="29"/>
        <v>0</v>
      </c>
      <c r="Q190" s="55">
        <f t="shared" si="32"/>
        <v>0</v>
      </c>
      <c r="R190" s="145">
        <f t="shared" si="30"/>
        <v>50.172369990772069</v>
      </c>
      <c r="S190" s="125">
        <f t="shared" si="31"/>
        <v>-2.8276300092279314</v>
      </c>
      <c r="T190" s="144">
        <f t="shared" si="26"/>
        <v>0</v>
      </c>
      <c r="V190" s="12"/>
    </row>
    <row r="191" spans="1:22" x14ac:dyDescent="0.25">
      <c r="A191" s="49">
        <f>'A) Base RI'!A192</f>
        <v>5713</v>
      </c>
      <c r="B191" s="351" t="str">
        <f>'A) Base RI'!B192</f>
        <v>Crans-près-Céligny</v>
      </c>
      <c r="C191" s="403">
        <v>8691804.7284708247</v>
      </c>
      <c r="D191" s="403">
        <v>5137700.0681718709</v>
      </c>
      <c r="E191" s="404">
        <v>0</v>
      </c>
      <c r="F191" s="404">
        <v>-973496.63057126792</v>
      </c>
      <c r="G191" s="404">
        <v>0</v>
      </c>
      <c r="H191" s="403">
        <f t="shared" si="24"/>
        <v>12856008.166071426</v>
      </c>
      <c r="I191" s="404">
        <v>285689.07035714283</v>
      </c>
      <c r="J191" s="355">
        <f>'B) D RI'!U192</f>
        <v>308668.8301785714</v>
      </c>
      <c r="K191" s="62">
        <f t="shared" si="25"/>
        <v>44.999999999999993</v>
      </c>
      <c r="L191" s="33">
        <f>'B) D RI'!S192</f>
        <v>56</v>
      </c>
      <c r="M191" s="465">
        <f t="shared" si="27"/>
        <v>11.000000000000007</v>
      </c>
      <c r="N191" s="457">
        <f>+'J) Plafonnement effort'!H190+'J) Plafonnement effort'!I190-'K) Plafonnement aide'!I190</f>
        <v>45.064340306946598</v>
      </c>
      <c r="O191" s="145">
        <f t="shared" si="28"/>
        <v>56.064340306946605</v>
      </c>
      <c r="P191" s="47">
        <f t="shared" si="29"/>
        <v>0</v>
      </c>
      <c r="Q191" s="55">
        <f t="shared" si="32"/>
        <v>0</v>
      </c>
      <c r="R191" s="145">
        <f t="shared" si="30"/>
        <v>56.064340306946605</v>
      </c>
      <c r="S191" s="125">
        <f t="shared" si="31"/>
        <v>6.4340306946604642E-2</v>
      </c>
      <c r="T191" s="144">
        <f t="shared" si="26"/>
        <v>0</v>
      </c>
      <c r="V191" s="12"/>
    </row>
    <row r="192" spans="1:22" x14ac:dyDescent="0.25">
      <c r="A192" s="49">
        <f>'A) Base RI'!A193</f>
        <v>5714</v>
      </c>
      <c r="B192" s="351" t="str">
        <f>'A) Base RI'!B193</f>
        <v>Crassier</v>
      </c>
      <c r="C192" s="403">
        <v>1425891.9622207661</v>
      </c>
      <c r="D192" s="403">
        <v>1210537.5760578243</v>
      </c>
      <c r="E192" s="404">
        <v>0</v>
      </c>
      <c r="F192" s="404">
        <v>0</v>
      </c>
      <c r="G192" s="404">
        <v>0</v>
      </c>
      <c r="H192" s="403">
        <f t="shared" si="24"/>
        <v>2636429.5382785904</v>
      </c>
      <c r="I192" s="404">
        <v>69757.357205882377</v>
      </c>
      <c r="J192" s="355">
        <f>'B) D RI'!U193</f>
        <v>53429.691617647055</v>
      </c>
      <c r="K192" s="62">
        <f t="shared" si="25"/>
        <v>37.794286421967115</v>
      </c>
      <c r="L192" s="33">
        <f>'B) D RI'!S193</f>
        <v>68</v>
      </c>
      <c r="M192" s="465">
        <f t="shared" si="27"/>
        <v>30.205713578032885</v>
      </c>
      <c r="N192" s="457">
        <f>+'J) Plafonnement effort'!H191+'J) Plafonnement effort'!I191-'K) Plafonnement aide'!I191</f>
        <v>28.139340247720451</v>
      </c>
      <c r="O192" s="145">
        <f t="shared" si="28"/>
        <v>58.34505382575334</v>
      </c>
      <c r="P192" s="47">
        <f t="shared" si="29"/>
        <v>0</v>
      </c>
      <c r="Q192" s="55">
        <f t="shared" si="32"/>
        <v>0</v>
      </c>
      <c r="R192" s="145">
        <f t="shared" si="30"/>
        <v>58.34505382575334</v>
      </c>
      <c r="S192" s="125">
        <f t="shared" si="31"/>
        <v>-9.6549461742466605</v>
      </c>
      <c r="T192" s="144">
        <f t="shared" si="26"/>
        <v>0</v>
      </c>
      <c r="V192" s="12"/>
    </row>
    <row r="193" spans="1:22" x14ac:dyDescent="0.25">
      <c r="A193" s="49">
        <f>'A) Base RI'!A194</f>
        <v>5715</v>
      </c>
      <c r="B193" s="351" t="str">
        <f>'A) Base RI'!B194</f>
        <v>Duillier</v>
      </c>
      <c r="C193" s="403">
        <v>1501101.4297484469</v>
      </c>
      <c r="D193" s="403">
        <v>1245780.5971707872</v>
      </c>
      <c r="E193" s="404">
        <v>0</v>
      </c>
      <c r="F193" s="404">
        <v>0</v>
      </c>
      <c r="G193" s="404">
        <v>0</v>
      </c>
      <c r="H193" s="403">
        <f t="shared" si="24"/>
        <v>2746882.0269192341</v>
      </c>
      <c r="I193" s="404">
        <v>70129.929393939397</v>
      </c>
      <c r="J193" s="355">
        <f>'B) D RI'!U194</f>
        <v>61573.714242424234</v>
      </c>
      <c r="K193" s="62">
        <f t="shared" si="25"/>
        <v>39.168469876666073</v>
      </c>
      <c r="L193" s="33">
        <f>'B) D RI'!S194</f>
        <v>66</v>
      </c>
      <c r="M193" s="465">
        <f t="shared" si="27"/>
        <v>26.831530123333927</v>
      </c>
      <c r="N193" s="457">
        <f>+'J) Plafonnement effort'!H192+'J) Plafonnement effort'!I192-'K) Plafonnement aide'!I192</f>
        <v>31.490718493252103</v>
      </c>
      <c r="O193" s="145">
        <f t="shared" si="28"/>
        <v>58.32224861658603</v>
      </c>
      <c r="P193" s="47">
        <f t="shared" si="29"/>
        <v>0</v>
      </c>
      <c r="Q193" s="55">
        <f t="shared" si="32"/>
        <v>0</v>
      </c>
      <c r="R193" s="145">
        <f t="shared" si="30"/>
        <v>58.32224861658603</v>
      </c>
      <c r="S193" s="125">
        <f t="shared" si="31"/>
        <v>-7.6777513834139697</v>
      </c>
      <c r="T193" s="144">
        <f t="shared" si="26"/>
        <v>0</v>
      </c>
      <c r="V193" s="12"/>
    </row>
    <row r="194" spans="1:22" x14ac:dyDescent="0.25">
      <c r="A194" s="49">
        <f>'A) Base RI'!A195</f>
        <v>5716</v>
      </c>
      <c r="B194" s="351" t="str">
        <f>'A) Base RI'!B195</f>
        <v>Eysins</v>
      </c>
      <c r="C194" s="403">
        <v>6377633.2673162641</v>
      </c>
      <c r="D194" s="403">
        <v>3739435.3567804457</v>
      </c>
      <c r="E194" s="404">
        <v>0</v>
      </c>
      <c r="F194" s="404">
        <v>-840470.81999834778</v>
      </c>
      <c r="G194" s="404">
        <v>0</v>
      </c>
      <c r="H194" s="403">
        <f t="shared" si="24"/>
        <v>9276597.8040983621</v>
      </c>
      <c r="I194" s="404">
        <v>206146.61786885248</v>
      </c>
      <c r="J194" s="355">
        <f>'B) D RI'!U195</f>
        <v>311499.41949579836</v>
      </c>
      <c r="K194" s="62">
        <f t="shared" si="25"/>
        <v>45</v>
      </c>
      <c r="L194" s="33">
        <f>'B) D RI'!S195</f>
        <v>59.5</v>
      </c>
      <c r="M194" s="465">
        <f t="shared" si="27"/>
        <v>14.5</v>
      </c>
      <c r="N194" s="457">
        <f>+'J) Plafonnement effort'!H193+'J) Plafonnement effort'!I193-'K) Plafonnement aide'!I193</f>
        <v>48</v>
      </c>
      <c r="O194" s="145">
        <f t="shared" si="28"/>
        <v>62.5</v>
      </c>
      <c r="P194" s="47">
        <f t="shared" si="29"/>
        <v>0</v>
      </c>
      <c r="Q194" s="55">
        <f t="shared" si="32"/>
        <v>0</v>
      </c>
      <c r="R194" s="145">
        <f t="shared" si="30"/>
        <v>62.5</v>
      </c>
      <c r="S194" s="125">
        <f t="shared" si="31"/>
        <v>3</v>
      </c>
      <c r="T194" s="144">
        <f t="shared" si="26"/>
        <v>0</v>
      </c>
      <c r="V194" s="12"/>
    </row>
    <row r="195" spans="1:22" x14ac:dyDescent="0.25">
      <c r="A195" s="49">
        <f>'A) Base RI'!A196</f>
        <v>5717</v>
      </c>
      <c r="B195" s="351" t="str">
        <f>'A) Base RI'!B196</f>
        <v>Founex</v>
      </c>
      <c r="C195" s="403">
        <v>9407615.2036280688</v>
      </c>
      <c r="D195" s="403">
        <v>5680719.1645953385</v>
      </c>
      <c r="E195" s="404">
        <v>0</v>
      </c>
      <c r="F195" s="404">
        <v>0</v>
      </c>
      <c r="G195" s="404">
        <v>0</v>
      </c>
      <c r="H195" s="403">
        <f t="shared" si="24"/>
        <v>15088334.368223406</v>
      </c>
      <c r="I195" s="404">
        <v>344775.19280701759</v>
      </c>
      <c r="J195" s="355">
        <f>'B) D RI'!U196</f>
        <v>386801.60228070174</v>
      </c>
      <c r="K195" s="62">
        <f t="shared" si="25"/>
        <v>43.762819028191686</v>
      </c>
      <c r="L195" s="33">
        <f>'B) D RI'!S196</f>
        <v>57</v>
      </c>
      <c r="M195" s="465">
        <f t="shared" si="27"/>
        <v>13.237180971808314</v>
      </c>
      <c r="N195" s="457">
        <f>+'J) Plafonnement effort'!H194+'J) Plafonnement effort'!I194-'K) Plafonnement aide'!I194</f>
        <v>39.755180302482515</v>
      </c>
      <c r="O195" s="145">
        <f t="shared" si="28"/>
        <v>52.992361274290829</v>
      </c>
      <c r="P195" s="47">
        <f t="shared" si="29"/>
        <v>0</v>
      </c>
      <c r="Q195" s="55">
        <f t="shared" si="32"/>
        <v>0</v>
      </c>
      <c r="R195" s="145">
        <f t="shared" si="30"/>
        <v>52.992361274290829</v>
      </c>
      <c r="S195" s="125">
        <f t="shared" si="31"/>
        <v>-4.007638725709171</v>
      </c>
      <c r="T195" s="144">
        <f t="shared" si="26"/>
        <v>0</v>
      </c>
      <c r="V195" s="12"/>
    </row>
    <row r="196" spans="1:22" x14ac:dyDescent="0.25">
      <c r="A196" s="49">
        <f>'A) Base RI'!A197</f>
        <v>5718</v>
      </c>
      <c r="B196" s="351" t="str">
        <f>'A) Base RI'!B197</f>
        <v>Genolier</v>
      </c>
      <c r="C196" s="403">
        <v>4653862.9081177805</v>
      </c>
      <c r="D196" s="403">
        <v>2953233.5567758828</v>
      </c>
      <c r="E196" s="404">
        <v>0</v>
      </c>
      <c r="F196" s="404">
        <v>0</v>
      </c>
      <c r="G196" s="404">
        <v>0</v>
      </c>
      <c r="H196" s="403">
        <f t="shared" si="24"/>
        <v>7607096.4648936633</v>
      </c>
      <c r="I196" s="404">
        <v>171473.77890909091</v>
      </c>
      <c r="J196" s="355">
        <f>'B) D RI'!U197</f>
        <v>245082.27927272729</v>
      </c>
      <c r="K196" s="62">
        <f t="shared" si="25"/>
        <v>44.363030390358787</v>
      </c>
      <c r="L196" s="33">
        <f>'B) D RI'!S197</f>
        <v>55</v>
      </c>
      <c r="M196" s="465">
        <f t="shared" si="27"/>
        <v>10.636969609641213</v>
      </c>
      <c r="N196" s="457">
        <f>+'J) Plafonnement effort'!H195+'J) Plafonnement effort'!I195-'K) Plafonnement aide'!I195</f>
        <v>43.801233128801734</v>
      </c>
      <c r="O196" s="145">
        <f t="shared" si="28"/>
        <v>54.438202738442946</v>
      </c>
      <c r="P196" s="47">
        <f t="shared" si="29"/>
        <v>0</v>
      </c>
      <c r="Q196" s="55">
        <f t="shared" si="32"/>
        <v>0</v>
      </c>
      <c r="R196" s="145">
        <f t="shared" si="30"/>
        <v>54.438202738442946</v>
      </c>
      <c r="S196" s="125">
        <f t="shared" si="31"/>
        <v>-0.56179726155705367</v>
      </c>
      <c r="T196" s="144">
        <f t="shared" si="26"/>
        <v>0</v>
      </c>
      <c r="V196" s="12"/>
    </row>
    <row r="197" spans="1:22" x14ac:dyDescent="0.25">
      <c r="A197" s="49">
        <f>'A) Base RI'!A198</f>
        <v>5719</v>
      </c>
      <c r="B197" s="351" t="str">
        <f>'A) Base RI'!B198</f>
        <v>Gingins</v>
      </c>
      <c r="C197" s="403">
        <v>4110896.608271278</v>
      </c>
      <c r="D197" s="403">
        <v>2637606.2468853742</v>
      </c>
      <c r="E197" s="404">
        <v>0</v>
      </c>
      <c r="F197" s="404">
        <v>-344207.34463033732</v>
      </c>
      <c r="G197" s="404">
        <v>0</v>
      </c>
      <c r="H197" s="403">
        <f t="shared" si="24"/>
        <v>6404295.5105263153</v>
      </c>
      <c r="I197" s="404">
        <v>142317.67801169588</v>
      </c>
      <c r="J197" s="355">
        <f>'B) D RI'!U198</f>
        <v>145761.41602339179</v>
      </c>
      <c r="K197" s="62">
        <f t="shared" si="25"/>
        <v>45.000000000000007</v>
      </c>
      <c r="L197" s="33">
        <f>'B) D RI'!S198</f>
        <v>57</v>
      </c>
      <c r="M197" s="465">
        <f t="shared" si="27"/>
        <v>11.999999999999993</v>
      </c>
      <c r="N197" s="457">
        <f>+'J) Plafonnement effort'!H196+'J) Plafonnement effort'!I196-'K) Plafonnement aide'!I196</f>
        <v>43.84756675896125</v>
      </c>
      <c r="O197" s="145">
        <f t="shared" si="28"/>
        <v>55.847566758961243</v>
      </c>
      <c r="P197" s="47">
        <f t="shared" si="29"/>
        <v>0</v>
      </c>
      <c r="Q197" s="55">
        <f t="shared" si="32"/>
        <v>0</v>
      </c>
      <c r="R197" s="145">
        <f t="shared" si="30"/>
        <v>55.847566758961243</v>
      </c>
      <c r="S197" s="125">
        <f t="shared" si="31"/>
        <v>-1.1524332410387572</v>
      </c>
      <c r="T197" s="144">
        <f t="shared" si="26"/>
        <v>0</v>
      </c>
      <c r="V197" s="12"/>
    </row>
    <row r="198" spans="1:22" x14ac:dyDescent="0.25">
      <c r="A198" s="49">
        <f>'A) Base RI'!A199</f>
        <v>5720</v>
      </c>
      <c r="B198" s="351" t="str">
        <f>'A) Base RI'!B199</f>
        <v>Givrins</v>
      </c>
      <c r="C198" s="403">
        <v>2187813.2407735381</v>
      </c>
      <c r="D198" s="403">
        <v>1514954.6681908567</v>
      </c>
      <c r="E198" s="404">
        <v>0</v>
      </c>
      <c r="F198" s="404">
        <v>0</v>
      </c>
      <c r="G198" s="404">
        <v>0</v>
      </c>
      <c r="H198" s="403">
        <f t="shared" si="24"/>
        <v>3702767.9089643946</v>
      </c>
      <c r="I198" s="404">
        <v>82564.367429519058</v>
      </c>
      <c r="J198" s="355">
        <f>'B) D RI'!U199</f>
        <v>84172.254543946925</v>
      </c>
      <c r="K198" s="62">
        <f t="shared" si="25"/>
        <v>44.847045090307951</v>
      </c>
      <c r="L198" s="33">
        <f>'B) D RI'!S199</f>
        <v>67</v>
      </c>
      <c r="M198" s="465">
        <f t="shared" si="27"/>
        <v>22.152954909692049</v>
      </c>
      <c r="N198" s="457">
        <f>+'J) Plafonnement effort'!H197+'J) Plafonnement effort'!I197-'K) Plafonnement aide'!I197</f>
        <v>38.648365282076313</v>
      </c>
      <c r="O198" s="145">
        <f t="shared" si="28"/>
        <v>60.801320191768362</v>
      </c>
      <c r="P198" s="47">
        <f t="shared" si="29"/>
        <v>0</v>
      </c>
      <c r="Q198" s="55">
        <f t="shared" si="32"/>
        <v>0</v>
      </c>
      <c r="R198" s="145">
        <f t="shared" si="30"/>
        <v>60.801320191768362</v>
      </c>
      <c r="S198" s="125">
        <f t="shared" si="31"/>
        <v>-6.1986798082316383</v>
      </c>
      <c r="T198" s="144">
        <f t="shared" si="26"/>
        <v>0</v>
      </c>
      <c r="V198" s="12"/>
    </row>
    <row r="199" spans="1:22" x14ac:dyDescent="0.25">
      <c r="A199" s="49">
        <f>'A) Base RI'!A200</f>
        <v>5721</v>
      </c>
      <c r="B199" s="351" t="str">
        <f>'A) Base RI'!B200</f>
        <v>Gland</v>
      </c>
      <c r="C199" s="403">
        <v>17563431.432870831</v>
      </c>
      <c r="D199" s="403">
        <v>5096056.3646534383</v>
      </c>
      <c r="E199" s="404">
        <v>0</v>
      </c>
      <c r="F199" s="404">
        <v>0</v>
      </c>
      <c r="G199" s="404">
        <v>0</v>
      </c>
      <c r="H199" s="403">
        <f t="shared" ref="H199:H262" si="39">SUM(C199:G199)</f>
        <v>22659487.79752427</v>
      </c>
      <c r="I199" s="404">
        <v>655037.95408000017</v>
      </c>
      <c r="J199" s="355">
        <f>'B) D RI'!U200</f>
        <v>651107.04049180343</v>
      </c>
      <c r="K199" s="62">
        <f t="shared" ref="K199:K262" si="40">H199/I199</f>
        <v>34.592633383128899</v>
      </c>
      <c r="L199" s="33">
        <f>'B) D RI'!S200</f>
        <v>61</v>
      </c>
      <c r="M199" s="465">
        <f t="shared" si="27"/>
        <v>26.407366616871101</v>
      </c>
      <c r="N199" s="457">
        <f>+'J) Plafonnement effort'!H198+'J) Plafonnement effort'!I198-'K) Plafonnement aide'!I198</f>
        <v>20.706422139910078</v>
      </c>
      <c r="O199" s="145">
        <f t="shared" si="28"/>
        <v>47.113788756781176</v>
      </c>
      <c r="P199" s="47">
        <f t="shared" si="29"/>
        <v>0</v>
      </c>
      <c r="Q199" s="55">
        <f t="shared" si="32"/>
        <v>0</v>
      </c>
      <c r="R199" s="145">
        <f t="shared" si="30"/>
        <v>47.113788756781176</v>
      </c>
      <c r="S199" s="125">
        <f t="shared" si="31"/>
        <v>-13.886211243218824</v>
      </c>
      <c r="T199" s="144">
        <f t="shared" ref="T199:T262" si="41">+C199+D199+E199+F199+G199-H199</f>
        <v>0</v>
      </c>
      <c r="V199" s="12"/>
    </row>
    <row r="200" spans="1:22" x14ac:dyDescent="0.25">
      <c r="A200" s="49">
        <f>'A) Base RI'!A201</f>
        <v>5722</v>
      </c>
      <c r="B200" s="351" t="str">
        <f>'A) Base RI'!B201</f>
        <v>Grens</v>
      </c>
      <c r="C200" s="403">
        <v>395265.79968694906</v>
      </c>
      <c r="D200" s="403">
        <v>358158.63889411406</v>
      </c>
      <c r="E200" s="404">
        <v>0</v>
      </c>
      <c r="F200" s="404">
        <v>0</v>
      </c>
      <c r="G200" s="404">
        <v>0</v>
      </c>
      <c r="H200" s="403">
        <f t="shared" si="39"/>
        <v>753424.43858106318</v>
      </c>
      <c r="I200" s="404">
        <v>20306.92935483871</v>
      </c>
      <c r="J200" s="355">
        <f>'B) D RI'!U201</f>
        <v>25525.601935483872</v>
      </c>
      <c r="K200" s="62">
        <f t="shared" si="40"/>
        <v>37.101839742281769</v>
      </c>
      <c r="L200" s="33">
        <f>'B) D RI'!S201</f>
        <v>62</v>
      </c>
      <c r="M200" s="465">
        <f t="shared" si="27"/>
        <v>24.898160257718231</v>
      </c>
      <c r="N200" s="457">
        <f>+'J) Plafonnement effort'!H199+'J) Plafonnement effort'!I199-'K) Plafonnement aide'!I199</f>
        <v>34.143822085701331</v>
      </c>
      <c r="O200" s="145">
        <f t="shared" si="28"/>
        <v>59.041982343419562</v>
      </c>
      <c r="P200" s="47">
        <f t="shared" si="29"/>
        <v>0</v>
      </c>
      <c r="Q200" s="55">
        <f t="shared" si="32"/>
        <v>0</v>
      </c>
      <c r="R200" s="145">
        <f t="shared" si="30"/>
        <v>59.041982343419562</v>
      </c>
      <c r="S200" s="125">
        <f t="shared" si="31"/>
        <v>-2.9580176565804379</v>
      </c>
      <c r="T200" s="144">
        <f t="shared" si="41"/>
        <v>0</v>
      </c>
      <c r="V200" s="12"/>
    </row>
    <row r="201" spans="1:22" x14ac:dyDescent="0.25">
      <c r="A201" s="49">
        <f>'A) Base RI'!A202</f>
        <v>5723</v>
      </c>
      <c r="B201" s="351" t="str">
        <f>'A) Base RI'!B202</f>
        <v>Mies</v>
      </c>
      <c r="C201" s="403">
        <v>22008010.394518293</v>
      </c>
      <c r="D201" s="403">
        <v>10920723.525747446</v>
      </c>
      <c r="E201" s="404">
        <v>0</v>
      </c>
      <c r="F201" s="404">
        <v>-7199777.9730959199</v>
      </c>
      <c r="G201" s="404">
        <v>0</v>
      </c>
      <c r="H201" s="403">
        <f t="shared" si="39"/>
        <v>25728955.947169822</v>
      </c>
      <c r="I201" s="404">
        <v>571754.57660377375</v>
      </c>
      <c r="J201" s="355">
        <f>'B) D RI'!U202</f>
        <v>197805.17519230774</v>
      </c>
      <c r="K201" s="62">
        <f t="shared" si="40"/>
        <v>45.000000000000007</v>
      </c>
      <c r="L201" s="33">
        <f>'B) D RI'!S202</f>
        <v>52</v>
      </c>
      <c r="M201" s="465">
        <f t="shared" si="27"/>
        <v>6.9999999999999929</v>
      </c>
      <c r="N201" s="457">
        <f>+'J) Plafonnement effort'!H200+'J) Plafonnement effort'!I200-'K) Plafonnement aide'!I200</f>
        <v>37.863575089141129</v>
      </c>
      <c r="O201" s="145">
        <f t="shared" si="28"/>
        <v>44.863575089141122</v>
      </c>
      <c r="P201" s="47">
        <f t="shared" si="29"/>
        <v>0</v>
      </c>
      <c r="Q201" s="55">
        <f t="shared" si="32"/>
        <v>0</v>
      </c>
      <c r="R201" s="145">
        <f t="shared" si="30"/>
        <v>44.863575089141122</v>
      </c>
      <c r="S201" s="125">
        <f t="shared" si="31"/>
        <v>-7.136424910858878</v>
      </c>
      <c r="T201" s="144">
        <f t="shared" si="41"/>
        <v>0</v>
      </c>
      <c r="V201" s="12"/>
    </row>
    <row r="202" spans="1:22" x14ac:dyDescent="0.25">
      <c r="A202" s="49">
        <f>'A) Base RI'!A203</f>
        <v>5724</v>
      </c>
      <c r="B202" s="351" t="str">
        <f>'A) Base RI'!B203</f>
        <v>Nyon</v>
      </c>
      <c r="C202" s="403">
        <v>32170875.128055278</v>
      </c>
      <c r="D202" s="403">
        <v>11475459.161625216</v>
      </c>
      <c r="E202" s="404">
        <v>0</v>
      </c>
      <c r="F202" s="404">
        <v>0</v>
      </c>
      <c r="G202" s="404">
        <v>0</v>
      </c>
      <c r="H202" s="403">
        <f t="shared" si="39"/>
        <v>43646334.289680496</v>
      </c>
      <c r="I202" s="404">
        <v>1403046.442824716</v>
      </c>
      <c r="J202" s="355">
        <f>'B) D RI'!U203</f>
        <v>1415730.6761202184</v>
      </c>
      <c r="K202" s="62">
        <f t="shared" si="40"/>
        <v>31.108260537554621</v>
      </c>
      <c r="L202" s="33">
        <f>'B) D RI'!S203</f>
        <v>61</v>
      </c>
      <c r="M202" s="465">
        <f t="shared" si="27"/>
        <v>29.891739462445379</v>
      </c>
      <c r="N202" s="457">
        <f>+'J) Plafonnement effort'!H201+'J) Plafonnement effort'!I201-'K) Plafonnement aide'!I201</f>
        <v>23.91939106150674</v>
      </c>
      <c r="O202" s="145">
        <f t="shared" si="28"/>
        <v>53.811130523952116</v>
      </c>
      <c r="P202" s="47">
        <f t="shared" si="29"/>
        <v>0</v>
      </c>
      <c r="Q202" s="55">
        <f t="shared" si="32"/>
        <v>0</v>
      </c>
      <c r="R202" s="145">
        <f t="shared" si="30"/>
        <v>53.811130523952116</v>
      </c>
      <c r="S202" s="125">
        <f t="shared" si="31"/>
        <v>-7.1888694760478842</v>
      </c>
      <c r="T202" s="144">
        <f t="shared" si="41"/>
        <v>0</v>
      </c>
      <c r="V202" s="12"/>
    </row>
    <row r="203" spans="1:22" x14ac:dyDescent="0.25">
      <c r="A203" s="49">
        <f>'A) Base RI'!A204</f>
        <v>5725</v>
      </c>
      <c r="B203" s="351" t="str">
        <f>'A) Base RI'!B204</f>
        <v>Prangins</v>
      </c>
      <c r="C203" s="403">
        <v>9151696.6750882342</v>
      </c>
      <c r="D203" s="403">
        <v>5408706.6878037658</v>
      </c>
      <c r="E203" s="404">
        <v>0</v>
      </c>
      <c r="F203" s="404">
        <v>0</v>
      </c>
      <c r="G203" s="404">
        <v>0</v>
      </c>
      <c r="H203" s="403">
        <f t="shared" si="39"/>
        <v>14560403.362892</v>
      </c>
      <c r="I203" s="404">
        <v>339116.20058673463</v>
      </c>
      <c r="J203" s="355">
        <f>'B) D RI'!U204</f>
        <v>312804.93402597401</v>
      </c>
      <c r="K203" s="62">
        <f t="shared" si="40"/>
        <v>42.936324887161895</v>
      </c>
      <c r="L203" s="33">
        <f>'B) D RI'!S204</f>
        <v>55</v>
      </c>
      <c r="M203" s="465">
        <f t="shared" si="27"/>
        <v>12.063675112838105</v>
      </c>
      <c r="N203" s="457">
        <f>+'J) Plafonnement effort'!H202+'J) Plafonnement effort'!I202-'K) Plafonnement aide'!I202</f>
        <v>33.987679640523417</v>
      </c>
      <c r="O203" s="145">
        <f t="shared" si="28"/>
        <v>46.051354753361522</v>
      </c>
      <c r="P203" s="47">
        <f t="shared" si="29"/>
        <v>0</v>
      </c>
      <c r="Q203" s="55">
        <f t="shared" si="32"/>
        <v>0</v>
      </c>
      <c r="R203" s="145">
        <f t="shared" si="30"/>
        <v>46.051354753361522</v>
      </c>
      <c r="S203" s="125">
        <f t="shared" si="31"/>
        <v>-8.9486452466384776</v>
      </c>
      <c r="T203" s="144">
        <f t="shared" si="41"/>
        <v>0</v>
      </c>
      <c r="V203" s="12"/>
    </row>
    <row r="204" spans="1:22" x14ac:dyDescent="0.25">
      <c r="A204" s="49">
        <f>'A) Base RI'!A205</f>
        <v>5726</v>
      </c>
      <c r="B204" s="351" t="str">
        <f>'A) Base RI'!B205</f>
        <v>La Rippe</v>
      </c>
      <c r="C204" s="403">
        <v>1135514.1320744064</v>
      </c>
      <c r="D204" s="403">
        <v>1053472.8345596576</v>
      </c>
      <c r="E204" s="404">
        <v>0</v>
      </c>
      <c r="F204" s="404">
        <v>0</v>
      </c>
      <c r="G204" s="404">
        <v>0</v>
      </c>
      <c r="H204" s="403">
        <f t="shared" si="39"/>
        <v>2188986.966634064</v>
      </c>
      <c r="I204" s="404">
        <v>61326.535692307698</v>
      </c>
      <c r="J204" s="355">
        <f>'B) D RI'!U205</f>
        <v>66324.764153846147</v>
      </c>
      <c r="K204" s="62">
        <f t="shared" si="40"/>
        <v>35.693960891853095</v>
      </c>
      <c r="L204" s="33">
        <f>'B) D RI'!S205</f>
        <v>65</v>
      </c>
      <c r="M204" s="465">
        <f t="shared" si="27"/>
        <v>29.306039108146905</v>
      </c>
      <c r="N204" s="457">
        <f>+'J) Plafonnement effort'!H203+'J) Plafonnement effort'!I203-'K) Plafonnement aide'!I203</f>
        <v>32.533918349128335</v>
      </c>
      <c r="O204" s="145">
        <f t="shared" si="28"/>
        <v>61.83995745727524</v>
      </c>
      <c r="P204" s="47">
        <f t="shared" si="29"/>
        <v>0</v>
      </c>
      <c r="Q204" s="55">
        <f t="shared" si="32"/>
        <v>0</v>
      </c>
      <c r="R204" s="145">
        <f t="shared" si="30"/>
        <v>61.83995745727524</v>
      </c>
      <c r="S204" s="125">
        <f t="shared" si="31"/>
        <v>-3.16004254272476</v>
      </c>
      <c r="T204" s="144">
        <f t="shared" si="41"/>
        <v>0</v>
      </c>
      <c r="V204" s="12"/>
    </row>
    <row r="205" spans="1:22" x14ac:dyDescent="0.25">
      <c r="A205" s="49">
        <f>'A) Base RI'!A206</f>
        <v>5727</v>
      </c>
      <c r="B205" s="351" t="str">
        <f>'A) Base RI'!B206</f>
        <v>Saint-Cergue</v>
      </c>
      <c r="C205" s="403">
        <v>1784026.97135776</v>
      </c>
      <c r="D205" s="403">
        <v>775896.93769785343</v>
      </c>
      <c r="E205" s="404">
        <v>0</v>
      </c>
      <c r="F205" s="404">
        <v>0</v>
      </c>
      <c r="G205" s="404">
        <v>0</v>
      </c>
      <c r="H205" s="403">
        <f t="shared" si="39"/>
        <v>2559923.9090556134</v>
      </c>
      <c r="I205" s="404">
        <v>96125.190858585862</v>
      </c>
      <c r="J205" s="355">
        <f>'B) D RI'!U206</f>
        <v>105125.05141414142</v>
      </c>
      <c r="K205" s="62">
        <f t="shared" si="40"/>
        <v>26.631145136779327</v>
      </c>
      <c r="L205" s="33">
        <f>'B) D RI'!S206</f>
        <v>66</v>
      </c>
      <c r="M205" s="465">
        <f t="shared" si="27"/>
        <v>39.368854863220676</v>
      </c>
      <c r="N205" s="457">
        <f>+'J) Plafonnement effort'!H204+'J) Plafonnement effort'!I204-'K) Plafonnement aide'!I204</f>
        <v>20.070280200444355</v>
      </c>
      <c r="O205" s="145">
        <f t="shared" si="28"/>
        <v>59.439135063665034</v>
      </c>
      <c r="P205" s="47">
        <f t="shared" si="29"/>
        <v>0</v>
      </c>
      <c r="Q205" s="55">
        <f t="shared" si="32"/>
        <v>0</v>
      </c>
      <c r="R205" s="145">
        <f t="shared" si="30"/>
        <v>59.439135063665034</v>
      </c>
      <c r="S205" s="125">
        <f t="shared" si="31"/>
        <v>-6.5608649363349656</v>
      </c>
      <c r="T205" s="144">
        <f t="shared" si="41"/>
        <v>0</v>
      </c>
      <c r="V205" s="12"/>
    </row>
    <row r="206" spans="1:22" x14ac:dyDescent="0.25">
      <c r="A206" s="49">
        <f>'A) Base RI'!A207</f>
        <v>5728</v>
      </c>
      <c r="B206" s="351" t="str">
        <f>'A) Base RI'!B207</f>
        <v>Signy-Avenex</v>
      </c>
      <c r="C206" s="403">
        <v>988563.30745556601</v>
      </c>
      <c r="D206" s="403">
        <v>789177.68701722228</v>
      </c>
      <c r="E206" s="404">
        <v>0</v>
      </c>
      <c r="F206" s="404">
        <v>0</v>
      </c>
      <c r="G206" s="404">
        <v>0</v>
      </c>
      <c r="H206" s="403">
        <f t="shared" si="39"/>
        <v>1777740.9944727882</v>
      </c>
      <c r="I206" s="404">
        <v>43125.38</v>
      </c>
      <c r="J206" s="355">
        <f>'B) D RI'!U207</f>
        <v>49286.820862068969</v>
      </c>
      <c r="K206" s="62">
        <f t="shared" si="40"/>
        <v>41.222616345010486</v>
      </c>
      <c r="L206" s="33">
        <f>'B) D RI'!S207</f>
        <v>58</v>
      </c>
      <c r="M206" s="465">
        <f t="shared" si="27"/>
        <v>16.777383654989514</v>
      </c>
      <c r="N206" s="457">
        <f>+'J) Plafonnement effort'!H205+'J) Plafonnement effort'!I205-'K) Plafonnement aide'!I205</f>
        <v>38.933759476872687</v>
      </c>
      <c r="O206" s="145">
        <f t="shared" si="28"/>
        <v>55.711143131862201</v>
      </c>
      <c r="P206" s="47">
        <f t="shared" si="29"/>
        <v>0</v>
      </c>
      <c r="Q206" s="55">
        <f t="shared" si="32"/>
        <v>0</v>
      </c>
      <c r="R206" s="145">
        <f t="shared" si="30"/>
        <v>55.711143131862201</v>
      </c>
      <c r="S206" s="125">
        <f t="shared" si="31"/>
        <v>-2.288856868137799</v>
      </c>
      <c r="T206" s="144">
        <f t="shared" si="41"/>
        <v>0</v>
      </c>
      <c r="V206" s="12"/>
    </row>
    <row r="207" spans="1:22" x14ac:dyDescent="0.25">
      <c r="A207" s="49">
        <f>'A) Base RI'!A208</f>
        <v>5729</v>
      </c>
      <c r="B207" s="351" t="str">
        <f>'A) Base RI'!B208</f>
        <v>Tannay</v>
      </c>
      <c r="C207" s="403">
        <v>5390006.77563449</v>
      </c>
      <c r="D207" s="403">
        <v>3202342.4963462274</v>
      </c>
      <c r="E207" s="404">
        <v>0</v>
      </c>
      <c r="F207" s="404">
        <v>-632200.18591514311</v>
      </c>
      <c r="G207" s="404">
        <v>0</v>
      </c>
      <c r="H207" s="403">
        <f t="shared" si="39"/>
        <v>7960149.0860655745</v>
      </c>
      <c r="I207" s="404">
        <v>176892.2019125683</v>
      </c>
      <c r="J207" s="355">
        <f>'B) D RI'!U208</f>
        <v>130826.66865013774</v>
      </c>
      <c r="K207" s="62">
        <f t="shared" si="40"/>
        <v>45.000000000000007</v>
      </c>
      <c r="L207" s="33">
        <f>'B) D RI'!S208</f>
        <v>60.5</v>
      </c>
      <c r="M207" s="465">
        <f t="shared" si="27"/>
        <v>15.499999999999993</v>
      </c>
      <c r="N207" s="457">
        <f>+'J) Plafonnement effort'!H206+'J) Plafonnement effort'!I206-'K) Plafonnement aide'!I206</f>
        <v>37.110644834470541</v>
      </c>
      <c r="O207" s="145">
        <f t="shared" si="28"/>
        <v>52.610644834470534</v>
      </c>
      <c r="P207" s="47">
        <f t="shared" si="29"/>
        <v>0</v>
      </c>
      <c r="Q207" s="55">
        <f t="shared" si="32"/>
        <v>0</v>
      </c>
      <c r="R207" s="145">
        <f t="shared" si="30"/>
        <v>52.610644834470534</v>
      </c>
      <c r="S207" s="125">
        <f t="shared" si="31"/>
        <v>-7.8893551655294658</v>
      </c>
      <c r="T207" s="144">
        <f t="shared" si="41"/>
        <v>0</v>
      </c>
      <c r="V207" s="12"/>
    </row>
    <row r="208" spans="1:22" x14ac:dyDescent="0.25">
      <c r="A208" s="49">
        <f>'A) Base RI'!A209</f>
        <v>5730</v>
      </c>
      <c r="B208" s="351" t="str">
        <f>'A) Base RI'!B209</f>
        <v>Trélex</v>
      </c>
      <c r="C208" s="403">
        <v>3494413.993921712</v>
      </c>
      <c r="D208" s="403">
        <v>2412252.1417919486</v>
      </c>
      <c r="E208" s="404">
        <v>0</v>
      </c>
      <c r="F208" s="404">
        <v>0</v>
      </c>
      <c r="G208" s="404">
        <v>0</v>
      </c>
      <c r="H208" s="403">
        <f t="shared" si="39"/>
        <v>5906666.1357136611</v>
      </c>
      <c r="I208" s="404">
        <v>134482.25955165693</v>
      </c>
      <c r="J208" s="355">
        <f>'B) D RI'!U209</f>
        <v>111625.98756756757</v>
      </c>
      <c r="K208" s="62">
        <f t="shared" si="40"/>
        <v>43.921526567188664</v>
      </c>
      <c r="L208" s="33">
        <f>'B) D RI'!S209</f>
        <v>55.5</v>
      </c>
      <c r="M208" s="465">
        <f t="shared" si="27"/>
        <v>11.578473432811336</v>
      </c>
      <c r="N208" s="457">
        <f>+'J) Plafonnement effort'!H207+'J) Plafonnement effort'!I207-'K) Plafonnement aide'!I207</f>
        <v>36.114153304553604</v>
      </c>
      <c r="O208" s="145">
        <f t="shared" si="28"/>
        <v>47.69262673736494</v>
      </c>
      <c r="P208" s="47">
        <f t="shared" si="29"/>
        <v>0</v>
      </c>
      <c r="Q208" s="55">
        <f t="shared" si="32"/>
        <v>0</v>
      </c>
      <c r="R208" s="145">
        <f t="shared" si="30"/>
        <v>47.69262673736494</v>
      </c>
      <c r="S208" s="125">
        <f t="shared" si="31"/>
        <v>-7.8073732626350605</v>
      </c>
      <c r="T208" s="144">
        <f t="shared" si="41"/>
        <v>0</v>
      </c>
      <c r="V208" s="12"/>
    </row>
    <row r="209" spans="1:22" x14ac:dyDescent="0.25">
      <c r="A209" s="49">
        <f>'A) Base RI'!A210</f>
        <v>5731</v>
      </c>
      <c r="B209" s="351" t="str">
        <f>'A) Base RI'!B210</f>
        <v>Le Vaud</v>
      </c>
      <c r="C209" s="403">
        <v>1281018.5246417532</v>
      </c>
      <c r="D209" s="403">
        <v>936446.28299217345</v>
      </c>
      <c r="E209" s="404">
        <v>0</v>
      </c>
      <c r="F209" s="404">
        <v>0</v>
      </c>
      <c r="G209" s="404">
        <v>0</v>
      </c>
      <c r="H209" s="403">
        <f t="shared" si="39"/>
        <v>2217464.8076339266</v>
      </c>
      <c r="I209" s="404">
        <v>61944.089333333322</v>
      </c>
      <c r="J209" s="355">
        <f>'B) D RI'!U210</f>
        <v>63942.206576576558</v>
      </c>
      <c r="K209" s="62">
        <f t="shared" si="40"/>
        <v>35.797843369708971</v>
      </c>
      <c r="L209" s="33">
        <f>'B) D RI'!S210</f>
        <v>74</v>
      </c>
      <c r="M209" s="465">
        <f t="shared" si="27"/>
        <v>38.202156630291029</v>
      </c>
      <c r="N209" s="457">
        <f>+'J) Plafonnement effort'!H208+'J) Plafonnement effort'!I208-'K) Plafonnement aide'!I208</f>
        <v>27.361507255818641</v>
      </c>
      <c r="O209" s="145">
        <f t="shared" si="28"/>
        <v>65.563663886109666</v>
      </c>
      <c r="P209" s="47">
        <f t="shared" si="29"/>
        <v>0</v>
      </c>
      <c r="Q209" s="55">
        <f t="shared" si="32"/>
        <v>0</v>
      </c>
      <c r="R209" s="145">
        <f t="shared" si="30"/>
        <v>65.563663886109666</v>
      </c>
      <c r="S209" s="125">
        <f t="shared" si="31"/>
        <v>-8.4363361138903343</v>
      </c>
      <c r="T209" s="144">
        <f t="shared" si="41"/>
        <v>0</v>
      </c>
      <c r="V209" s="12"/>
    </row>
    <row r="210" spans="1:22" x14ac:dyDescent="0.25">
      <c r="A210" s="49">
        <f>'A) Base RI'!A211</f>
        <v>5732</v>
      </c>
      <c r="B210" s="351" t="str">
        <f>'A) Base RI'!B211</f>
        <v>Vich</v>
      </c>
      <c r="C210" s="403">
        <v>1336258.4581317299</v>
      </c>
      <c r="D210" s="403">
        <v>1125451.4343375061</v>
      </c>
      <c r="E210" s="404">
        <v>0</v>
      </c>
      <c r="F210" s="404">
        <v>0</v>
      </c>
      <c r="G210" s="404">
        <v>0</v>
      </c>
      <c r="H210" s="403">
        <f t="shared" si="39"/>
        <v>2461709.8924692357</v>
      </c>
      <c r="I210" s="404">
        <v>63992.408333333333</v>
      </c>
      <c r="J210" s="355">
        <f>'B) D RI'!U211</f>
        <v>71006.972380952371</v>
      </c>
      <c r="K210" s="62">
        <f t="shared" si="40"/>
        <v>38.468780228528189</v>
      </c>
      <c r="L210" s="33">
        <f>'B) D RI'!S211</f>
        <v>63</v>
      </c>
      <c r="M210" s="465">
        <f t="shared" si="27"/>
        <v>24.531219771471811</v>
      </c>
      <c r="N210" s="457">
        <f>+'J) Plafonnement effort'!H209+'J) Plafonnement effort'!I209-'K) Plafonnement aide'!I209</f>
        <v>33.255911487790037</v>
      </c>
      <c r="O210" s="145">
        <f t="shared" si="28"/>
        <v>57.787131259261848</v>
      </c>
      <c r="P210" s="47">
        <f t="shared" si="29"/>
        <v>0</v>
      </c>
      <c r="Q210" s="55">
        <f t="shared" si="32"/>
        <v>0</v>
      </c>
      <c r="R210" s="145">
        <f t="shared" si="30"/>
        <v>57.787131259261848</v>
      </c>
      <c r="S210" s="125">
        <f t="shared" si="31"/>
        <v>-5.212868740738152</v>
      </c>
      <c r="T210" s="144">
        <f t="shared" si="41"/>
        <v>0</v>
      </c>
      <c r="V210" s="12"/>
    </row>
    <row r="211" spans="1:22" x14ac:dyDescent="0.25">
      <c r="A211" s="49">
        <f>'A) Base RI'!A212</f>
        <v>5741</v>
      </c>
      <c r="B211" s="351" t="str">
        <f>'A) Base RI'!B212</f>
        <v>L'Abergement</v>
      </c>
      <c r="C211" s="403">
        <v>128829.49801022008</v>
      </c>
      <c r="D211" s="403">
        <v>-827.48555318129365</v>
      </c>
      <c r="E211" s="404">
        <v>0</v>
      </c>
      <c r="F211" s="404">
        <v>0</v>
      </c>
      <c r="G211" s="404">
        <v>0</v>
      </c>
      <c r="H211" s="403">
        <f t="shared" si="39"/>
        <v>128002.01245703879</v>
      </c>
      <c r="I211" s="404">
        <v>7144.356296296296</v>
      </c>
      <c r="J211" s="355">
        <f>'B) D RI'!U212</f>
        <v>7368.9297325102852</v>
      </c>
      <c r="K211" s="62">
        <f t="shared" si="40"/>
        <v>17.916521397931437</v>
      </c>
      <c r="L211" s="33">
        <f>'B) D RI'!S212</f>
        <v>81</v>
      </c>
      <c r="M211" s="465">
        <f t="shared" si="27"/>
        <v>63.083478602068567</v>
      </c>
      <c r="N211" s="457">
        <f>+'J) Plafonnement effort'!H210+'J) Plafonnement effort'!I210-'K) Plafonnement aide'!I210</f>
        <v>-3.9515894838985703</v>
      </c>
      <c r="O211" s="145">
        <f t="shared" si="28"/>
        <v>59.131889118169994</v>
      </c>
      <c r="P211" s="47">
        <f t="shared" si="29"/>
        <v>0</v>
      </c>
      <c r="Q211" s="55">
        <f t="shared" si="32"/>
        <v>0</v>
      </c>
      <c r="R211" s="145">
        <f t="shared" si="30"/>
        <v>59.131889118169994</v>
      </c>
      <c r="S211" s="125">
        <f t="shared" si="31"/>
        <v>-21.868110881830006</v>
      </c>
      <c r="T211" s="144">
        <f t="shared" si="41"/>
        <v>0</v>
      </c>
      <c r="V211" s="12"/>
    </row>
    <row r="212" spans="1:22" x14ac:dyDescent="0.25">
      <c r="A212" s="49">
        <f>'A) Base RI'!A213</f>
        <v>5742</v>
      </c>
      <c r="B212" s="351" t="str">
        <f>'A) Base RI'!B213</f>
        <v>Agiez</v>
      </c>
      <c r="C212" s="403">
        <v>166023.15167257306</v>
      </c>
      <c r="D212" s="403">
        <v>-39089.643646279292</v>
      </c>
      <c r="E212" s="404">
        <v>0</v>
      </c>
      <c r="F212" s="404">
        <v>0</v>
      </c>
      <c r="G212" s="404">
        <v>0</v>
      </c>
      <c r="H212" s="403">
        <f t="shared" si="39"/>
        <v>126933.50802629377</v>
      </c>
      <c r="I212" s="404">
        <v>9023.5640789473691</v>
      </c>
      <c r="J212" s="355">
        <f>'B) D RI'!U213</f>
        <v>8960.136710526318</v>
      </c>
      <c r="K212" s="62">
        <f t="shared" si="40"/>
        <v>14.066892739470745</v>
      </c>
      <c r="L212" s="33">
        <f>'B) D RI'!S213</f>
        <v>76</v>
      </c>
      <c r="M212" s="465">
        <f t="shared" si="27"/>
        <v>61.933107260529255</v>
      </c>
      <c r="N212" s="457">
        <f>+'J) Plafonnement effort'!H211+'J) Plafonnement effort'!I211-'K) Plafonnement aide'!I211</f>
        <v>-0.23612877225031337</v>
      </c>
      <c r="O212" s="145">
        <f t="shared" si="28"/>
        <v>61.696978488278944</v>
      </c>
      <c r="P212" s="47">
        <f t="shared" si="29"/>
        <v>0</v>
      </c>
      <c r="Q212" s="55">
        <f t="shared" si="32"/>
        <v>0</v>
      </c>
      <c r="R212" s="145">
        <f t="shared" si="30"/>
        <v>61.696978488278944</v>
      </c>
      <c r="S212" s="125">
        <f t="shared" si="31"/>
        <v>-14.303021511721056</v>
      </c>
      <c r="T212" s="144">
        <f t="shared" si="41"/>
        <v>0</v>
      </c>
      <c r="V212" s="12"/>
    </row>
    <row r="213" spans="1:22" x14ac:dyDescent="0.25">
      <c r="A213" s="49">
        <f>'A) Base RI'!A214</f>
        <v>5743</v>
      </c>
      <c r="B213" s="351" t="str">
        <f>'A) Base RI'!B214</f>
        <v>Arnex-sur-Orbe</v>
      </c>
      <c r="C213" s="403">
        <v>388144.42471080861</v>
      </c>
      <c r="D213" s="403">
        <v>72491.597070775169</v>
      </c>
      <c r="E213" s="404">
        <v>0</v>
      </c>
      <c r="F213" s="404">
        <v>0</v>
      </c>
      <c r="G213" s="404">
        <v>0</v>
      </c>
      <c r="H213" s="403">
        <f t="shared" si="39"/>
        <v>460636.02178158378</v>
      </c>
      <c r="I213" s="404">
        <v>19009.64441780822</v>
      </c>
      <c r="J213" s="355">
        <f>'B) D RI'!U214</f>
        <v>20549.584577464786</v>
      </c>
      <c r="K213" s="62">
        <f t="shared" si="40"/>
        <v>24.231701112202831</v>
      </c>
      <c r="L213" s="33">
        <f>'B) D RI'!S214</f>
        <v>71</v>
      </c>
      <c r="M213" s="465">
        <f t="shared" si="27"/>
        <v>46.768298887797172</v>
      </c>
      <c r="N213" s="457">
        <f>+'J) Plafonnement effort'!H212+'J) Plafonnement effort'!I212-'K) Plafonnement aide'!I212</f>
        <v>14.734903200925578</v>
      </c>
      <c r="O213" s="145">
        <f t="shared" si="28"/>
        <v>61.503202088722752</v>
      </c>
      <c r="P213" s="47">
        <f t="shared" si="29"/>
        <v>0</v>
      </c>
      <c r="Q213" s="55">
        <f t="shared" si="32"/>
        <v>0</v>
      </c>
      <c r="R213" s="145">
        <f t="shared" si="30"/>
        <v>61.503202088722752</v>
      </c>
      <c r="S213" s="125">
        <f t="shared" si="31"/>
        <v>-9.4967979112772483</v>
      </c>
      <c r="T213" s="144">
        <f t="shared" si="41"/>
        <v>0</v>
      </c>
      <c r="V213" s="12"/>
    </row>
    <row r="214" spans="1:22" x14ac:dyDescent="0.25">
      <c r="A214" s="49">
        <f>'A) Base RI'!A215</f>
        <v>5744</v>
      </c>
      <c r="B214" s="351" t="str">
        <f>'A) Base RI'!B215</f>
        <v>Ballaigues</v>
      </c>
      <c r="C214" s="403">
        <v>1645790.0207955574</v>
      </c>
      <c r="D214" s="403">
        <v>1105948.3963743269</v>
      </c>
      <c r="E214" s="404">
        <v>0</v>
      </c>
      <c r="F214" s="404">
        <v>0</v>
      </c>
      <c r="G214" s="404">
        <v>0</v>
      </c>
      <c r="H214" s="403">
        <f t="shared" si="39"/>
        <v>2751738.4171698843</v>
      </c>
      <c r="I214" s="404">
        <v>63457.136212121215</v>
      </c>
      <c r="J214" s="355">
        <f>'B) D RI'!U215</f>
        <v>40453.358769230777</v>
      </c>
      <c r="K214" s="62">
        <f t="shared" si="40"/>
        <v>43.363734662899319</v>
      </c>
      <c r="L214" s="33">
        <f>'B) D RI'!S215</f>
        <v>65</v>
      </c>
      <c r="M214" s="465">
        <f t="shared" si="27"/>
        <v>21.636265337100681</v>
      </c>
      <c r="N214" s="457">
        <f>+'J) Plafonnement effort'!H213+'J) Plafonnement effort'!I213-'K) Plafonnement aide'!I213</f>
        <v>13.020846875733934</v>
      </c>
      <c r="O214" s="145">
        <f t="shared" si="28"/>
        <v>34.657112212834619</v>
      </c>
      <c r="P214" s="47">
        <f t="shared" si="29"/>
        <v>0</v>
      </c>
      <c r="Q214" s="55">
        <f t="shared" si="32"/>
        <v>0</v>
      </c>
      <c r="R214" s="145">
        <f t="shared" si="30"/>
        <v>34.657112212834619</v>
      </c>
      <c r="S214" s="125">
        <f t="shared" si="31"/>
        <v>-30.342887787165381</v>
      </c>
      <c r="T214" s="144">
        <f t="shared" si="41"/>
        <v>0</v>
      </c>
      <c r="V214" s="12"/>
    </row>
    <row r="215" spans="1:22" x14ac:dyDescent="0.25">
      <c r="A215" s="49">
        <f>'A) Base RI'!A216</f>
        <v>5745</v>
      </c>
      <c r="B215" s="351" t="str">
        <f>'A) Base RI'!B216</f>
        <v>Baulmes</v>
      </c>
      <c r="C215" s="403">
        <v>523058.70162877341</v>
      </c>
      <c r="D215" s="403">
        <v>-99209.69771068159</v>
      </c>
      <c r="E215" s="404">
        <v>0</v>
      </c>
      <c r="F215" s="404">
        <v>0</v>
      </c>
      <c r="G215" s="404">
        <v>0</v>
      </c>
      <c r="H215" s="403">
        <f t="shared" si="39"/>
        <v>423849.00391809182</v>
      </c>
      <c r="I215" s="404">
        <v>27759.177948717952</v>
      </c>
      <c r="J215" s="355">
        <f>'B) D RI'!U216</f>
        <v>26827.589150326792</v>
      </c>
      <c r="K215" s="62">
        <f t="shared" si="40"/>
        <v>15.26878802755278</v>
      </c>
      <c r="L215" s="33">
        <f>'B) D RI'!S216</f>
        <v>76.5</v>
      </c>
      <c r="M215" s="465">
        <f t="shared" si="27"/>
        <v>61.23121197244722</v>
      </c>
      <c r="N215" s="457">
        <f>+'J) Plafonnement effort'!H214+'J) Plafonnement effort'!I214-'K) Plafonnement aide'!I214</f>
        <v>-10.282158050103604</v>
      </c>
      <c r="O215" s="145">
        <f t="shared" si="28"/>
        <v>50.949053922343616</v>
      </c>
      <c r="P215" s="47">
        <f t="shared" si="29"/>
        <v>0</v>
      </c>
      <c r="Q215" s="55">
        <f t="shared" si="32"/>
        <v>0</v>
      </c>
      <c r="R215" s="145">
        <f t="shared" si="30"/>
        <v>50.949053922343616</v>
      </c>
      <c r="S215" s="125">
        <f t="shared" si="31"/>
        <v>-25.550946077656384</v>
      </c>
      <c r="T215" s="144">
        <f t="shared" si="41"/>
        <v>0</v>
      </c>
      <c r="V215" s="12"/>
    </row>
    <row r="216" spans="1:22" x14ac:dyDescent="0.25">
      <c r="A216" s="49">
        <f>'A) Base RI'!A217</f>
        <v>5746</v>
      </c>
      <c r="B216" s="351" t="str">
        <f>'A) Base RI'!B217</f>
        <v>Bavois</v>
      </c>
      <c r="C216" s="403">
        <v>491285.32843917364</v>
      </c>
      <c r="D216" s="403">
        <v>15031.314066253835</v>
      </c>
      <c r="E216" s="404">
        <v>0</v>
      </c>
      <c r="F216" s="404">
        <v>0</v>
      </c>
      <c r="G216" s="404">
        <v>0</v>
      </c>
      <c r="H216" s="403">
        <f t="shared" si="39"/>
        <v>506316.64250542747</v>
      </c>
      <c r="I216" s="404">
        <v>26302.981735159818</v>
      </c>
      <c r="J216" s="355">
        <f>'B) D RI'!U217</f>
        <v>30466.611141552505</v>
      </c>
      <c r="K216" s="62">
        <f t="shared" si="40"/>
        <v>19.2494009843995</v>
      </c>
      <c r="L216" s="33">
        <f>'B) D RI'!S217</f>
        <v>73</v>
      </c>
      <c r="M216" s="465">
        <f t="shared" si="27"/>
        <v>53.7505990156005</v>
      </c>
      <c r="N216" s="457">
        <f>+'J) Plafonnement effort'!H215+'J) Plafonnement effort'!I215-'K) Plafonnement aide'!I215</f>
        <v>10.44122998369691</v>
      </c>
      <c r="O216" s="145">
        <f t="shared" si="28"/>
        <v>64.191828999297414</v>
      </c>
      <c r="P216" s="47">
        <f t="shared" si="29"/>
        <v>0</v>
      </c>
      <c r="Q216" s="55">
        <f t="shared" si="32"/>
        <v>0</v>
      </c>
      <c r="R216" s="145">
        <f t="shared" si="30"/>
        <v>64.191828999297414</v>
      </c>
      <c r="S216" s="125">
        <f t="shared" si="31"/>
        <v>-8.8081710007025862</v>
      </c>
      <c r="T216" s="144">
        <f t="shared" si="41"/>
        <v>0</v>
      </c>
      <c r="V216" s="12"/>
    </row>
    <row r="217" spans="1:22" x14ac:dyDescent="0.25">
      <c r="A217" s="49">
        <f>'A) Base RI'!A218</f>
        <v>5747</v>
      </c>
      <c r="B217" s="351" t="str">
        <f>'A) Base RI'!B218</f>
        <v>Bofflens</v>
      </c>
      <c r="C217" s="403">
        <v>94332.197466748679</v>
      </c>
      <c r="D217" s="403">
        <v>34053.391900700444</v>
      </c>
      <c r="E217" s="404">
        <v>0</v>
      </c>
      <c r="F217" s="404">
        <v>0</v>
      </c>
      <c r="G217" s="404">
        <v>0</v>
      </c>
      <c r="H217" s="403">
        <f t="shared" si="39"/>
        <v>128385.58936744912</v>
      </c>
      <c r="I217" s="404">
        <v>5938.7008695652166</v>
      </c>
      <c r="J217" s="355">
        <f>'B) D RI'!U218</f>
        <v>5608.7786956521741</v>
      </c>
      <c r="K217" s="62">
        <f t="shared" si="40"/>
        <v>21.61846373259889</v>
      </c>
      <c r="L217" s="33">
        <f>'B) D RI'!S218</f>
        <v>69</v>
      </c>
      <c r="M217" s="465">
        <f t="shared" si="27"/>
        <v>47.38153626740111</v>
      </c>
      <c r="N217" s="457">
        <f>+'J) Plafonnement effort'!H216+'J) Plafonnement effort'!I216-'K) Plafonnement aide'!I216</f>
        <v>9.0154262327491814</v>
      </c>
      <c r="O217" s="145">
        <f t="shared" si="28"/>
        <v>56.396962500150295</v>
      </c>
      <c r="P217" s="47">
        <f t="shared" si="29"/>
        <v>0</v>
      </c>
      <c r="Q217" s="55">
        <f t="shared" si="32"/>
        <v>0</v>
      </c>
      <c r="R217" s="145">
        <f t="shared" si="30"/>
        <v>56.396962500150295</v>
      </c>
      <c r="S217" s="125">
        <f t="shared" si="31"/>
        <v>-12.603037499849705</v>
      </c>
      <c r="T217" s="144">
        <f t="shared" si="41"/>
        <v>0</v>
      </c>
      <c r="V217" s="12"/>
    </row>
    <row r="218" spans="1:22" x14ac:dyDescent="0.25">
      <c r="A218" s="49">
        <f>'A) Base RI'!A219</f>
        <v>5748</v>
      </c>
      <c r="B218" s="351" t="str">
        <f>'A) Base RI'!B219</f>
        <v>Bretonnières</v>
      </c>
      <c r="C218" s="403">
        <v>123795.88284568535</v>
      </c>
      <c r="D218" s="403">
        <v>2658.2228384172195</v>
      </c>
      <c r="E218" s="404">
        <v>0</v>
      </c>
      <c r="F218" s="404">
        <v>0</v>
      </c>
      <c r="G218" s="404">
        <v>0</v>
      </c>
      <c r="H218" s="403">
        <f t="shared" si="39"/>
        <v>126454.10568410257</v>
      </c>
      <c r="I218" s="404">
        <v>7318.7627314814808</v>
      </c>
      <c r="J218" s="355">
        <f>'B) D RI'!U219</f>
        <v>5789.9884160756492</v>
      </c>
      <c r="K218" s="62">
        <f t="shared" si="40"/>
        <v>17.278071488800052</v>
      </c>
      <c r="L218" s="33">
        <f>'B) D RI'!S219</f>
        <v>70.5</v>
      </c>
      <c r="M218" s="465">
        <f t="shared" si="27"/>
        <v>53.221928511199948</v>
      </c>
      <c r="N218" s="457">
        <f>+'J) Plafonnement effort'!H217+'J) Plafonnement effort'!I217-'K) Plafonnement aide'!I217</f>
        <v>-6.2942934058628754</v>
      </c>
      <c r="O218" s="145">
        <f t="shared" si="28"/>
        <v>46.927635105337075</v>
      </c>
      <c r="P218" s="47">
        <f t="shared" si="29"/>
        <v>0</v>
      </c>
      <c r="Q218" s="55">
        <f t="shared" si="32"/>
        <v>0</v>
      </c>
      <c r="R218" s="145">
        <f t="shared" si="30"/>
        <v>46.927635105337075</v>
      </c>
      <c r="S218" s="125">
        <f t="shared" si="31"/>
        <v>-23.572364894662925</v>
      </c>
      <c r="T218" s="144">
        <f t="shared" si="41"/>
        <v>0</v>
      </c>
      <c r="V218" s="12"/>
    </row>
    <row r="219" spans="1:22" x14ac:dyDescent="0.25">
      <c r="A219" s="49">
        <f>'A) Base RI'!A220</f>
        <v>5749</v>
      </c>
      <c r="B219" s="351" t="str">
        <f>'A) Base RI'!B220</f>
        <v>Chavornay</v>
      </c>
      <c r="C219" s="403">
        <v>2571598.1346419598</v>
      </c>
      <c r="D219" s="403">
        <v>-1482118.5041314373</v>
      </c>
      <c r="E219" s="404">
        <v>0</v>
      </c>
      <c r="F219" s="404">
        <v>0</v>
      </c>
      <c r="G219" s="404">
        <v>0</v>
      </c>
      <c r="H219" s="403">
        <f t="shared" si="39"/>
        <v>1089479.6305105225</v>
      </c>
      <c r="I219" s="404">
        <v>133236.15722222222</v>
      </c>
      <c r="J219" s="355">
        <f>'B) D RI'!U220</f>
        <v>140676.80723404256</v>
      </c>
      <c r="K219" s="62">
        <f t="shared" si="40"/>
        <v>8.1770568382079567</v>
      </c>
      <c r="L219" s="33">
        <f>'B) D RI'!S220</f>
        <v>70.5</v>
      </c>
      <c r="M219" s="465">
        <f t="shared" ref="M219" si="42">L219-K219</f>
        <v>62.32294316179204</v>
      </c>
      <c r="N219" s="457">
        <f>+'J) Plafonnement effort'!H218+'J) Plafonnement effort'!I218-'K) Plafonnement aide'!I218</f>
        <v>-1.3237282312520007</v>
      </c>
      <c r="O219" s="145">
        <f t="shared" ref="O219" si="43">M219+N219</f>
        <v>60.999214930540042</v>
      </c>
      <c r="P219" s="47">
        <f t="shared" ref="P219" si="44">IF(O219&gt;$P$5,$P$5-O219,0)</f>
        <v>0</v>
      </c>
      <c r="Q219" s="55">
        <f t="shared" ref="Q219" si="45">P219*J219</f>
        <v>0</v>
      </c>
      <c r="R219" s="145">
        <f t="shared" ref="R219" si="46">O219+P219</f>
        <v>60.999214930540042</v>
      </c>
      <c r="S219" s="125">
        <f t="shared" ref="S219" si="47">R219-L219</f>
        <v>-9.5007850694599583</v>
      </c>
      <c r="T219" s="144">
        <f t="shared" si="41"/>
        <v>0</v>
      </c>
      <c r="V219" s="12"/>
    </row>
    <row r="220" spans="1:22" x14ac:dyDescent="0.25">
      <c r="A220" s="49">
        <f>'A) Base RI'!A221</f>
        <v>5750</v>
      </c>
      <c r="B220" s="351" t="str">
        <f>'A) Base RI'!B221</f>
        <v>Les Clées</v>
      </c>
      <c r="C220" s="403">
        <v>77966.649104431359</v>
      </c>
      <c r="D220" s="403">
        <v>-15027.204585952597</v>
      </c>
      <c r="E220" s="404">
        <v>0</v>
      </c>
      <c r="F220" s="404">
        <v>0</v>
      </c>
      <c r="G220" s="404">
        <v>0</v>
      </c>
      <c r="H220" s="403">
        <f t="shared" si="39"/>
        <v>62939.444518478762</v>
      </c>
      <c r="I220" s="404">
        <v>5052.8727083333342</v>
      </c>
      <c r="J220" s="355">
        <f>'B) D RI'!U221</f>
        <v>6037.9437500000004</v>
      </c>
      <c r="K220" s="62">
        <f t="shared" si="40"/>
        <v>12.456170608588126</v>
      </c>
      <c r="L220" s="33">
        <f>'B) D RI'!S221</f>
        <v>80</v>
      </c>
      <c r="M220" s="465">
        <f t="shared" ref="M220:M261" si="48">L220-K220</f>
        <v>67.543829391411876</v>
      </c>
      <c r="N220" s="457">
        <f>+'J) Plafonnement effort'!H219+'J) Plafonnement effort'!I219-'K) Plafonnement aide'!I219</f>
        <v>9.3275037687122939</v>
      </c>
      <c r="O220" s="145">
        <f t="shared" ref="O220:O261" si="49">M220+N220</f>
        <v>76.871333160124166</v>
      </c>
      <c r="P220" s="47">
        <f t="shared" ref="P220:P261" si="50">IF(O220&gt;$P$5,$P$5-O220,0)</f>
        <v>0</v>
      </c>
      <c r="Q220" s="55">
        <f t="shared" si="32"/>
        <v>0</v>
      </c>
      <c r="R220" s="145">
        <f t="shared" ref="R220:R261" si="51">O220+P220</f>
        <v>76.871333160124166</v>
      </c>
      <c r="S220" s="125">
        <f t="shared" ref="S220:S261" si="52">R220-L220</f>
        <v>-3.1286668398758337</v>
      </c>
      <c r="T220" s="144">
        <f t="shared" si="41"/>
        <v>0</v>
      </c>
      <c r="V220" s="12"/>
    </row>
    <row r="221" spans="1:22" x14ac:dyDescent="0.25">
      <c r="A221" s="49">
        <f>'A) Base RI'!A222</f>
        <v>5752</v>
      </c>
      <c r="B221" s="351" t="str">
        <f>'A) Base RI'!B222</f>
        <v>Croy</v>
      </c>
      <c r="C221" s="403">
        <v>167561.08822422492</v>
      </c>
      <c r="D221" s="403">
        <v>-56974.041100716771</v>
      </c>
      <c r="E221" s="404">
        <v>0</v>
      </c>
      <c r="F221" s="404">
        <v>0</v>
      </c>
      <c r="G221" s="404">
        <v>0</v>
      </c>
      <c r="H221" s="403">
        <f t="shared" si="39"/>
        <v>110587.04712350815</v>
      </c>
      <c r="I221" s="404">
        <v>9724.9561776061801</v>
      </c>
      <c r="J221" s="355">
        <f>'B) D RI'!U222</f>
        <v>9416.7971235521236</v>
      </c>
      <c r="K221" s="62">
        <f t="shared" si="40"/>
        <v>11.371469969001897</v>
      </c>
      <c r="L221" s="33">
        <f>'B) D RI'!S222</f>
        <v>74</v>
      </c>
      <c r="M221" s="465">
        <f t="shared" si="48"/>
        <v>62.628530030998107</v>
      </c>
      <c r="N221" s="457">
        <f>+'J) Plafonnement effort'!H220+'J) Plafonnement effort'!I220-'K) Plafonnement aide'!I220</f>
        <v>-51.709809566288449</v>
      </c>
      <c r="O221" s="145">
        <f t="shared" si="49"/>
        <v>10.918720464709658</v>
      </c>
      <c r="P221" s="47">
        <f t="shared" si="50"/>
        <v>0</v>
      </c>
      <c r="Q221" s="55">
        <f t="shared" si="32"/>
        <v>0</v>
      </c>
      <c r="R221" s="145">
        <f t="shared" si="51"/>
        <v>10.918720464709658</v>
      </c>
      <c r="S221" s="125">
        <f t="shared" si="52"/>
        <v>-63.081279535290342</v>
      </c>
      <c r="T221" s="144">
        <f t="shared" si="41"/>
        <v>0</v>
      </c>
      <c r="V221" s="12"/>
    </row>
    <row r="222" spans="1:22" x14ac:dyDescent="0.25">
      <c r="A222" s="49">
        <f>'A) Base RI'!A223</f>
        <v>5754</v>
      </c>
      <c r="B222" s="351" t="str">
        <f>'A) Base RI'!B223</f>
        <v>Juriens</v>
      </c>
      <c r="C222" s="403">
        <v>138621.41611477477</v>
      </c>
      <c r="D222" s="403">
        <v>-10091.112136569427</v>
      </c>
      <c r="E222" s="404">
        <v>0</v>
      </c>
      <c r="F222" s="404">
        <v>0</v>
      </c>
      <c r="G222" s="404">
        <v>0</v>
      </c>
      <c r="H222" s="403">
        <f t="shared" si="39"/>
        <v>128530.30397820534</v>
      </c>
      <c r="I222" s="404">
        <v>9237.2617721518982</v>
      </c>
      <c r="J222" s="355">
        <f>'B) D RI'!U223</f>
        <v>8043.7859493670894</v>
      </c>
      <c r="K222" s="62">
        <f t="shared" si="40"/>
        <v>13.914329500295532</v>
      </c>
      <c r="L222" s="33">
        <f>'B) D RI'!S223</f>
        <v>79</v>
      </c>
      <c r="M222" s="465">
        <f t="shared" si="48"/>
        <v>65.085670499704463</v>
      </c>
      <c r="N222" s="457">
        <f>+'J) Plafonnement effort'!H221+'J) Plafonnement effort'!I221-'K) Plafonnement aide'!I221</f>
        <v>-5.7117393139703436</v>
      </c>
      <c r="O222" s="145">
        <f t="shared" si="49"/>
        <v>59.373931185734122</v>
      </c>
      <c r="P222" s="47">
        <f t="shared" si="50"/>
        <v>0</v>
      </c>
      <c r="Q222" s="55">
        <f t="shared" ref="Q222:Q266" si="53">P222*J222</f>
        <v>0</v>
      </c>
      <c r="R222" s="145">
        <f t="shared" si="51"/>
        <v>59.373931185734122</v>
      </c>
      <c r="S222" s="125">
        <f t="shared" si="52"/>
        <v>-19.626068814265878</v>
      </c>
      <c r="T222" s="144">
        <f t="shared" si="41"/>
        <v>0</v>
      </c>
      <c r="V222" s="12"/>
    </row>
    <row r="223" spans="1:22" x14ac:dyDescent="0.25">
      <c r="A223" s="49">
        <f>'A) Base RI'!A224</f>
        <v>5755</v>
      </c>
      <c r="B223" s="351" t="str">
        <f>'A) Base RI'!B224</f>
        <v>Lignerolle</v>
      </c>
      <c r="C223" s="403">
        <v>201685.79863653483</v>
      </c>
      <c r="D223" s="403">
        <v>-130233.99331738765</v>
      </c>
      <c r="E223" s="404">
        <v>0</v>
      </c>
      <c r="F223" s="404">
        <v>0</v>
      </c>
      <c r="G223" s="404">
        <v>0</v>
      </c>
      <c r="H223" s="403">
        <f t="shared" si="39"/>
        <v>71451.805319147184</v>
      </c>
      <c r="I223" s="404">
        <v>9846.5387499999997</v>
      </c>
      <c r="J223" s="355">
        <f>'B) D RI'!U224</f>
        <v>9055.2737033666963</v>
      </c>
      <c r="K223" s="62">
        <f t="shared" si="40"/>
        <v>7.2565403065262082</v>
      </c>
      <c r="L223" s="33">
        <f>'B) D RI'!S224</f>
        <v>78.5</v>
      </c>
      <c r="M223" s="465">
        <f t="shared" si="48"/>
        <v>71.243459693473795</v>
      </c>
      <c r="N223" s="457">
        <f>+'J) Plafonnement effort'!H222+'J) Plafonnement effort'!I222-'K) Plafonnement aide'!I222</f>
        <v>-63.419479728366959</v>
      </c>
      <c r="O223" s="145">
        <f t="shared" si="49"/>
        <v>7.8239799651068367</v>
      </c>
      <c r="P223" s="47">
        <f t="shared" si="50"/>
        <v>0</v>
      </c>
      <c r="Q223" s="55">
        <f t="shared" si="53"/>
        <v>0</v>
      </c>
      <c r="R223" s="145">
        <f t="shared" si="51"/>
        <v>7.8239799651068367</v>
      </c>
      <c r="S223" s="125">
        <f t="shared" si="52"/>
        <v>-70.676020034893156</v>
      </c>
      <c r="T223" s="144">
        <f t="shared" si="41"/>
        <v>0</v>
      </c>
      <c r="V223" s="12"/>
    </row>
    <row r="224" spans="1:22" x14ac:dyDescent="0.25">
      <c r="A224" s="49">
        <f>'A) Base RI'!A225</f>
        <v>5756</v>
      </c>
      <c r="B224" s="351" t="str">
        <f>'A) Base RI'!B225</f>
        <v>Montcherand</v>
      </c>
      <c r="C224" s="403">
        <v>269757.22788697167</v>
      </c>
      <c r="D224" s="403">
        <v>113997.07629537606</v>
      </c>
      <c r="E224" s="404">
        <v>0</v>
      </c>
      <c r="F224" s="404">
        <v>0</v>
      </c>
      <c r="G224" s="404">
        <v>0</v>
      </c>
      <c r="H224" s="403">
        <f t="shared" si="39"/>
        <v>383754.30418234773</v>
      </c>
      <c r="I224" s="404">
        <v>16429.064166666663</v>
      </c>
      <c r="J224" s="355">
        <f>'B) D RI'!U225</f>
        <v>15758.308611111112</v>
      </c>
      <c r="K224" s="62">
        <f t="shared" si="40"/>
        <v>23.358257067432749</v>
      </c>
      <c r="L224" s="33">
        <f>'B) D RI'!S225</f>
        <v>72</v>
      </c>
      <c r="M224" s="465">
        <f t="shared" si="48"/>
        <v>48.641742932567254</v>
      </c>
      <c r="N224" s="457">
        <f>+'J) Plafonnement effort'!H223+'J) Plafonnement effort'!I223-'K) Plafonnement aide'!I223</f>
        <v>12.663676528371454</v>
      </c>
      <c r="O224" s="145">
        <f t="shared" si="49"/>
        <v>61.305419460938708</v>
      </c>
      <c r="P224" s="47">
        <f t="shared" si="50"/>
        <v>0</v>
      </c>
      <c r="Q224" s="55">
        <f t="shared" si="53"/>
        <v>0</v>
      </c>
      <c r="R224" s="145">
        <f t="shared" si="51"/>
        <v>61.305419460938708</v>
      </c>
      <c r="S224" s="125">
        <f t="shared" si="52"/>
        <v>-10.694580539061292</v>
      </c>
      <c r="T224" s="144">
        <f t="shared" si="41"/>
        <v>0</v>
      </c>
      <c r="V224" s="12"/>
    </row>
    <row r="225" spans="1:22" x14ac:dyDescent="0.25">
      <c r="A225" s="49">
        <f>'A) Base RI'!A226</f>
        <v>5757</v>
      </c>
      <c r="B225" s="351" t="str">
        <f>'A) Base RI'!B226</f>
        <v>Orbe</v>
      </c>
      <c r="C225" s="403">
        <v>4213510.0680503491</v>
      </c>
      <c r="D225" s="403">
        <v>-1981444.2866234905</v>
      </c>
      <c r="E225" s="404">
        <v>0</v>
      </c>
      <c r="F225" s="404">
        <v>0</v>
      </c>
      <c r="G225" s="404">
        <v>0</v>
      </c>
      <c r="H225" s="403">
        <f t="shared" si="39"/>
        <v>2232065.7814268586</v>
      </c>
      <c r="I225" s="404">
        <v>203622.90168831171</v>
      </c>
      <c r="J225" s="355">
        <f>'B) D RI'!U226</f>
        <v>203783.43483443707</v>
      </c>
      <c r="K225" s="62">
        <f t="shared" si="40"/>
        <v>10.96176197726281</v>
      </c>
      <c r="L225" s="33">
        <f>'B) D RI'!S226</f>
        <v>75.5</v>
      </c>
      <c r="M225" s="465">
        <f t="shared" si="48"/>
        <v>64.53823802273719</v>
      </c>
      <c r="N225" s="457">
        <f>+'J) Plafonnement effort'!H224+'J) Plafonnement effort'!I224-'K) Plafonnement aide'!I224</f>
        <v>-7.7117925290793101</v>
      </c>
      <c r="O225" s="145">
        <f t="shared" si="49"/>
        <v>56.826445493657879</v>
      </c>
      <c r="P225" s="47">
        <f t="shared" si="50"/>
        <v>0</v>
      </c>
      <c r="Q225" s="55">
        <f t="shared" si="53"/>
        <v>0</v>
      </c>
      <c r="R225" s="145">
        <f t="shared" si="51"/>
        <v>56.826445493657879</v>
      </c>
      <c r="S225" s="125">
        <f t="shared" si="52"/>
        <v>-18.673554506342121</v>
      </c>
      <c r="T225" s="144">
        <f t="shared" si="41"/>
        <v>0</v>
      </c>
      <c r="V225" s="12"/>
    </row>
    <row r="226" spans="1:22" x14ac:dyDescent="0.25">
      <c r="A226" s="49">
        <f>'A) Base RI'!A227</f>
        <v>5758</v>
      </c>
      <c r="B226" s="351" t="str">
        <f>'A) Base RI'!B227</f>
        <v>La Praz</v>
      </c>
      <c r="C226" s="403">
        <v>96198.371629264817</v>
      </c>
      <c r="D226" s="403">
        <v>-19392.469022454068</v>
      </c>
      <c r="E226" s="404">
        <v>0</v>
      </c>
      <c r="F226" s="404">
        <v>0</v>
      </c>
      <c r="G226" s="404">
        <v>0</v>
      </c>
      <c r="H226" s="403">
        <f t="shared" si="39"/>
        <v>76805.902606810749</v>
      </c>
      <c r="I226" s="404">
        <v>4513.7940160642565</v>
      </c>
      <c r="J226" s="355">
        <f>'B) D RI'!U227</f>
        <v>4313.3939759036139</v>
      </c>
      <c r="K226" s="62">
        <f t="shared" si="40"/>
        <v>17.015819138725487</v>
      </c>
      <c r="L226" s="33">
        <f>'B) D RI'!S227</f>
        <v>83</v>
      </c>
      <c r="M226" s="465">
        <f t="shared" si="48"/>
        <v>65.98418086127451</v>
      </c>
      <c r="N226" s="457">
        <f>+'J) Plafonnement effort'!H225+'J) Plafonnement effort'!I225-'K) Plafonnement aide'!I225</f>
        <v>-1.1766943669631824</v>
      </c>
      <c r="O226" s="145">
        <f t="shared" si="49"/>
        <v>64.807486494311334</v>
      </c>
      <c r="P226" s="47">
        <f t="shared" si="50"/>
        <v>0</v>
      </c>
      <c r="Q226" s="55">
        <f t="shared" si="53"/>
        <v>0</v>
      </c>
      <c r="R226" s="145">
        <f t="shared" si="51"/>
        <v>64.807486494311334</v>
      </c>
      <c r="S226" s="125">
        <f t="shared" si="52"/>
        <v>-18.192513505688666</v>
      </c>
      <c r="T226" s="144">
        <f t="shared" si="41"/>
        <v>0</v>
      </c>
      <c r="V226" s="12"/>
    </row>
    <row r="227" spans="1:22" x14ac:dyDescent="0.25">
      <c r="A227" s="49">
        <f>'A) Base RI'!A228</f>
        <v>5759</v>
      </c>
      <c r="B227" s="351" t="str">
        <f>'A) Base RI'!B228</f>
        <v>Premier</v>
      </c>
      <c r="C227" s="403">
        <v>89865.879315744372</v>
      </c>
      <c r="D227" s="403">
        <v>-48045.258922796173</v>
      </c>
      <c r="E227" s="404">
        <v>0</v>
      </c>
      <c r="F227" s="404">
        <v>0</v>
      </c>
      <c r="G227" s="404">
        <v>0</v>
      </c>
      <c r="H227" s="403">
        <f t="shared" si="39"/>
        <v>41820.6203929482</v>
      </c>
      <c r="I227" s="404">
        <v>5266.2719753086421</v>
      </c>
      <c r="J227" s="355">
        <f>'B) D RI'!U228</f>
        <v>5307.4840251572332</v>
      </c>
      <c r="K227" s="62">
        <f t="shared" si="40"/>
        <v>7.9412192513086461</v>
      </c>
      <c r="L227" s="33">
        <f>'B) D RI'!S228</f>
        <v>79.5</v>
      </c>
      <c r="M227" s="465">
        <f t="shared" si="48"/>
        <v>71.558780748691348</v>
      </c>
      <c r="N227" s="457">
        <f>+'J) Plafonnement effort'!H226+'J) Plafonnement effort'!I226-'K) Plafonnement aide'!I226</f>
        <v>-7.7425097684675848</v>
      </c>
      <c r="O227" s="145">
        <f t="shared" si="49"/>
        <v>63.816270980223763</v>
      </c>
      <c r="P227" s="47">
        <f t="shared" si="50"/>
        <v>0</v>
      </c>
      <c r="Q227" s="55">
        <f t="shared" si="53"/>
        <v>0</v>
      </c>
      <c r="R227" s="145">
        <f t="shared" si="51"/>
        <v>63.816270980223763</v>
      </c>
      <c r="S227" s="125">
        <f t="shared" si="52"/>
        <v>-15.683729019776237</v>
      </c>
      <c r="T227" s="144">
        <f t="shared" si="41"/>
        <v>0</v>
      </c>
      <c r="V227" s="12"/>
    </row>
    <row r="228" spans="1:22" x14ac:dyDescent="0.25">
      <c r="A228" s="49">
        <f>'A) Base RI'!A229</f>
        <v>5760</v>
      </c>
      <c r="B228" s="351" t="str">
        <f>'A) Base RI'!B229</f>
        <v>Rances</v>
      </c>
      <c r="C228" s="403">
        <v>198380.46947498462</v>
      </c>
      <c r="D228" s="403">
        <v>-90228.428507242323</v>
      </c>
      <c r="E228" s="404">
        <v>0</v>
      </c>
      <c r="F228" s="404">
        <v>0</v>
      </c>
      <c r="G228" s="404">
        <v>0</v>
      </c>
      <c r="H228" s="403">
        <f t="shared" si="39"/>
        <v>108152.0409677423</v>
      </c>
      <c r="I228" s="404">
        <v>12393.154658119658</v>
      </c>
      <c r="J228" s="355">
        <f>'B) D RI'!U229</f>
        <v>12826.018997821348</v>
      </c>
      <c r="K228" s="62">
        <f t="shared" si="40"/>
        <v>8.7267563385795413</v>
      </c>
      <c r="L228" s="33">
        <f>'B) D RI'!S229</f>
        <v>76.5</v>
      </c>
      <c r="M228" s="465">
        <f t="shared" si="48"/>
        <v>67.773243661420452</v>
      </c>
      <c r="N228" s="457">
        <f>+'J) Plafonnement effort'!H227+'J) Plafonnement effort'!I227-'K) Plafonnement aide'!I227</f>
        <v>-6.0182710074988686</v>
      </c>
      <c r="O228" s="145">
        <f t="shared" si="49"/>
        <v>61.754972653921584</v>
      </c>
      <c r="P228" s="47">
        <f t="shared" si="50"/>
        <v>0</v>
      </c>
      <c r="Q228" s="55">
        <f t="shared" si="53"/>
        <v>0</v>
      </c>
      <c r="R228" s="145">
        <f t="shared" si="51"/>
        <v>61.754972653921584</v>
      </c>
      <c r="S228" s="125">
        <f t="shared" si="52"/>
        <v>-14.745027346078416</v>
      </c>
      <c r="T228" s="144">
        <f t="shared" si="41"/>
        <v>0</v>
      </c>
      <c r="V228" s="12"/>
    </row>
    <row r="229" spans="1:22" x14ac:dyDescent="0.25">
      <c r="A229" s="49">
        <f>'A) Base RI'!A230</f>
        <v>5761</v>
      </c>
      <c r="B229" s="351" t="str">
        <f>'A) Base RI'!B230</f>
        <v>Romainmôtier-Envy</v>
      </c>
      <c r="C229" s="403">
        <v>252542.98191184737</v>
      </c>
      <c r="D229" s="403">
        <v>-156530.44942238284</v>
      </c>
      <c r="E229" s="404">
        <v>0</v>
      </c>
      <c r="F229" s="404">
        <v>0</v>
      </c>
      <c r="G229" s="404">
        <v>0</v>
      </c>
      <c r="H229" s="403">
        <f t="shared" si="39"/>
        <v>96012.532489464531</v>
      </c>
      <c r="I229" s="404">
        <v>12300.346363636363</v>
      </c>
      <c r="J229" s="355">
        <f>'B) D RI'!U230</f>
        <v>12135.004377104378</v>
      </c>
      <c r="K229" s="62">
        <f t="shared" si="40"/>
        <v>7.8056771452637577</v>
      </c>
      <c r="L229" s="33">
        <f>'B) D RI'!S230</f>
        <v>81</v>
      </c>
      <c r="M229" s="465">
        <f t="shared" si="48"/>
        <v>73.194322854736242</v>
      </c>
      <c r="N229" s="457">
        <f>+'J) Plafonnement effort'!H228+'J) Plafonnement effort'!I228-'K) Plafonnement aide'!I228</f>
        <v>-17.661894333816747</v>
      </c>
      <c r="O229" s="145">
        <f t="shared" si="49"/>
        <v>55.532428520919495</v>
      </c>
      <c r="P229" s="47">
        <f t="shared" si="50"/>
        <v>0</v>
      </c>
      <c r="Q229" s="55">
        <f t="shared" si="53"/>
        <v>0</v>
      </c>
      <c r="R229" s="145">
        <f t="shared" si="51"/>
        <v>55.532428520919495</v>
      </c>
      <c r="S229" s="125">
        <f t="shared" si="52"/>
        <v>-25.467571479080505</v>
      </c>
      <c r="T229" s="144">
        <f t="shared" si="41"/>
        <v>0</v>
      </c>
      <c r="V229" s="12"/>
    </row>
    <row r="230" spans="1:22" x14ac:dyDescent="0.25">
      <c r="A230" s="49">
        <f>'A) Base RI'!A231</f>
        <v>5762</v>
      </c>
      <c r="B230" s="351" t="str">
        <f>'A) Base RI'!B231</f>
        <v>Sergey</v>
      </c>
      <c r="C230" s="403">
        <v>62495.94970040935</v>
      </c>
      <c r="D230" s="403">
        <v>-6051.2152451623115</v>
      </c>
      <c r="E230" s="404">
        <v>0</v>
      </c>
      <c r="F230" s="404">
        <v>0</v>
      </c>
      <c r="G230" s="404">
        <v>0</v>
      </c>
      <c r="H230" s="403">
        <f t="shared" si="39"/>
        <v>56444.734455247039</v>
      </c>
      <c r="I230" s="404">
        <v>4008.7221794871789</v>
      </c>
      <c r="J230" s="355">
        <f>'B) D RI'!U231</f>
        <v>3773.0282051282052</v>
      </c>
      <c r="K230" s="62">
        <f t="shared" si="40"/>
        <v>14.080480494277557</v>
      </c>
      <c r="L230" s="33">
        <f>'B) D RI'!S231</f>
        <v>78</v>
      </c>
      <c r="M230" s="465">
        <f t="shared" si="48"/>
        <v>63.919519505722441</v>
      </c>
      <c r="N230" s="457">
        <f>+'J) Plafonnement effort'!H229+'J) Plafonnement effort'!I229-'K) Plafonnement aide'!I229</f>
        <v>-1.4155312764970951E-2</v>
      </c>
      <c r="O230" s="145">
        <f t="shared" si="49"/>
        <v>63.905364192957471</v>
      </c>
      <c r="P230" s="47">
        <f t="shared" si="50"/>
        <v>0</v>
      </c>
      <c r="Q230" s="55">
        <f t="shared" si="53"/>
        <v>0</v>
      </c>
      <c r="R230" s="145">
        <f t="shared" si="51"/>
        <v>63.905364192957471</v>
      </c>
      <c r="S230" s="125">
        <f t="shared" si="52"/>
        <v>-14.094635807042529</v>
      </c>
      <c r="T230" s="144">
        <f t="shared" si="41"/>
        <v>0</v>
      </c>
      <c r="V230" s="12"/>
    </row>
    <row r="231" spans="1:22" x14ac:dyDescent="0.25">
      <c r="A231" s="49">
        <f>'A) Base RI'!A232</f>
        <v>5763</v>
      </c>
      <c r="B231" s="351" t="str">
        <f>'A) Base RI'!B232</f>
        <v>Valeyres-sous-Rances</v>
      </c>
      <c r="C231" s="403">
        <v>351134.31905957498</v>
      </c>
      <c r="D231" s="403">
        <v>226902.25184272492</v>
      </c>
      <c r="E231" s="404">
        <v>0</v>
      </c>
      <c r="F231" s="404">
        <v>0</v>
      </c>
      <c r="G231" s="404">
        <v>0</v>
      </c>
      <c r="H231" s="403">
        <f t="shared" si="39"/>
        <v>578036.57090229983</v>
      </c>
      <c r="I231" s="404">
        <v>21916.016764705884</v>
      </c>
      <c r="J231" s="355">
        <f>'B) D RI'!U232</f>
        <v>20456.385294117645</v>
      </c>
      <c r="K231" s="62">
        <f t="shared" si="40"/>
        <v>26.375074317025746</v>
      </c>
      <c r="L231" s="33">
        <f>'B) D RI'!S232</f>
        <v>68</v>
      </c>
      <c r="M231" s="465">
        <f t="shared" si="48"/>
        <v>41.624925682974251</v>
      </c>
      <c r="N231" s="457">
        <f>+'J) Plafonnement effort'!H230+'J) Plafonnement effort'!I230-'K) Plafonnement aide'!I230</f>
        <v>15.287485233351703</v>
      </c>
      <c r="O231" s="145">
        <f t="shared" si="49"/>
        <v>56.912410916325953</v>
      </c>
      <c r="P231" s="47">
        <f t="shared" si="50"/>
        <v>0</v>
      </c>
      <c r="Q231" s="55">
        <f t="shared" si="53"/>
        <v>0</v>
      </c>
      <c r="R231" s="145">
        <f t="shared" si="51"/>
        <v>56.912410916325953</v>
      </c>
      <c r="S231" s="125">
        <f t="shared" si="52"/>
        <v>-11.087589083674047</v>
      </c>
      <c r="T231" s="144">
        <f t="shared" si="41"/>
        <v>0</v>
      </c>
      <c r="V231" s="12"/>
    </row>
    <row r="232" spans="1:22" x14ac:dyDescent="0.25">
      <c r="A232" s="49">
        <f>'A) Base RI'!A233</f>
        <v>5764</v>
      </c>
      <c r="B232" s="351" t="str">
        <f>'A) Base RI'!B233</f>
        <v>Vallorbe</v>
      </c>
      <c r="C232" s="403">
        <v>2288638.4919502418</v>
      </c>
      <c r="D232" s="403">
        <v>-1475841.5313847905</v>
      </c>
      <c r="E232" s="404">
        <v>0</v>
      </c>
      <c r="F232" s="404">
        <v>0</v>
      </c>
      <c r="G232" s="404">
        <v>0</v>
      </c>
      <c r="H232" s="403">
        <f t="shared" si="39"/>
        <v>812796.9605654513</v>
      </c>
      <c r="I232" s="404">
        <v>88041.024794520548</v>
      </c>
      <c r="J232" s="355">
        <f>'B) D RI'!U233</f>
        <v>84310.704615384602</v>
      </c>
      <c r="K232" s="62">
        <f t="shared" si="40"/>
        <v>9.2320252116833341</v>
      </c>
      <c r="L232" s="33">
        <f>'B) D RI'!S233</f>
        <v>71.5</v>
      </c>
      <c r="M232" s="465">
        <f t="shared" si="48"/>
        <v>62.267974788316664</v>
      </c>
      <c r="N232" s="457">
        <f>+'J) Plafonnement effort'!H231+'J) Plafonnement effort'!I231-'K) Plafonnement aide'!I231</f>
        <v>-31.042984966762695</v>
      </c>
      <c r="O232" s="145">
        <f t="shared" si="49"/>
        <v>31.224989821553969</v>
      </c>
      <c r="P232" s="47">
        <f t="shared" si="50"/>
        <v>0</v>
      </c>
      <c r="Q232" s="55">
        <f t="shared" si="53"/>
        <v>0</v>
      </c>
      <c r="R232" s="145">
        <f t="shared" si="51"/>
        <v>31.224989821553969</v>
      </c>
      <c r="S232" s="125">
        <f t="shared" si="52"/>
        <v>-40.275010178446031</v>
      </c>
      <c r="T232" s="144">
        <f t="shared" si="41"/>
        <v>0</v>
      </c>
      <c r="V232" s="12"/>
    </row>
    <row r="233" spans="1:22" x14ac:dyDescent="0.25">
      <c r="A233" s="49">
        <f>'A) Base RI'!A234</f>
        <v>5765</v>
      </c>
      <c r="B233" s="351" t="str">
        <f>'A) Base RI'!B234</f>
        <v>Vaulion</v>
      </c>
      <c r="C233" s="403">
        <v>225929.08548712567</v>
      </c>
      <c r="D233" s="403">
        <v>-119104.2297086913</v>
      </c>
      <c r="E233" s="404">
        <v>0</v>
      </c>
      <c r="F233" s="404">
        <v>0</v>
      </c>
      <c r="G233" s="404">
        <v>0</v>
      </c>
      <c r="H233" s="403">
        <f t="shared" si="39"/>
        <v>106824.85577843437</v>
      </c>
      <c r="I233" s="404">
        <v>11969.433580246912</v>
      </c>
      <c r="J233" s="355">
        <f>'B) D RI'!U234</f>
        <v>11314.597037037036</v>
      </c>
      <c r="K233" s="62">
        <f t="shared" si="40"/>
        <v>8.9248045918168444</v>
      </c>
      <c r="L233" s="33">
        <f>'B) D RI'!S234</f>
        <v>81</v>
      </c>
      <c r="M233" s="465">
        <f t="shared" si="48"/>
        <v>72.075195408183163</v>
      </c>
      <c r="N233" s="457">
        <f>+'J) Plafonnement effort'!H232+'J) Plafonnement effort'!I232-'K) Plafonnement aide'!I232</f>
        <v>-16.956581372717292</v>
      </c>
      <c r="O233" s="145">
        <f t="shared" si="49"/>
        <v>55.118614035465868</v>
      </c>
      <c r="P233" s="47">
        <f t="shared" si="50"/>
        <v>0</v>
      </c>
      <c r="Q233" s="55">
        <f t="shared" si="53"/>
        <v>0</v>
      </c>
      <c r="R233" s="145">
        <f t="shared" si="51"/>
        <v>55.118614035465868</v>
      </c>
      <c r="S233" s="125">
        <f t="shared" si="52"/>
        <v>-25.881385964534132</v>
      </c>
      <c r="T233" s="144">
        <f t="shared" si="41"/>
        <v>0</v>
      </c>
      <c r="V233" s="12"/>
    </row>
    <row r="234" spans="1:22" x14ac:dyDescent="0.25">
      <c r="A234" s="49">
        <f>'A) Base RI'!A235</f>
        <v>5766</v>
      </c>
      <c r="B234" s="351" t="str">
        <f>'A) Base RI'!B235</f>
        <v>Vuiteboeuf</v>
      </c>
      <c r="C234" s="403">
        <v>252685.96149867956</v>
      </c>
      <c r="D234" s="403">
        <v>-102425.44293869013</v>
      </c>
      <c r="E234" s="404">
        <v>0</v>
      </c>
      <c r="F234" s="404">
        <v>0</v>
      </c>
      <c r="G234" s="404">
        <v>0</v>
      </c>
      <c r="H234" s="403">
        <f t="shared" si="39"/>
        <v>150260.51855998943</v>
      </c>
      <c r="I234" s="404">
        <v>13963.194675324676</v>
      </c>
      <c r="J234" s="355">
        <f>'B) D RI'!U235</f>
        <v>15993.559610389608</v>
      </c>
      <c r="K234" s="62">
        <f t="shared" si="40"/>
        <v>10.761184818652222</v>
      </c>
      <c r="L234" s="33">
        <f>'B) D RI'!S235</f>
        <v>77</v>
      </c>
      <c r="M234" s="465">
        <f t="shared" si="48"/>
        <v>66.238815181347775</v>
      </c>
      <c r="N234" s="457">
        <f>+'J) Plafonnement effort'!H233+'J) Plafonnement effort'!I233-'K) Plafonnement aide'!I233</f>
        <v>3.0168595910178517</v>
      </c>
      <c r="O234" s="145">
        <f t="shared" si="49"/>
        <v>69.255674772365623</v>
      </c>
      <c r="P234" s="47">
        <f t="shared" si="50"/>
        <v>0</v>
      </c>
      <c r="Q234" s="55">
        <f t="shared" si="53"/>
        <v>0</v>
      </c>
      <c r="R234" s="145">
        <f t="shared" si="51"/>
        <v>69.255674772365623</v>
      </c>
      <c r="S234" s="125">
        <f t="shared" si="52"/>
        <v>-7.744325227634377</v>
      </c>
      <c r="T234" s="144">
        <f t="shared" si="41"/>
        <v>0</v>
      </c>
      <c r="V234" s="12"/>
    </row>
    <row r="235" spans="1:22" x14ac:dyDescent="0.25">
      <c r="A235" s="49">
        <f>'A) Base RI'!A236</f>
        <v>5785</v>
      </c>
      <c r="B235" s="351" t="str">
        <f>'A) Base RI'!B236</f>
        <v>Corcelles-le-Jorat</v>
      </c>
      <c r="C235" s="403">
        <v>294991.75356166507</v>
      </c>
      <c r="D235" s="403">
        <v>174206.92988789707</v>
      </c>
      <c r="E235" s="404">
        <v>0</v>
      </c>
      <c r="F235" s="404">
        <v>0</v>
      </c>
      <c r="G235" s="404">
        <v>0</v>
      </c>
      <c r="H235" s="403">
        <f t="shared" si="39"/>
        <v>469198.68344956217</v>
      </c>
      <c r="I235" s="404">
        <v>16982.100779220782</v>
      </c>
      <c r="J235" s="355">
        <f>'B) D RI'!U236</f>
        <v>17506.662467532471</v>
      </c>
      <c r="K235" s="62">
        <f t="shared" si="40"/>
        <v>27.629013014907525</v>
      </c>
      <c r="L235" s="33">
        <f>'B) D RI'!S236</f>
        <v>77</v>
      </c>
      <c r="M235" s="465">
        <f t="shared" si="48"/>
        <v>49.370986985092472</v>
      </c>
      <c r="N235" s="457">
        <f>+'J) Plafonnement effort'!H234+'J) Plafonnement effort'!I234-'K) Plafonnement aide'!I234</f>
        <v>20.040102650084254</v>
      </c>
      <c r="O235" s="145">
        <f t="shared" si="49"/>
        <v>69.411089635176722</v>
      </c>
      <c r="P235" s="47">
        <f t="shared" si="50"/>
        <v>0</v>
      </c>
      <c r="Q235" s="55">
        <f t="shared" si="53"/>
        <v>0</v>
      </c>
      <c r="R235" s="145">
        <f t="shared" si="51"/>
        <v>69.411089635176722</v>
      </c>
      <c r="S235" s="125">
        <f t="shared" si="52"/>
        <v>-7.5889103648232776</v>
      </c>
      <c r="T235" s="144">
        <f t="shared" si="41"/>
        <v>0</v>
      </c>
      <c r="V235" s="12"/>
    </row>
    <row r="236" spans="1:22" x14ac:dyDescent="0.25">
      <c r="A236" s="49">
        <f>'A) Base RI'!A237</f>
        <v>5788</v>
      </c>
      <c r="B236" s="351" t="str">
        <f>'A) Base RI'!B237</f>
        <v>Essertes</v>
      </c>
      <c r="C236" s="403">
        <v>231442.62027811864</v>
      </c>
      <c r="D236" s="403">
        <v>86219.040369582828</v>
      </c>
      <c r="E236" s="404">
        <v>0</v>
      </c>
      <c r="F236" s="404">
        <v>0</v>
      </c>
      <c r="G236" s="404">
        <v>0</v>
      </c>
      <c r="H236" s="403">
        <f t="shared" si="39"/>
        <v>317661.66064770147</v>
      </c>
      <c r="I236" s="404">
        <v>12373.296527777777</v>
      </c>
      <c r="J236" s="355">
        <f>'B) D RI'!U237</f>
        <v>16224.893706293702</v>
      </c>
      <c r="K236" s="62">
        <f t="shared" si="40"/>
        <v>25.673163165091701</v>
      </c>
      <c r="L236" s="33">
        <f>'B) D RI'!S237</f>
        <v>71.5</v>
      </c>
      <c r="M236" s="465">
        <f t="shared" si="48"/>
        <v>45.826836834908299</v>
      </c>
      <c r="N236" s="457">
        <f>+'J) Plafonnement effort'!H235+'J) Plafonnement effort'!I235-'K) Plafonnement aide'!I235</f>
        <v>26.151026100758529</v>
      </c>
      <c r="O236" s="145">
        <f t="shared" si="49"/>
        <v>71.97786293566682</v>
      </c>
      <c r="P236" s="47">
        <f t="shared" si="50"/>
        <v>0</v>
      </c>
      <c r="Q236" s="55">
        <f t="shared" si="53"/>
        <v>0</v>
      </c>
      <c r="R236" s="145">
        <f t="shared" si="51"/>
        <v>71.97786293566682</v>
      </c>
      <c r="S236" s="125">
        <f t="shared" si="52"/>
        <v>0.47786293566682048</v>
      </c>
      <c r="T236" s="144">
        <f t="shared" si="41"/>
        <v>0</v>
      </c>
      <c r="V236" s="12"/>
    </row>
    <row r="237" spans="1:22" x14ac:dyDescent="0.25">
      <c r="A237" s="49">
        <f>'A) Base RI'!A238</f>
        <v>5790</v>
      </c>
      <c r="B237" s="351" t="str">
        <f>'A) Base RI'!B238</f>
        <v>Maracon</v>
      </c>
      <c r="C237" s="403">
        <v>333771.81783047819</v>
      </c>
      <c r="D237" s="403">
        <v>-28574.657858833438</v>
      </c>
      <c r="E237" s="404">
        <v>0</v>
      </c>
      <c r="F237" s="404">
        <v>0</v>
      </c>
      <c r="G237" s="404">
        <v>0</v>
      </c>
      <c r="H237" s="403">
        <f t="shared" si="39"/>
        <v>305197.15997164475</v>
      </c>
      <c r="I237" s="404">
        <v>14432.888421052632</v>
      </c>
      <c r="J237" s="355">
        <f>'B) D RI'!U238</f>
        <v>13398.084966442953</v>
      </c>
      <c r="K237" s="62">
        <f t="shared" si="40"/>
        <v>21.145951598050658</v>
      </c>
      <c r="L237" s="33">
        <f>'B) D RI'!S238</f>
        <v>74.5</v>
      </c>
      <c r="M237" s="465">
        <f t="shared" si="48"/>
        <v>53.354048401949342</v>
      </c>
      <c r="N237" s="457">
        <f>+'J) Plafonnement effort'!H236+'J) Plafonnement effort'!I236-'K) Plafonnement aide'!I236</f>
        <v>2.489075837240704</v>
      </c>
      <c r="O237" s="145">
        <f t="shared" si="49"/>
        <v>55.843124239190047</v>
      </c>
      <c r="P237" s="47">
        <f t="shared" si="50"/>
        <v>0</v>
      </c>
      <c r="Q237" s="55">
        <f t="shared" si="53"/>
        <v>0</v>
      </c>
      <c r="R237" s="145">
        <f t="shared" si="51"/>
        <v>55.843124239190047</v>
      </c>
      <c r="S237" s="125">
        <f t="shared" si="52"/>
        <v>-18.656875760809953</v>
      </c>
      <c r="T237" s="144">
        <f t="shared" si="41"/>
        <v>0</v>
      </c>
      <c r="V237" s="12"/>
    </row>
    <row r="238" spans="1:22" x14ac:dyDescent="0.25">
      <c r="A238" s="49">
        <f>'A) Base RI'!A239</f>
        <v>5792</v>
      </c>
      <c r="B238" s="351" t="str">
        <f>'A) Base RI'!B239</f>
        <v>Montpreveyres</v>
      </c>
      <c r="C238" s="403">
        <v>356510.59103289084</v>
      </c>
      <c r="D238" s="403">
        <v>66575.249611900188</v>
      </c>
      <c r="E238" s="404">
        <v>0</v>
      </c>
      <c r="F238" s="404">
        <v>0</v>
      </c>
      <c r="G238" s="404">
        <v>0</v>
      </c>
      <c r="H238" s="403">
        <f t="shared" si="39"/>
        <v>423085.84064479102</v>
      </c>
      <c r="I238" s="404">
        <v>20144.698311688313</v>
      </c>
      <c r="J238" s="355">
        <f>'B) D RI'!U239</f>
        <v>17609.230799999998</v>
      </c>
      <c r="K238" s="62">
        <f t="shared" si="40"/>
        <v>21.002341861794431</v>
      </c>
      <c r="L238" s="33">
        <f>'B) D RI'!S239</f>
        <v>75</v>
      </c>
      <c r="M238" s="465">
        <f t="shared" si="48"/>
        <v>53.997658138205566</v>
      </c>
      <c r="N238" s="457">
        <f>+'J) Plafonnement effort'!H237+'J) Plafonnement effort'!I237-'K) Plafonnement aide'!I237</f>
        <v>0.30827508019270322</v>
      </c>
      <c r="O238" s="145">
        <f t="shared" si="49"/>
        <v>54.305933218398266</v>
      </c>
      <c r="P238" s="47">
        <f t="shared" si="50"/>
        <v>0</v>
      </c>
      <c r="Q238" s="55">
        <f t="shared" si="53"/>
        <v>0</v>
      </c>
      <c r="R238" s="145">
        <f t="shared" si="51"/>
        <v>54.305933218398266</v>
      </c>
      <c r="S238" s="125">
        <f t="shared" si="52"/>
        <v>-20.694066781601734</v>
      </c>
      <c r="T238" s="144">
        <f t="shared" si="41"/>
        <v>0</v>
      </c>
      <c r="V238" s="12"/>
    </row>
    <row r="239" spans="1:22" x14ac:dyDescent="0.25">
      <c r="A239" s="49">
        <f>'A) Base RI'!A240</f>
        <v>5798</v>
      </c>
      <c r="B239" s="351" t="str">
        <f>'A) Base RI'!B240</f>
        <v>Ropraz</v>
      </c>
      <c r="C239" s="403">
        <v>219484.49404045855</v>
      </c>
      <c r="D239" s="403">
        <v>21145.956026323605</v>
      </c>
      <c r="E239" s="404">
        <v>0</v>
      </c>
      <c r="F239" s="404">
        <v>0</v>
      </c>
      <c r="G239" s="404">
        <v>0</v>
      </c>
      <c r="H239" s="403">
        <f t="shared" si="39"/>
        <v>240630.45006678216</v>
      </c>
      <c r="I239" s="404">
        <v>14372.607741935482</v>
      </c>
      <c r="J239" s="355">
        <f>'B) D RI'!U240</f>
        <v>15760.164903225806</v>
      </c>
      <c r="K239" s="62">
        <f t="shared" si="40"/>
        <v>16.742295788445258</v>
      </c>
      <c r="L239" s="33">
        <f>'B) D RI'!S240</f>
        <v>77.5</v>
      </c>
      <c r="M239" s="465">
        <f t="shared" si="48"/>
        <v>60.757704211554739</v>
      </c>
      <c r="N239" s="457">
        <f>+'J) Plafonnement effort'!H238+'J) Plafonnement effort'!I238-'K) Plafonnement aide'!I238</f>
        <v>10.099473545073124</v>
      </c>
      <c r="O239" s="145">
        <f t="shared" si="49"/>
        <v>70.857177756627863</v>
      </c>
      <c r="P239" s="47">
        <f t="shared" si="50"/>
        <v>0</v>
      </c>
      <c r="Q239" s="55">
        <f t="shared" si="53"/>
        <v>0</v>
      </c>
      <c r="R239" s="145">
        <f t="shared" si="51"/>
        <v>70.857177756627863</v>
      </c>
      <c r="S239" s="125">
        <f t="shared" si="52"/>
        <v>-6.6428222433721373</v>
      </c>
      <c r="T239" s="144">
        <f t="shared" si="41"/>
        <v>0</v>
      </c>
      <c r="V239" s="12"/>
    </row>
    <row r="240" spans="1:22" x14ac:dyDescent="0.25">
      <c r="A240" s="49">
        <f>'A) Base RI'!A241</f>
        <v>5799</v>
      </c>
      <c r="B240" s="351" t="str">
        <f>'A) Base RI'!B241</f>
        <v>Servion</v>
      </c>
      <c r="C240" s="403">
        <v>1267341.143629571</v>
      </c>
      <c r="D240" s="403">
        <v>513595.81857270352</v>
      </c>
      <c r="E240" s="404">
        <v>0</v>
      </c>
      <c r="F240" s="404">
        <v>0</v>
      </c>
      <c r="G240" s="404">
        <v>0</v>
      </c>
      <c r="H240" s="403">
        <f t="shared" si="39"/>
        <v>1780936.9622022745</v>
      </c>
      <c r="I240" s="404">
        <v>71130.218550724647</v>
      </c>
      <c r="J240" s="355">
        <f>'B) D RI'!U241</f>
        <v>69387.22289855071</v>
      </c>
      <c r="K240" s="62">
        <f t="shared" si="40"/>
        <v>25.037698442220393</v>
      </c>
      <c r="L240" s="33">
        <f>'B) D RI'!S241</f>
        <v>69</v>
      </c>
      <c r="M240" s="465">
        <f t="shared" si="48"/>
        <v>43.962301557779611</v>
      </c>
      <c r="N240" s="457">
        <f>+'J) Plafonnement effort'!H239+'J) Plafonnement effort'!I239-'K) Plafonnement aide'!I239</f>
        <v>12.33485342748472</v>
      </c>
      <c r="O240" s="145">
        <f t="shared" si="49"/>
        <v>56.297154985264328</v>
      </c>
      <c r="P240" s="47">
        <f t="shared" si="50"/>
        <v>0</v>
      </c>
      <c r="Q240" s="55">
        <f t="shared" si="53"/>
        <v>0</v>
      </c>
      <c r="R240" s="145">
        <f t="shared" si="51"/>
        <v>56.297154985264328</v>
      </c>
      <c r="S240" s="125">
        <f t="shared" si="52"/>
        <v>-12.702845014735672</v>
      </c>
      <c r="T240" s="144">
        <f t="shared" si="41"/>
        <v>0</v>
      </c>
      <c r="V240" s="12"/>
    </row>
    <row r="241" spans="1:22" x14ac:dyDescent="0.25">
      <c r="A241" s="49">
        <f>'A) Base RI'!A242</f>
        <v>5803</v>
      </c>
      <c r="B241" s="351" t="str">
        <f>'A) Base RI'!B242</f>
        <v>Vulliens</v>
      </c>
      <c r="C241" s="403">
        <v>266904.68023783161</v>
      </c>
      <c r="D241" s="403">
        <v>-3704.2141411641496</v>
      </c>
      <c r="E241" s="404">
        <v>0</v>
      </c>
      <c r="F241" s="404">
        <v>0</v>
      </c>
      <c r="G241" s="404">
        <v>0</v>
      </c>
      <c r="H241" s="403">
        <f t="shared" si="39"/>
        <v>263200.46609666746</v>
      </c>
      <c r="I241" s="404">
        <v>17471.95461538462</v>
      </c>
      <c r="J241" s="355">
        <f>'B) D RI'!U242</f>
        <v>18875.933421052636</v>
      </c>
      <c r="K241" s="62">
        <f t="shared" si="40"/>
        <v>15.064168371002461</v>
      </c>
      <c r="L241" s="33">
        <f>'B) D RI'!S242</f>
        <v>76</v>
      </c>
      <c r="M241" s="465">
        <f t="shared" si="48"/>
        <v>60.935831628997541</v>
      </c>
      <c r="N241" s="457">
        <f>+'J) Plafonnement effort'!H240+'J) Plafonnement effort'!I240-'K) Plafonnement aide'!I240</f>
        <v>10.502573816666212</v>
      </c>
      <c r="O241" s="145">
        <f t="shared" si="49"/>
        <v>71.438405445663747</v>
      </c>
      <c r="P241" s="47">
        <f t="shared" si="50"/>
        <v>0</v>
      </c>
      <c r="Q241" s="55">
        <f t="shared" si="53"/>
        <v>0</v>
      </c>
      <c r="R241" s="145">
        <f t="shared" si="51"/>
        <v>71.438405445663747</v>
      </c>
      <c r="S241" s="125">
        <f t="shared" si="52"/>
        <v>-4.5615945543362528</v>
      </c>
      <c r="T241" s="144">
        <f t="shared" si="41"/>
        <v>0</v>
      </c>
      <c r="V241" s="12"/>
    </row>
    <row r="242" spans="1:22" x14ac:dyDescent="0.25">
      <c r="A242" s="49">
        <f>'A) Base RI'!A243</f>
        <v>5804</v>
      </c>
      <c r="B242" s="351" t="str">
        <f>'A) Base RI'!B243</f>
        <v>Jorat-Menthue</v>
      </c>
      <c r="C242" s="403">
        <v>740529.7434254376</v>
      </c>
      <c r="D242" s="403">
        <v>-78775.643015543232</v>
      </c>
      <c r="E242" s="404">
        <v>0</v>
      </c>
      <c r="F242" s="404">
        <v>0</v>
      </c>
      <c r="G242" s="404">
        <v>0</v>
      </c>
      <c r="H242" s="403">
        <f t="shared" si="39"/>
        <v>661754.10040989437</v>
      </c>
      <c r="I242" s="404">
        <v>44252.610972222225</v>
      </c>
      <c r="J242" s="355">
        <f>'B) D RI'!U243</f>
        <v>46692.865106382982</v>
      </c>
      <c r="K242" s="62">
        <f t="shared" si="40"/>
        <v>14.954012562677569</v>
      </c>
      <c r="L242" s="33">
        <f>'B) D RI'!S243</f>
        <v>70.5</v>
      </c>
      <c r="M242" s="465">
        <f>L242-K242</f>
        <v>55.545987437322431</v>
      </c>
      <c r="N242" s="457">
        <f>+'J) Plafonnement effort'!H241+'J) Plafonnement effort'!I241-'K) Plafonnement aide'!I241</f>
        <v>1.9446338968686581</v>
      </c>
      <c r="O242" s="145">
        <f>M242+N242</f>
        <v>57.49062133419109</v>
      </c>
      <c r="P242" s="47">
        <f t="shared" si="50"/>
        <v>0</v>
      </c>
      <c r="Q242" s="55">
        <f>P242*J242</f>
        <v>0</v>
      </c>
      <c r="R242" s="145">
        <f>O242+P242</f>
        <v>57.49062133419109</v>
      </c>
      <c r="S242" s="125">
        <f>R242-L242</f>
        <v>-13.00937866580891</v>
      </c>
      <c r="T242" s="144">
        <f t="shared" si="41"/>
        <v>0</v>
      </c>
      <c r="V242" s="12"/>
    </row>
    <row r="243" spans="1:22" x14ac:dyDescent="0.25">
      <c r="A243" s="49">
        <f>'A) Base RI'!A244</f>
        <v>5805</v>
      </c>
      <c r="B243" s="351" t="str">
        <f>'A) Base RI'!B244</f>
        <v>Oron</v>
      </c>
      <c r="C243" s="403">
        <v>3014928.6689878069</v>
      </c>
      <c r="D243" s="403">
        <v>-1105433.8953294479</v>
      </c>
      <c r="E243" s="404">
        <v>0</v>
      </c>
      <c r="F243" s="404">
        <v>0</v>
      </c>
      <c r="G243" s="404">
        <v>0</v>
      </c>
      <c r="H243" s="403">
        <f t="shared" si="39"/>
        <v>1909494.773658359</v>
      </c>
      <c r="I243" s="404">
        <v>158737.86322793149</v>
      </c>
      <c r="J243" s="355">
        <f>'B) D RI'!U244</f>
        <v>154727.47061923583</v>
      </c>
      <c r="K243" s="62">
        <f t="shared" si="40"/>
        <v>12.029233195085396</v>
      </c>
      <c r="L243" s="33">
        <f>'B) D RI'!S244</f>
        <v>69</v>
      </c>
      <c r="M243" s="465">
        <f>L243-K243</f>
        <v>56.970766804914604</v>
      </c>
      <c r="N243" s="457">
        <f>+'J) Plafonnement effort'!H242+'J) Plafonnement effort'!I242-'K) Plafonnement aide'!I242</f>
        <v>-1.9678577096032113</v>
      </c>
      <c r="O243" s="145">
        <f>M243+N243</f>
        <v>55.002909095311395</v>
      </c>
      <c r="P243" s="47">
        <f t="shared" si="50"/>
        <v>0</v>
      </c>
      <c r="Q243" s="55">
        <f>P243*J243</f>
        <v>0</v>
      </c>
      <c r="R243" s="145">
        <f>O243+P243</f>
        <v>55.002909095311395</v>
      </c>
      <c r="S243" s="125">
        <f>R243-L243</f>
        <v>-13.997090904688605</v>
      </c>
      <c r="T243" s="144">
        <f t="shared" si="41"/>
        <v>0</v>
      </c>
      <c r="V243" s="12"/>
    </row>
    <row r="244" spans="1:22" x14ac:dyDescent="0.25">
      <c r="A244" s="49">
        <f>'A) Base RI'!A245</f>
        <v>5806</v>
      </c>
      <c r="B244" s="351" t="str">
        <f>'A) Base RI'!B245</f>
        <v>Jorat-Mézières</v>
      </c>
      <c r="C244" s="403">
        <v>1533111.8792992453</v>
      </c>
      <c r="D244" s="403">
        <v>-40485.24606956495</v>
      </c>
      <c r="E244" s="404">
        <v>0</v>
      </c>
      <c r="F244" s="404">
        <v>0</v>
      </c>
      <c r="G244" s="404">
        <v>0</v>
      </c>
      <c r="H244" s="403">
        <f t="shared" si="39"/>
        <v>1492626.6332296804</v>
      </c>
      <c r="I244" s="404">
        <v>92100.572236842127</v>
      </c>
      <c r="J244" s="355">
        <f>'B) D RI'!U245</f>
        <v>91070.268493150696</v>
      </c>
      <c r="K244" s="62">
        <f t="shared" si="40"/>
        <v>16.206485985682061</v>
      </c>
      <c r="L244" s="33">
        <f>'B) D RI'!S245</f>
        <v>73</v>
      </c>
      <c r="M244" s="465">
        <f>L244-K244</f>
        <v>56.793514014317935</v>
      </c>
      <c r="N244" s="457">
        <f>+'J) Plafonnement effort'!H243+'J) Plafonnement effort'!I243-'K) Plafonnement aide'!I243</f>
        <v>7.11793945752708</v>
      </c>
      <c r="O244" s="145">
        <f>M244+N244</f>
        <v>63.911453471845014</v>
      </c>
      <c r="P244" s="47">
        <f t="shared" ref="P244" si="54">IF(O244&gt;$P$5,$P$5-O244,0)</f>
        <v>0</v>
      </c>
      <c r="Q244" s="55">
        <f>P244*J244</f>
        <v>0</v>
      </c>
      <c r="R244" s="145">
        <f>O244+P244</f>
        <v>63.911453471845014</v>
      </c>
      <c r="S244" s="125">
        <f>R244-L244</f>
        <v>-9.0885465281549855</v>
      </c>
      <c r="T244" s="144">
        <f t="shared" si="41"/>
        <v>0</v>
      </c>
      <c r="V244" s="12"/>
    </row>
    <row r="245" spans="1:22" x14ac:dyDescent="0.25">
      <c r="A245" s="49">
        <f>'A) Base RI'!A246</f>
        <v>5812</v>
      </c>
      <c r="B245" s="351" t="str">
        <f>'A) Base RI'!B246</f>
        <v>Champtauroz</v>
      </c>
      <c r="C245" s="403">
        <v>85540.196112842095</v>
      </c>
      <c r="D245" s="403">
        <v>644.57297461686539</v>
      </c>
      <c r="E245" s="404">
        <v>0</v>
      </c>
      <c r="F245" s="404">
        <v>0</v>
      </c>
      <c r="G245" s="404">
        <v>-764.78735964255941</v>
      </c>
      <c r="H245" s="403">
        <f t="shared" si="39"/>
        <v>85419.981727816397</v>
      </c>
      <c r="I245" s="404">
        <v>3697.8804870129875</v>
      </c>
      <c r="J245" s="355">
        <f>'B) D RI'!U246</f>
        <v>2503.1327272727272</v>
      </c>
      <c r="K245" s="62">
        <f t="shared" si="40"/>
        <v>23.09971401937209</v>
      </c>
      <c r="L245" s="33">
        <f>'B) D RI'!S246</f>
        <v>77</v>
      </c>
      <c r="M245" s="465">
        <f>L245-K245</f>
        <v>53.900285980627913</v>
      </c>
      <c r="N245" s="457">
        <f>+'J) Plafonnement effort'!H244+'J) Plafonnement effort'!I244-'K) Plafonnement aide'!I244</f>
        <v>-25.167958441894271</v>
      </c>
      <c r="O245" s="145">
        <f>M245+N245</f>
        <v>28.732327538733642</v>
      </c>
      <c r="P245" s="47">
        <f t="shared" si="50"/>
        <v>0</v>
      </c>
      <c r="Q245" s="55">
        <f>P245*J245</f>
        <v>0</v>
      </c>
      <c r="R245" s="145">
        <f>O245+P245</f>
        <v>28.732327538733642</v>
      </c>
      <c r="S245" s="125">
        <f>R245-L245</f>
        <v>-48.267672461266358</v>
      </c>
      <c r="T245" s="144">
        <f t="shared" si="41"/>
        <v>0</v>
      </c>
      <c r="V245" s="12"/>
    </row>
    <row r="246" spans="1:22" x14ac:dyDescent="0.25">
      <c r="A246" s="49">
        <f>'A) Base RI'!A247</f>
        <v>5813</v>
      </c>
      <c r="B246" s="351" t="str">
        <f>'A) Base RI'!B247</f>
        <v>Chevroux</v>
      </c>
      <c r="C246" s="403">
        <v>236276.66440006034</v>
      </c>
      <c r="D246" s="403">
        <v>68365.54511603486</v>
      </c>
      <c r="E246" s="404">
        <v>0</v>
      </c>
      <c r="F246" s="404">
        <v>0</v>
      </c>
      <c r="G246" s="404">
        <v>0</v>
      </c>
      <c r="H246" s="403">
        <f t="shared" si="39"/>
        <v>304642.20951609523</v>
      </c>
      <c r="I246" s="404">
        <v>14717.819857142857</v>
      </c>
      <c r="J246" s="355">
        <f>'B) D RI'!U247</f>
        <v>15179.777080291971</v>
      </c>
      <c r="K246" s="62">
        <f t="shared" si="40"/>
        <v>20.698867935134167</v>
      </c>
      <c r="L246" s="33">
        <f>'B) D RI'!S247</f>
        <v>68.5</v>
      </c>
      <c r="M246" s="465">
        <f t="shared" si="48"/>
        <v>47.801132064865833</v>
      </c>
      <c r="N246" s="457">
        <f>+'J) Plafonnement effort'!H245+'J) Plafonnement effort'!I245-'K) Plafonnement aide'!I245</f>
        <v>-3.6668861741540875</v>
      </c>
      <c r="O246" s="145">
        <f t="shared" si="49"/>
        <v>44.134245890711746</v>
      </c>
      <c r="P246" s="47">
        <f t="shared" si="50"/>
        <v>0</v>
      </c>
      <c r="Q246" s="55">
        <f t="shared" si="53"/>
        <v>0</v>
      </c>
      <c r="R246" s="145">
        <f t="shared" si="51"/>
        <v>44.134245890711746</v>
      </c>
      <c r="S246" s="125">
        <f t="shared" si="52"/>
        <v>-24.365754109288254</v>
      </c>
      <c r="T246" s="144">
        <f t="shared" si="41"/>
        <v>0</v>
      </c>
      <c r="V246" s="12"/>
    </row>
    <row r="247" spans="1:22" x14ac:dyDescent="0.25">
      <c r="A247" s="49">
        <f>'A) Base RI'!A248</f>
        <v>5816</v>
      </c>
      <c r="B247" s="351" t="str">
        <f>'A) Base RI'!B248</f>
        <v>Corcelles-près-Payerne</v>
      </c>
      <c r="C247" s="403">
        <v>1321205.9238283176</v>
      </c>
      <c r="D247" s="403">
        <v>-634680.45972403185</v>
      </c>
      <c r="E247" s="404">
        <v>0</v>
      </c>
      <c r="F247" s="404">
        <v>0</v>
      </c>
      <c r="G247" s="404">
        <v>0</v>
      </c>
      <c r="H247" s="403">
        <f t="shared" si="39"/>
        <v>686525.4641042857</v>
      </c>
      <c r="I247" s="404">
        <v>60753.42418367348</v>
      </c>
      <c r="J247" s="355">
        <f>'B) D RI'!U248</f>
        <v>60528.996913451512</v>
      </c>
      <c r="K247" s="62">
        <f t="shared" si="40"/>
        <v>11.300193747577746</v>
      </c>
      <c r="L247" s="33">
        <f>'B) D RI'!S248</f>
        <v>68.5</v>
      </c>
      <c r="M247" s="465">
        <f t="shared" si="48"/>
        <v>57.199806252422256</v>
      </c>
      <c r="N247" s="457">
        <f>+'J) Plafonnement effort'!H246+'J) Plafonnement effort'!I246-'K) Plafonnement aide'!I246</f>
        <v>-5.9318167290491752</v>
      </c>
      <c r="O247" s="145">
        <f t="shared" si="49"/>
        <v>51.267989523373082</v>
      </c>
      <c r="P247" s="47">
        <f t="shared" si="50"/>
        <v>0</v>
      </c>
      <c r="Q247" s="55">
        <f t="shared" si="53"/>
        <v>0</v>
      </c>
      <c r="R247" s="145">
        <f t="shared" si="51"/>
        <v>51.267989523373082</v>
      </c>
      <c r="S247" s="125">
        <f t="shared" si="52"/>
        <v>-17.232010476626918</v>
      </c>
      <c r="T247" s="144">
        <f t="shared" si="41"/>
        <v>0</v>
      </c>
      <c r="V247" s="12"/>
    </row>
    <row r="248" spans="1:22" x14ac:dyDescent="0.25">
      <c r="A248" s="49">
        <f>'A) Base RI'!A249</f>
        <v>5817</v>
      </c>
      <c r="B248" s="351" t="str">
        <f>'A) Base RI'!B249</f>
        <v>Grandcour</v>
      </c>
      <c r="C248" s="403">
        <v>344885.36966232589</v>
      </c>
      <c r="D248" s="403">
        <v>-224164.1731652118</v>
      </c>
      <c r="E248" s="404">
        <v>0</v>
      </c>
      <c r="F248" s="404">
        <v>0</v>
      </c>
      <c r="G248" s="404">
        <v>0</v>
      </c>
      <c r="H248" s="403">
        <f t="shared" si="39"/>
        <v>120721.19649711408</v>
      </c>
      <c r="I248" s="404">
        <v>21844.312857142857</v>
      </c>
      <c r="J248" s="355">
        <f>'B) D RI'!U249</f>
        <v>21854.748299319726</v>
      </c>
      <c r="K248" s="62">
        <f t="shared" si="40"/>
        <v>5.5264359783988146</v>
      </c>
      <c r="L248" s="33">
        <f>'B) D RI'!S249</f>
        <v>73.5</v>
      </c>
      <c r="M248" s="465">
        <f t="shared" si="48"/>
        <v>67.973564021601192</v>
      </c>
      <c r="N248" s="457">
        <f>+'J) Plafonnement effort'!H247+'J) Plafonnement effort'!I247-'K) Plafonnement aide'!I247</f>
        <v>-4.0906302364667892</v>
      </c>
      <c r="O248" s="145">
        <f t="shared" si="49"/>
        <v>63.882933785134405</v>
      </c>
      <c r="P248" s="47">
        <f t="shared" si="50"/>
        <v>0</v>
      </c>
      <c r="Q248" s="55">
        <f t="shared" si="53"/>
        <v>0</v>
      </c>
      <c r="R248" s="145">
        <f t="shared" si="51"/>
        <v>63.882933785134405</v>
      </c>
      <c r="S248" s="125">
        <f t="shared" si="52"/>
        <v>-9.617066214865595</v>
      </c>
      <c r="T248" s="144">
        <f t="shared" si="41"/>
        <v>0</v>
      </c>
      <c r="V248" s="12"/>
    </row>
    <row r="249" spans="1:22" x14ac:dyDescent="0.25">
      <c r="A249" s="49">
        <f>'A) Base RI'!A250</f>
        <v>5819</v>
      </c>
      <c r="B249" s="351" t="str">
        <f>'A) Base RI'!B250</f>
        <v>Henniez</v>
      </c>
      <c r="C249" s="403">
        <v>216048.28321543051</v>
      </c>
      <c r="D249" s="403">
        <v>105429.39157116972</v>
      </c>
      <c r="E249" s="404">
        <v>0</v>
      </c>
      <c r="F249" s="404">
        <v>0</v>
      </c>
      <c r="G249" s="404">
        <v>0</v>
      </c>
      <c r="H249" s="403">
        <f t="shared" si="39"/>
        <v>321477.67478660023</v>
      </c>
      <c r="I249" s="404">
        <v>12524.767971014497</v>
      </c>
      <c r="J249" s="355">
        <f>'B) D RI'!U250</f>
        <v>11468.217826086959</v>
      </c>
      <c r="K249" s="62">
        <f t="shared" si="40"/>
        <v>25.667355717134356</v>
      </c>
      <c r="L249" s="33">
        <f>'B) D RI'!S250</f>
        <v>69</v>
      </c>
      <c r="M249" s="465">
        <f t="shared" si="48"/>
        <v>43.332644282865644</v>
      </c>
      <c r="N249" s="457">
        <f>+'J) Plafonnement effort'!H248+'J) Plafonnement effort'!I248-'K) Plafonnement aide'!I248</f>
        <v>6.8932156815087327</v>
      </c>
      <c r="O249" s="145">
        <f t="shared" si="49"/>
        <v>50.225859964374379</v>
      </c>
      <c r="P249" s="47">
        <f t="shared" si="50"/>
        <v>0</v>
      </c>
      <c r="Q249" s="55">
        <f t="shared" si="53"/>
        <v>0</v>
      </c>
      <c r="R249" s="145">
        <f t="shared" si="51"/>
        <v>50.225859964374379</v>
      </c>
      <c r="S249" s="125">
        <f t="shared" si="52"/>
        <v>-18.774140035625621</v>
      </c>
      <c r="T249" s="144">
        <f t="shared" si="41"/>
        <v>0</v>
      </c>
      <c r="V249" s="12"/>
    </row>
    <row r="250" spans="1:22" x14ac:dyDescent="0.25">
      <c r="A250" s="49">
        <f>'A) Base RI'!A251</f>
        <v>5821</v>
      </c>
      <c r="B250" s="351" t="str">
        <f>'A) Base RI'!B251</f>
        <v>Missy</v>
      </c>
      <c r="C250" s="403">
        <v>124621.84411293354</v>
      </c>
      <c r="D250" s="403">
        <v>-56808.340967688913</v>
      </c>
      <c r="E250" s="404">
        <v>0</v>
      </c>
      <c r="F250" s="404">
        <v>0</v>
      </c>
      <c r="G250" s="404">
        <v>0</v>
      </c>
      <c r="H250" s="403">
        <f t="shared" si="39"/>
        <v>67813.503145244627</v>
      </c>
      <c r="I250" s="404">
        <v>8359.2275000000009</v>
      </c>
      <c r="J250" s="355">
        <f>'B) D RI'!U251</f>
        <v>7872.7337500000012</v>
      </c>
      <c r="K250" s="62">
        <f t="shared" si="40"/>
        <v>8.1124126775165077</v>
      </c>
      <c r="L250" s="33">
        <f>'B) D RI'!S251</f>
        <v>72</v>
      </c>
      <c r="M250" s="465">
        <f t="shared" si="48"/>
        <v>63.88758732248349</v>
      </c>
      <c r="N250" s="457">
        <f>+'J) Plafonnement effort'!H249+'J) Plafonnement effort'!I249-'K) Plafonnement aide'!I249</f>
        <v>-1.6115038468606464</v>
      </c>
      <c r="O250" s="145">
        <f t="shared" si="49"/>
        <v>62.276083475622841</v>
      </c>
      <c r="P250" s="47">
        <f t="shared" si="50"/>
        <v>0</v>
      </c>
      <c r="Q250" s="55">
        <f t="shared" si="53"/>
        <v>0</v>
      </c>
      <c r="R250" s="145">
        <f t="shared" si="51"/>
        <v>62.276083475622841</v>
      </c>
      <c r="S250" s="125">
        <f t="shared" si="52"/>
        <v>-9.7239165243771595</v>
      </c>
      <c r="T250" s="144">
        <f t="shared" si="41"/>
        <v>0</v>
      </c>
      <c r="V250" s="12"/>
    </row>
    <row r="251" spans="1:22" x14ac:dyDescent="0.25">
      <c r="A251" s="49">
        <f>'A) Base RI'!A252</f>
        <v>5822</v>
      </c>
      <c r="B251" s="351" t="str">
        <f>'A) Base RI'!B252</f>
        <v>Payerne</v>
      </c>
      <c r="C251" s="403">
        <v>4231175.2014104445</v>
      </c>
      <c r="D251" s="403">
        <v>-5304608.3465838786</v>
      </c>
      <c r="E251" s="404">
        <v>0</v>
      </c>
      <c r="F251" s="404">
        <v>0</v>
      </c>
      <c r="G251" s="404">
        <v>0</v>
      </c>
      <c r="H251" s="403">
        <f t="shared" si="39"/>
        <v>-1073433.1451734342</v>
      </c>
      <c r="I251" s="404">
        <v>246662.05359999998</v>
      </c>
      <c r="J251" s="355">
        <f>'B) D RI'!U252</f>
        <v>237851.57178082189</v>
      </c>
      <c r="K251" s="62">
        <f t="shared" si="40"/>
        <v>-4.3518373803624018</v>
      </c>
      <c r="L251" s="33">
        <f>'B) D RI'!S252</f>
        <v>73</v>
      </c>
      <c r="M251" s="465">
        <f t="shared" si="48"/>
        <v>77.351837380362397</v>
      </c>
      <c r="N251" s="457">
        <f>+'J) Plafonnement effort'!H250+'J) Plafonnement effort'!I250-'K) Plafonnement aide'!I250</f>
        <v>-18.421698684408515</v>
      </c>
      <c r="O251" s="145">
        <f t="shared" si="49"/>
        <v>58.930138695953886</v>
      </c>
      <c r="P251" s="47">
        <f t="shared" si="50"/>
        <v>0</v>
      </c>
      <c r="Q251" s="55">
        <f t="shared" si="53"/>
        <v>0</v>
      </c>
      <c r="R251" s="145">
        <f t="shared" si="51"/>
        <v>58.930138695953886</v>
      </c>
      <c r="S251" s="125">
        <f t="shared" si="52"/>
        <v>-14.069861304046114</v>
      </c>
      <c r="T251" s="144">
        <f t="shared" si="41"/>
        <v>0</v>
      </c>
      <c r="V251" s="12"/>
    </row>
    <row r="252" spans="1:22" x14ac:dyDescent="0.25">
      <c r="A252" s="49">
        <f>'A) Base RI'!A253</f>
        <v>5827</v>
      </c>
      <c r="B252" s="351" t="str">
        <f>'A) Base RI'!B253</f>
        <v>Trey</v>
      </c>
      <c r="C252" s="403">
        <v>109589.40734711097</v>
      </c>
      <c r="D252" s="403">
        <v>-69188.784032565571</v>
      </c>
      <c r="E252" s="404">
        <v>0</v>
      </c>
      <c r="F252" s="404">
        <v>0</v>
      </c>
      <c r="G252" s="404">
        <v>0</v>
      </c>
      <c r="H252" s="403">
        <f t="shared" si="39"/>
        <v>40400.623314545403</v>
      </c>
      <c r="I252" s="404">
        <v>6768.899124999999</v>
      </c>
      <c r="J252" s="355">
        <f>'B) D RI'!U253</f>
        <v>6163.6291025641031</v>
      </c>
      <c r="K252" s="62">
        <f t="shared" si="40"/>
        <v>5.9685663160987659</v>
      </c>
      <c r="L252" s="33">
        <f>'B) D RI'!S253</f>
        <v>78</v>
      </c>
      <c r="M252" s="465">
        <f t="shared" si="48"/>
        <v>72.031433683901241</v>
      </c>
      <c r="N252" s="457">
        <f>+'J) Plafonnement effort'!H251+'J) Plafonnement effort'!I251-'K) Plafonnement aide'!I251</f>
        <v>-15.457813418571227</v>
      </c>
      <c r="O252" s="145">
        <f t="shared" si="49"/>
        <v>56.573620265330014</v>
      </c>
      <c r="P252" s="47">
        <f t="shared" si="50"/>
        <v>0</v>
      </c>
      <c r="Q252" s="55">
        <f t="shared" si="53"/>
        <v>0</v>
      </c>
      <c r="R252" s="145">
        <f t="shared" si="51"/>
        <v>56.573620265330014</v>
      </c>
      <c r="S252" s="125">
        <f t="shared" si="52"/>
        <v>-21.426379734669986</v>
      </c>
      <c r="T252" s="144">
        <f t="shared" si="41"/>
        <v>0</v>
      </c>
      <c r="V252" s="12"/>
    </row>
    <row r="253" spans="1:22" x14ac:dyDescent="0.25">
      <c r="A253" s="49">
        <f>'A) Base RI'!A254</f>
        <v>5828</v>
      </c>
      <c r="B253" s="351" t="str">
        <f>'A) Base RI'!B254</f>
        <v>Treytorrens (Payerne)</v>
      </c>
      <c r="C253" s="403">
        <v>51598.7842645317</v>
      </c>
      <c r="D253" s="403">
        <v>-43841.63637617229</v>
      </c>
      <c r="E253" s="404">
        <v>0</v>
      </c>
      <c r="F253" s="404">
        <v>0</v>
      </c>
      <c r="G253" s="404">
        <v>0</v>
      </c>
      <c r="H253" s="403">
        <f t="shared" si="39"/>
        <v>7757.14788835941</v>
      </c>
      <c r="I253" s="404">
        <v>2424.4907539682545</v>
      </c>
      <c r="J253" s="355">
        <f>'B) D RI'!U254</f>
        <v>2288.4160317460314</v>
      </c>
      <c r="K253" s="62">
        <f t="shared" si="40"/>
        <v>3.1994957603624581</v>
      </c>
      <c r="L253" s="33">
        <f>'B) D RI'!S254</f>
        <v>84</v>
      </c>
      <c r="M253" s="465">
        <f t="shared" si="48"/>
        <v>80.800504239637547</v>
      </c>
      <c r="N253" s="457">
        <f>+'J) Plafonnement effort'!H252+'J) Plafonnement effort'!I252-'K) Plafonnement aide'!I252</f>
        <v>-20.653945516899782</v>
      </c>
      <c r="O253" s="145">
        <f t="shared" si="49"/>
        <v>60.146558722737765</v>
      </c>
      <c r="P253" s="47">
        <f t="shared" si="50"/>
        <v>0</v>
      </c>
      <c r="Q253" s="55">
        <f t="shared" si="53"/>
        <v>0</v>
      </c>
      <c r="R253" s="145">
        <f t="shared" si="51"/>
        <v>60.146558722737765</v>
      </c>
      <c r="S253" s="125">
        <f t="shared" si="52"/>
        <v>-23.853441277262235</v>
      </c>
      <c r="T253" s="144">
        <f t="shared" si="41"/>
        <v>0</v>
      </c>
      <c r="V253" s="12"/>
    </row>
    <row r="254" spans="1:22" x14ac:dyDescent="0.25">
      <c r="A254" s="49">
        <f>'A) Base RI'!A255</f>
        <v>5830</v>
      </c>
      <c r="B254" s="351" t="str">
        <f>'A) Base RI'!B255</f>
        <v>Villarzel</v>
      </c>
      <c r="C254" s="403">
        <v>241388.55564379145</v>
      </c>
      <c r="D254" s="403">
        <v>38065.449178154493</v>
      </c>
      <c r="E254" s="404">
        <v>0</v>
      </c>
      <c r="F254" s="404">
        <v>0</v>
      </c>
      <c r="G254" s="404">
        <v>0</v>
      </c>
      <c r="H254" s="403">
        <f t="shared" si="39"/>
        <v>279454.00482194591</v>
      </c>
      <c r="I254" s="404">
        <v>13652.802077922079</v>
      </c>
      <c r="J254" s="355">
        <f>'B) D RI'!U255</f>
        <v>12470.916233766235</v>
      </c>
      <c r="K254" s="62">
        <f t="shared" si="40"/>
        <v>20.468619059075827</v>
      </c>
      <c r="L254" s="33">
        <f>'B) D RI'!S255</f>
        <v>77</v>
      </c>
      <c r="M254" s="465">
        <f t="shared" si="48"/>
        <v>56.531380940924173</v>
      </c>
      <c r="N254" s="457">
        <f>+'J) Plafonnement effort'!H253+'J) Plafonnement effort'!I253-'K) Plafonnement aide'!I253</f>
        <v>0.44992644226215672</v>
      </c>
      <c r="O254" s="145">
        <f t="shared" si="49"/>
        <v>56.981307383186326</v>
      </c>
      <c r="P254" s="47">
        <f t="shared" si="50"/>
        <v>0</v>
      </c>
      <c r="Q254" s="55">
        <f t="shared" si="53"/>
        <v>0</v>
      </c>
      <c r="R254" s="145">
        <f t="shared" si="51"/>
        <v>56.981307383186326</v>
      </c>
      <c r="S254" s="125">
        <f t="shared" si="52"/>
        <v>-20.018692616813674</v>
      </c>
      <c r="T254" s="144">
        <f t="shared" si="41"/>
        <v>0</v>
      </c>
      <c r="V254" s="12"/>
    </row>
    <row r="255" spans="1:22" x14ac:dyDescent="0.25">
      <c r="A255" s="49">
        <f>'A) Base RI'!A256</f>
        <v>5831</v>
      </c>
      <c r="B255" s="351" t="str">
        <f>'A) Base RI'!B256</f>
        <v>Valbroye</v>
      </c>
      <c r="C255" s="403">
        <v>1625782.543091658</v>
      </c>
      <c r="D255" s="403">
        <v>-532017.83167512552</v>
      </c>
      <c r="E255" s="404">
        <v>0</v>
      </c>
      <c r="F255" s="404">
        <v>0</v>
      </c>
      <c r="G255" s="404">
        <v>0</v>
      </c>
      <c r="H255" s="403">
        <f t="shared" si="39"/>
        <v>1093764.7114165325</v>
      </c>
      <c r="I255" s="404">
        <v>90573.475753424646</v>
      </c>
      <c r="J255" s="355">
        <f>'B) D RI'!U256</f>
        <v>83756.732765957451</v>
      </c>
      <c r="K255" s="62">
        <f t="shared" si="40"/>
        <v>12.075993576686567</v>
      </c>
      <c r="L255" s="33">
        <f>'B) D RI'!S256</f>
        <v>70.5</v>
      </c>
      <c r="M255" s="465">
        <f>L255-K255</f>
        <v>58.424006423313429</v>
      </c>
      <c r="N255" s="457">
        <f>+'J) Plafonnement effort'!H254+'J) Plafonnement effort'!I254-'K) Plafonnement aide'!I254</f>
        <v>-7.4487141056834218</v>
      </c>
      <c r="O255" s="145">
        <f>M255+N255</f>
        <v>50.975292317630007</v>
      </c>
      <c r="P255" s="47">
        <f t="shared" si="50"/>
        <v>0</v>
      </c>
      <c r="Q255" s="55">
        <f>P255*J255</f>
        <v>0</v>
      </c>
      <c r="R255" s="145">
        <f>O255+P255</f>
        <v>50.975292317630007</v>
      </c>
      <c r="S255" s="125">
        <f>R255-L255</f>
        <v>-19.524707682369993</v>
      </c>
      <c r="T255" s="144">
        <f t="shared" si="41"/>
        <v>0</v>
      </c>
      <c r="V255" s="12"/>
    </row>
    <row r="256" spans="1:22" x14ac:dyDescent="0.25">
      <c r="A256" s="49">
        <f>'A) Base RI'!A257</f>
        <v>5841</v>
      </c>
      <c r="B256" s="351" t="str">
        <f>'A) Base RI'!B257</f>
        <v>Château-d'Oex</v>
      </c>
      <c r="C256" s="403">
        <v>2084887.5131062164</v>
      </c>
      <c r="D256" s="403">
        <v>87767.006578425877</v>
      </c>
      <c r="E256" s="404">
        <v>0</v>
      </c>
      <c r="F256" s="404">
        <v>0</v>
      </c>
      <c r="G256" s="404">
        <v>0</v>
      </c>
      <c r="H256" s="403">
        <f t="shared" si="39"/>
        <v>2172654.5196846426</v>
      </c>
      <c r="I256" s="404">
        <v>118643.61518072287</v>
      </c>
      <c r="J256" s="355">
        <f>'B) D RI'!U257</f>
        <v>108658.39067484663</v>
      </c>
      <c r="K256" s="62">
        <f t="shared" si="40"/>
        <v>18.312443669009621</v>
      </c>
      <c r="L256" s="33">
        <f>'B) D RI'!S257</f>
        <v>81.5</v>
      </c>
      <c r="M256" s="465">
        <f>L256-K256</f>
        <v>63.187556330990375</v>
      </c>
      <c r="N256" s="457">
        <f>+'J) Plafonnement effort'!H255+'J) Plafonnement effort'!I255-'K) Plafonnement aide'!I255</f>
        <v>-10.766802529200319</v>
      </c>
      <c r="O256" s="145">
        <f>M256+N256</f>
        <v>52.420753801790056</v>
      </c>
      <c r="P256" s="47">
        <f t="shared" si="50"/>
        <v>0</v>
      </c>
      <c r="Q256" s="55">
        <f>P256*J256</f>
        <v>0</v>
      </c>
      <c r="R256" s="145">
        <f>O256+P256</f>
        <v>52.420753801790056</v>
      </c>
      <c r="S256" s="125">
        <f>R256-L256</f>
        <v>-29.079246198209944</v>
      </c>
      <c r="T256" s="144">
        <f t="shared" si="41"/>
        <v>0</v>
      </c>
      <c r="V256" s="12"/>
    </row>
    <row r="257" spans="1:22" x14ac:dyDescent="0.25">
      <c r="A257" s="49">
        <f>'A) Base RI'!A258</f>
        <v>5842</v>
      </c>
      <c r="B257" s="351" t="str">
        <f>'A) Base RI'!B258</f>
        <v>Rossinière</v>
      </c>
      <c r="C257" s="403">
        <v>225562.52392227901</v>
      </c>
      <c r="D257" s="403">
        <v>-108452.42678374844</v>
      </c>
      <c r="E257" s="404">
        <v>0</v>
      </c>
      <c r="F257" s="404">
        <v>0</v>
      </c>
      <c r="G257" s="404">
        <v>0</v>
      </c>
      <c r="H257" s="403">
        <f t="shared" si="39"/>
        <v>117110.09713853057</v>
      </c>
      <c r="I257" s="404">
        <v>13727.475720164608</v>
      </c>
      <c r="J257" s="355">
        <f>'B) D RI'!U258</f>
        <v>14509.951028806583</v>
      </c>
      <c r="K257" s="62">
        <f t="shared" si="40"/>
        <v>8.5310729755292769</v>
      </c>
      <c r="L257" s="33">
        <f>'B) D RI'!S258</f>
        <v>81</v>
      </c>
      <c r="M257" s="465">
        <f t="shared" si="48"/>
        <v>72.46892702447073</v>
      </c>
      <c r="N257" s="457">
        <f>+'J) Plafonnement effort'!H256+'J) Plafonnement effort'!I256-'K) Plafonnement aide'!I256</f>
        <v>-18.76279643726205</v>
      </c>
      <c r="O257" s="145">
        <f t="shared" si="49"/>
        <v>53.706130587208676</v>
      </c>
      <c r="P257" s="47">
        <f t="shared" si="50"/>
        <v>0</v>
      </c>
      <c r="Q257" s="55">
        <f t="shared" si="53"/>
        <v>0</v>
      </c>
      <c r="R257" s="145">
        <f t="shared" si="51"/>
        <v>53.706130587208676</v>
      </c>
      <c r="S257" s="125">
        <f t="shared" si="52"/>
        <v>-27.293869412791324</v>
      </c>
      <c r="T257" s="144">
        <f t="shared" si="41"/>
        <v>0</v>
      </c>
      <c r="V257" s="12"/>
    </row>
    <row r="258" spans="1:22" x14ac:dyDescent="0.25">
      <c r="A258" s="49">
        <f>'A) Base RI'!A259</f>
        <v>5843</v>
      </c>
      <c r="B258" s="351" t="str">
        <f>'A) Base RI'!B259</f>
        <v>Rougemont</v>
      </c>
      <c r="C258" s="403">
        <v>3358896.2963533308</v>
      </c>
      <c r="D258" s="403">
        <v>1617283.7909211256</v>
      </c>
      <c r="E258" s="404">
        <v>0</v>
      </c>
      <c r="F258" s="404">
        <v>-762598.45543038833</v>
      </c>
      <c r="G258" s="404">
        <v>0</v>
      </c>
      <c r="H258" s="403">
        <f t="shared" si="39"/>
        <v>4213581.6318440679</v>
      </c>
      <c r="I258" s="404">
        <v>86224.81779279279</v>
      </c>
      <c r="J258" s="355">
        <f>'B) D RI'!U259</f>
        <v>100468.99797297297</v>
      </c>
      <c r="K258" s="62">
        <f t="shared" si="40"/>
        <v>48.867388064185221</v>
      </c>
      <c r="L258" s="33">
        <f>'B) D RI'!S259</f>
        <v>74</v>
      </c>
      <c r="M258" s="465">
        <f t="shared" si="48"/>
        <v>25.132611935814779</v>
      </c>
      <c r="N258" s="457">
        <f>+'J) Plafonnement effort'!H257+'J) Plafonnement effort'!I257-'K) Plafonnement aide'!I257</f>
        <v>47.390616585196341</v>
      </c>
      <c r="O258" s="145">
        <f t="shared" si="49"/>
        <v>72.52322852101112</v>
      </c>
      <c r="P258" s="47">
        <f t="shared" si="50"/>
        <v>0</v>
      </c>
      <c r="Q258" s="55">
        <f t="shared" si="53"/>
        <v>0</v>
      </c>
      <c r="R258" s="145">
        <f t="shared" si="51"/>
        <v>72.52322852101112</v>
      </c>
      <c r="S258" s="125">
        <f t="shared" si="52"/>
        <v>-1.4767714789888799</v>
      </c>
      <c r="T258" s="144">
        <f t="shared" si="41"/>
        <v>0</v>
      </c>
      <c r="V258" s="12"/>
    </row>
    <row r="259" spans="1:22" x14ac:dyDescent="0.25">
      <c r="A259" s="49">
        <f>'A) Base RI'!A260</f>
        <v>5851</v>
      </c>
      <c r="B259" s="351" t="str">
        <f>'A) Base RI'!B260</f>
        <v>Allaman</v>
      </c>
      <c r="C259" s="403">
        <v>574358.11985506513</v>
      </c>
      <c r="D259" s="403">
        <v>416741.20549322665</v>
      </c>
      <c r="E259" s="404">
        <v>0</v>
      </c>
      <c r="F259" s="404">
        <v>0</v>
      </c>
      <c r="G259" s="404">
        <v>0</v>
      </c>
      <c r="H259" s="403">
        <f t="shared" si="39"/>
        <v>991099.32534829178</v>
      </c>
      <c r="I259" s="404">
        <v>23662.073064516131</v>
      </c>
      <c r="J259" s="355">
        <f>'B) D RI'!U260</f>
        <v>24314.213954545452</v>
      </c>
      <c r="K259" s="62">
        <f t="shared" si="40"/>
        <v>41.8855660975265</v>
      </c>
      <c r="L259" s="33">
        <f>'B) D RI'!S260</f>
        <v>60</v>
      </c>
      <c r="M259" s="465">
        <f t="shared" si="48"/>
        <v>18.1144339024735</v>
      </c>
      <c r="N259" s="457">
        <f>+'J) Plafonnement effort'!H258+'J) Plafonnement effort'!I258-'K) Plafonnement aide'!I258</f>
        <v>31.883611834888086</v>
      </c>
      <c r="O259" s="145">
        <f t="shared" si="49"/>
        <v>49.998045737361586</v>
      </c>
      <c r="P259" s="47">
        <f t="shared" si="50"/>
        <v>0</v>
      </c>
      <c r="Q259" s="55">
        <f t="shared" si="53"/>
        <v>0</v>
      </c>
      <c r="R259" s="145">
        <f t="shared" si="51"/>
        <v>49.998045737361586</v>
      </c>
      <c r="S259" s="125">
        <f t="shared" si="52"/>
        <v>-10.001954262638414</v>
      </c>
      <c r="T259" s="144">
        <f t="shared" si="41"/>
        <v>0</v>
      </c>
      <c r="V259" s="12"/>
    </row>
    <row r="260" spans="1:22" x14ac:dyDescent="0.25">
      <c r="A260" s="49">
        <f>'A) Base RI'!A261</f>
        <v>5852</v>
      </c>
      <c r="B260" s="351" t="str">
        <f>'A) Base RI'!B261</f>
        <v>Bursinel</v>
      </c>
      <c r="C260" s="403">
        <v>1169762.0125436024</v>
      </c>
      <c r="D260" s="403">
        <v>734580.00978140929</v>
      </c>
      <c r="E260" s="404">
        <v>0</v>
      </c>
      <c r="F260" s="404">
        <v>-118434.04598913316</v>
      </c>
      <c r="G260" s="404">
        <v>0</v>
      </c>
      <c r="H260" s="403">
        <f t="shared" si="39"/>
        <v>1785907.9763358785</v>
      </c>
      <c r="I260" s="404">
        <v>39686.843918575076</v>
      </c>
      <c r="J260" s="355">
        <f>'B) D RI'!U261</f>
        <v>40706.215623409669</v>
      </c>
      <c r="K260" s="62">
        <f t="shared" si="40"/>
        <v>45</v>
      </c>
      <c r="L260" s="33">
        <f>'B) D RI'!S261</f>
        <v>65.5</v>
      </c>
      <c r="M260" s="465">
        <f t="shared" si="48"/>
        <v>20.5</v>
      </c>
      <c r="N260" s="457">
        <f>+'J) Plafonnement effort'!H259+'J) Plafonnement effort'!I259-'K) Plafonnement aide'!I259</f>
        <v>39.492044187661151</v>
      </c>
      <c r="O260" s="145">
        <f t="shared" si="49"/>
        <v>59.992044187661151</v>
      </c>
      <c r="P260" s="47">
        <f t="shared" si="50"/>
        <v>0</v>
      </c>
      <c r="Q260" s="55">
        <f t="shared" si="53"/>
        <v>0</v>
      </c>
      <c r="R260" s="145">
        <f t="shared" si="51"/>
        <v>59.992044187661151</v>
      </c>
      <c r="S260" s="125">
        <f t="shared" si="52"/>
        <v>-5.5079558123388495</v>
      </c>
      <c r="T260" s="144">
        <f t="shared" si="41"/>
        <v>0</v>
      </c>
      <c r="V260" s="12"/>
    </row>
    <row r="261" spans="1:22" x14ac:dyDescent="0.25">
      <c r="A261" s="49">
        <f>'A) Base RI'!A262</f>
        <v>5853</v>
      </c>
      <c r="B261" s="351" t="str">
        <f>'A) Base RI'!B262</f>
        <v>Bursins</v>
      </c>
      <c r="C261" s="403">
        <v>716199.57109592855</v>
      </c>
      <c r="D261" s="403">
        <v>622179.62095638388</v>
      </c>
      <c r="E261" s="404">
        <v>0</v>
      </c>
      <c r="F261" s="404">
        <v>0</v>
      </c>
      <c r="G261" s="404">
        <v>0</v>
      </c>
      <c r="H261" s="403">
        <f t="shared" si="39"/>
        <v>1338379.1920523124</v>
      </c>
      <c r="I261" s="404">
        <v>36429.778873239433</v>
      </c>
      <c r="J261" s="355">
        <f>'B) D RI'!U262</f>
        <v>42015.881830985905</v>
      </c>
      <c r="K261" s="62">
        <f t="shared" si="40"/>
        <v>36.738603237459074</v>
      </c>
      <c r="L261" s="33">
        <f>'B) D RI'!S262</f>
        <v>71</v>
      </c>
      <c r="M261" s="465">
        <f t="shared" si="48"/>
        <v>34.261396762540926</v>
      </c>
      <c r="N261" s="457">
        <f>+'J) Plafonnement effort'!H260+'J) Plafonnement effort'!I260-'K) Plafonnement aide'!I260</f>
        <v>31.904179761665318</v>
      </c>
      <c r="O261" s="145">
        <f t="shared" si="49"/>
        <v>66.165576524206244</v>
      </c>
      <c r="P261" s="47">
        <f t="shared" si="50"/>
        <v>0</v>
      </c>
      <c r="Q261" s="55">
        <f t="shared" si="53"/>
        <v>0</v>
      </c>
      <c r="R261" s="145">
        <f t="shared" si="51"/>
        <v>66.165576524206244</v>
      </c>
      <c r="S261" s="125">
        <f t="shared" si="52"/>
        <v>-4.8344234757937556</v>
      </c>
      <c r="T261" s="144">
        <f t="shared" si="41"/>
        <v>0</v>
      </c>
      <c r="V261" s="12"/>
    </row>
    <row r="262" spans="1:22" x14ac:dyDescent="0.25">
      <c r="A262" s="49">
        <f>'A) Base RI'!A263</f>
        <v>5854</v>
      </c>
      <c r="B262" s="351" t="str">
        <f>'A) Base RI'!B263</f>
        <v>Burtigny</v>
      </c>
      <c r="C262" s="403">
        <v>260699.07416849735</v>
      </c>
      <c r="D262" s="403">
        <v>-11687.060082480486</v>
      </c>
      <c r="E262" s="404">
        <v>0</v>
      </c>
      <c r="F262" s="404">
        <v>0</v>
      </c>
      <c r="G262" s="404">
        <v>0</v>
      </c>
      <c r="H262" s="403">
        <f t="shared" si="39"/>
        <v>249012.01408601686</v>
      </c>
      <c r="I262" s="404">
        <v>11092.867583333333</v>
      </c>
      <c r="J262" s="355">
        <f>'B) D RI'!U263</f>
        <v>10782.893958333336</v>
      </c>
      <c r="K262" s="62">
        <f t="shared" si="40"/>
        <v>22.447938931512098</v>
      </c>
      <c r="L262" s="33">
        <f>'B) D RI'!S263</f>
        <v>80</v>
      </c>
      <c r="M262" s="465">
        <f t="shared" ref="M262:M291" si="55">L262-K262</f>
        <v>57.552061068487902</v>
      </c>
      <c r="N262" s="457">
        <f>+'J) Plafonnement effort'!H261+'J) Plafonnement effort'!I261-'K) Plafonnement aide'!I261</f>
        <v>3.9593092835019359</v>
      </c>
      <c r="O262" s="145">
        <f t="shared" ref="O262:O314" si="56">M262+N262</f>
        <v>61.511370351989839</v>
      </c>
      <c r="P262" s="47">
        <f t="shared" ref="P262:P314" si="57">IF(O262&gt;$P$5,$P$5-O262,0)</f>
        <v>0</v>
      </c>
      <c r="Q262" s="55">
        <f t="shared" si="53"/>
        <v>0</v>
      </c>
      <c r="R262" s="145">
        <f t="shared" ref="R262:R314" si="58">O262+P262</f>
        <v>61.511370351989839</v>
      </c>
      <c r="S262" s="125">
        <f t="shared" ref="S262:S314" si="59">R262-L262</f>
        <v>-18.488629648010161</v>
      </c>
      <c r="T262" s="144">
        <f t="shared" si="41"/>
        <v>0</v>
      </c>
      <c r="V262" s="12"/>
    </row>
    <row r="263" spans="1:22" x14ac:dyDescent="0.25">
      <c r="A263" s="49">
        <f>'A) Base RI'!A264</f>
        <v>5855</v>
      </c>
      <c r="B263" s="351" t="str">
        <f>'A) Base RI'!B264</f>
        <v>Dully</v>
      </c>
      <c r="C263" s="403">
        <v>2423509.0171489548</v>
      </c>
      <c r="D263" s="403">
        <v>1513772.9176232468</v>
      </c>
      <c r="E263" s="404">
        <v>0</v>
      </c>
      <c r="F263" s="404">
        <v>-351869.58477220143</v>
      </c>
      <c r="G263" s="404">
        <v>0</v>
      </c>
      <c r="H263" s="403">
        <f t="shared" ref="H263:H314" si="60">SUM(C263:G263)</f>
        <v>3585412.3500000006</v>
      </c>
      <c r="I263" s="404">
        <v>79675.83</v>
      </c>
      <c r="J263" s="355">
        <f>'B) D RI'!U264</f>
        <v>98158.514897959176</v>
      </c>
      <c r="K263" s="62">
        <f t="shared" ref="K263:K314" si="61">H263/I263</f>
        <v>45.000000000000007</v>
      </c>
      <c r="L263" s="33">
        <f>'B) D RI'!S264</f>
        <v>49</v>
      </c>
      <c r="M263" s="465">
        <f t="shared" si="55"/>
        <v>3.9999999999999929</v>
      </c>
      <c r="N263" s="457">
        <f>+'J) Plafonnement effort'!H262+'J) Plafonnement effort'!I262-'K) Plafonnement aide'!I262</f>
        <v>46.633366154644506</v>
      </c>
      <c r="O263" s="145">
        <f t="shared" si="56"/>
        <v>50.633366154644499</v>
      </c>
      <c r="P263" s="47">
        <f t="shared" si="57"/>
        <v>0</v>
      </c>
      <c r="Q263" s="55">
        <f t="shared" si="53"/>
        <v>0</v>
      </c>
      <c r="R263" s="145">
        <f t="shared" si="58"/>
        <v>50.633366154644499</v>
      </c>
      <c r="S263" s="125">
        <f t="shared" si="59"/>
        <v>1.6333661546444986</v>
      </c>
      <c r="T263" s="144">
        <f t="shared" ref="T263:T314" si="62">+C263+D263+E263+F263+G263-H263</f>
        <v>0</v>
      </c>
      <c r="V263" s="12"/>
    </row>
    <row r="264" spans="1:22" x14ac:dyDescent="0.25">
      <c r="A264" s="49">
        <f>'A) Base RI'!A265</f>
        <v>5856</v>
      </c>
      <c r="B264" s="351" t="str">
        <f>'A) Base RI'!B265</f>
        <v>Essertines-sur-Rolle</v>
      </c>
      <c r="C264" s="403">
        <v>634079.35806197778</v>
      </c>
      <c r="D264" s="403">
        <v>639635.78787426127</v>
      </c>
      <c r="E264" s="404">
        <v>0</v>
      </c>
      <c r="F264" s="404">
        <v>0</v>
      </c>
      <c r="G264" s="404">
        <v>0</v>
      </c>
      <c r="H264" s="403">
        <f t="shared" si="60"/>
        <v>1273715.145936239</v>
      </c>
      <c r="I264" s="404">
        <v>36504.775588235294</v>
      </c>
      <c r="J264" s="355">
        <f>'B) D RI'!U265</f>
        <v>35711.648536726432</v>
      </c>
      <c r="K264" s="62">
        <f t="shared" si="61"/>
        <v>34.8917402014308</v>
      </c>
      <c r="L264" s="33">
        <f>'B) D RI'!S265</f>
        <v>66.5</v>
      </c>
      <c r="M264" s="465">
        <f t="shared" si="55"/>
        <v>31.6082597985692</v>
      </c>
      <c r="N264" s="457">
        <f>+'J) Plafonnement effort'!H263+'J) Plafonnement effort'!I263-'K) Plafonnement aide'!I263</f>
        <v>30.129742898541267</v>
      </c>
      <c r="O264" s="145">
        <f t="shared" si="56"/>
        <v>61.738002697110467</v>
      </c>
      <c r="P264" s="47">
        <f t="shared" si="57"/>
        <v>0</v>
      </c>
      <c r="Q264" s="55">
        <f t="shared" si="53"/>
        <v>0</v>
      </c>
      <c r="R264" s="145">
        <f t="shared" si="58"/>
        <v>61.738002697110467</v>
      </c>
      <c r="S264" s="125">
        <f t="shared" si="59"/>
        <v>-4.761997302889533</v>
      </c>
      <c r="T264" s="144">
        <f t="shared" si="62"/>
        <v>0</v>
      </c>
      <c r="V264" s="12"/>
    </row>
    <row r="265" spans="1:22" x14ac:dyDescent="0.25">
      <c r="A265" s="49">
        <f>'A) Base RI'!A266</f>
        <v>5857</v>
      </c>
      <c r="B265" s="351" t="str">
        <f>'A) Base RI'!B266</f>
        <v>Gilly</v>
      </c>
      <c r="C265" s="403">
        <v>1813931.7549246312</v>
      </c>
      <c r="D265" s="403">
        <v>1451681.6783278394</v>
      </c>
      <c r="E265" s="404">
        <v>0</v>
      </c>
      <c r="F265" s="404">
        <v>0</v>
      </c>
      <c r="G265" s="404">
        <v>0</v>
      </c>
      <c r="H265" s="403">
        <f t="shared" si="60"/>
        <v>3265613.4332524706</v>
      </c>
      <c r="I265" s="404">
        <v>85344.541363636366</v>
      </c>
      <c r="J265" s="355">
        <f>'B) D RI'!U266</f>
        <v>82128.423720930223</v>
      </c>
      <c r="K265" s="62">
        <f t="shared" si="61"/>
        <v>38.263881685629215</v>
      </c>
      <c r="L265" s="33">
        <f>'B) D RI'!S266</f>
        <v>64.5</v>
      </c>
      <c r="M265" s="465">
        <f t="shared" si="55"/>
        <v>26.236118314370785</v>
      </c>
      <c r="N265" s="457">
        <f>+'J) Plafonnement effort'!H264+'J) Plafonnement effort'!I264-'K) Plafonnement aide'!I264</f>
        <v>31.451070250617583</v>
      </c>
      <c r="O265" s="145">
        <f t="shared" si="56"/>
        <v>57.687188564988368</v>
      </c>
      <c r="P265" s="47">
        <f t="shared" si="57"/>
        <v>0</v>
      </c>
      <c r="Q265" s="55">
        <f t="shared" si="53"/>
        <v>0</v>
      </c>
      <c r="R265" s="145">
        <f t="shared" si="58"/>
        <v>57.687188564988368</v>
      </c>
      <c r="S265" s="125">
        <f t="shared" si="59"/>
        <v>-6.812811435011632</v>
      </c>
      <c r="T265" s="144">
        <f t="shared" si="62"/>
        <v>0</v>
      </c>
      <c r="V265" s="12"/>
    </row>
    <row r="266" spans="1:22" x14ac:dyDescent="0.25">
      <c r="A266" s="49">
        <f>'A) Base RI'!A267</f>
        <v>5858</v>
      </c>
      <c r="B266" s="351" t="str">
        <f>'A) Base RI'!B267</f>
        <v>Luins</v>
      </c>
      <c r="C266" s="403">
        <v>1006534.4563330754</v>
      </c>
      <c r="D266" s="403">
        <v>856273.21501650801</v>
      </c>
      <c r="E266" s="404">
        <v>0</v>
      </c>
      <c r="F266" s="404">
        <v>0</v>
      </c>
      <c r="G266" s="404">
        <v>0</v>
      </c>
      <c r="H266" s="403">
        <f t="shared" si="60"/>
        <v>1862807.6713495834</v>
      </c>
      <c r="I266" s="404">
        <v>46698.811277777771</v>
      </c>
      <c r="J266" s="355">
        <f>'B) D RI'!U267</f>
        <v>40290.677378917375</v>
      </c>
      <c r="K266" s="62">
        <f t="shared" si="61"/>
        <v>39.889830605517453</v>
      </c>
      <c r="L266" s="33">
        <f>'B) D RI'!S267</f>
        <v>58.5</v>
      </c>
      <c r="M266" s="465">
        <f t="shared" si="55"/>
        <v>18.610169394482547</v>
      </c>
      <c r="N266" s="457">
        <f>+'J) Plafonnement effort'!H265+'J) Plafonnement effort'!I265-'K) Plafonnement aide'!I265</f>
        <v>34.465819099444843</v>
      </c>
      <c r="O266" s="145">
        <f t="shared" si="56"/>
        <v>53.07598849392739</v>
      </c>
      <c r="P266" s="47">
        <f t="shared" si="57"/>
        <v>0</v>
      </c>
      <c r="Q266" s="55">
        <f t="shared" si="53"/>
        <v>0</v>
      </c>
      <c r="R266" s="145">
        <f t="shared" si="58"/>
        <v>53.07598849392739</v>
      </c>
      <c r="S266" s="125">
        <f t="shared" si="59"/>
        <v>-5.4240115060726097</v>
      </c>
      <c r="T266" s="144">
        <f t="shared" si="62"/>
        <v>0</v>
      </c>
      <c r="V266" s="12"/>
    </row>
    <row r="267" spans="1:22" x14ac:dyDescent="0.25">
      <c r="A267" s="49">
        <f>'A) Base RI'!A268</f>
        <v>5859</v>
      </c>
      <c r="B267" s="351" t="str">
        <f>'A) Base RI'!B268</f>
        <v>Mont-sur-Rolle</v>
      </c>
      <c r="C267" s="403">
        <v>2815314.4013417601</v>
      </c>
      <c r="D267" s="403">
        <v>2013436.8265842558</v>
      </c>
      <c r="E267" s="404">
        <v>0</v>
      </c>
      <c r="F267" s="404">
        <v>0</v>
      </c>
      <c r="G267" s="404">
        <v>0</v>
      </c>
      <c r="H267" s="403">
        <f t="shared" si="60"/>
        <v>4828751.2279260159</v>
      </c>
      <c r="I267" s="404">
        <v>136402.77030769232</v>
      </c>
      <c r="J267" s="355">
        <f>'B) D RI'!U268</f>
        <v>146465.78251968499</v>
      </c>
      <c r="K267" s="62">
        <f t="shared" si="61"/>
        <v>35.400682970246848</v>
      </c>
      <c r="L267" s="33">
        <f>'B) D RI'!S268</f>
        <v>63.5</v>
      </c>
      <c r="M267" s="465">
        <f t="shared" si="55"/>
        <v>28.099317029753152</v>
      </c>
      <c r="N267" s="457">
        <f>+'J) Plafonnement effort'!H266+'J) Plafonnement effort'!I266-'K) Plafonnement aide'!I266</f>
        <v>29.574449957312609</v>
      </c>
      <c r="O267" s="145">
        <f t="shared" si="56"/>
        <v>57.673766987065761</v>
      </c>
      <c r="P267" s="47">
        <f t="shared" si="57"/>
        <v>0</v>
      </c>
      <c r="Q267" s="55">
        <f t="shared" ref="Q267:Q314" si="63">P267*J267</f>
        <v>0</v>
      </c>
      <c r="R267" s="145">
        <f t="shared" si="58"/>
        <v>57.673766987065761</v>
      </c>
      <c r="S267" s="125">
        <f t="shared" si="59"/>
        <v>-5.8262330129342388</v>
      </c>
      <c r="T267" s="144">
        <f t="shared" si="62"/>
        <v>0</v>
      </c>
      <c r="V267" s="12"/>
    </row>
    <row r="268" spans="1:22" x14ac:dyDescent="0.25">
      <c r="A268" s="49">
        <f>'A) Base RI'!A269</f>
        <v>5860</v>
      </c>
      <c r="B268" s="351" t="str">
        <f>'A) Base RI'!B269</f>
        <v>Perroy</v>
      </c>
      <c r="C268" s="403">
        <v>2240967.6650723205</v>
      </c>
      <c r="D268" s="403">
        <v>1751900.9180328608</v>
      </c>
      <c r="E268" s="404">
        <v>0</v>
      </c>
      <c r="F268" s="404">
        <v>0</v>
      </c>
      <c r="G268" s="404">
        <v>0</v>
      </c>
      <c r="H268" s="403">
        <f t="shared" si="60"/>
        <v>3992868.5831051813</v>
      </c>
      <c r="I268" s="404">
        <v>102583.41574358974</v>
      </c>
      <c r="J268" s="355">
        <f>'B) D RI'!U269</f>
        <v>187175.54426035503</v>
      </c>
      <c r="K268" s="62">
        <f t="shared" si="61"/>
        <v>38.92313932191022</v>
      </c>
      <c r="L268" s="33">
        <f>'B) D RI'!S269</f>
        <v>58.5</v>
      </c>
      <c r="M268" s="465">
        <f t="shared" si="55"/>
        <v>19.57686067808978</v>
      </c>
      <c r="N268" s="457">
        <f>+'J) Plafonnement effort'!H267+'J) Plafonnement effort'!I267-'K) Plafonnement aide'!I267</f>
        <v>44.989398168183655</v>
      </c>
      <c r="O268" s="145">
        <f t="shared" si="56"/>
        <v>64.566258846273428</v>
      </c>
      <c r="P268" s="47">
        <f t="shared" si="57"/>
        <v>0</v>
      </c>
      <c r="Q268" s="55">
        <f t="shared" si="63"/>
        <v>0</v>
      </c>
      <c r="R268" s="145">
        <f t="shared" si="58"/>
        <v>64.566258846273428</v>
      </c>
      <c r="S268" s="125">
        <f t="shared" si="59"/>
        <v>6.0662588462734277</v>
      </c>
      <c r="T268" s="144">
        <f t="shared" si="62"/>
        <v>0</v>
      </c>
      <c r="V268" s="12"/>
    </row>
    <row r="269" spans="1:22" x14ac:dyDescent="0.25">
      <c r="A269" s="49">
        <f>'A) Base RI'!A270</f>
        <v>5861</v>
      </c>
      <c r="B269" s="351" t="str">
        <f>'A) Base RI'!B270</f>
        <v>Rolle</v>
      </c>
      <c r="C269" s="403">
        <v>23640879.72220901</v>
      </c>
      <c r="D269" s="403">
        <v>12669067.13937814</v>
      </c>
      <c r="E269" s="404">
        <v>0</v>
      </c>
      <c r="F269" s="404">
        <v>-1999914.3968812721</v>
      </c>
      <c r="G269" s="404">
        <v>0</v>
      </c>
      <c r="H269" s="403">
        <f t="shared" si="60"/>
        <v>34310032.464705877</v>
      </c>
      <c r="I269" s="404">
        <v>762445.16588235286</v>
      </c>
      <c r="J269" s="355">
        <f>'B) D RI'!U270</f>
        <v>1938335.8673949579</v>
      </c>
      <c r="K269" s="62">
        <f t="shared" si="61"/>
        <v>45</v>
      </c>
      <c r="L269" s="33">
        <f>'B) D RI'!S270</f>
        <v>59.5</v>
      </c>
      <c r="M269" s="465">
        <f t="shared" si="55"/>
        <v>14.5</v>
      </c>
      <c r="N269" s="457">
        <f>+'J) Plafonnement effort'!H268+'J) Plafonnement effort'!I268-'K) Plafonnement aide'!I268</f>
        <v>48</v>
      </c>
      <c r="O269" s="145">
        <f t="shared" si="56"/>
        <v>62.5</v>
      </c>
      <c r="P269" s="47">
        <f t="shared" si="57"/>
        <v>0</v>
      </c>
      <c r="Q269" s="55">
        <f t="shared" si="63"/>
        <v>0</v>
      </c>
      <c r="R269" s="145">
        <f t="shared" si="58"/>
        <v>62.5</v>
      </c>
      <c r="S269" s="125">
        <f t="shared" si="59"/>
        <v>3</v>
      </c>
      <c r="T269" s="144">
        <f t="shared" si="62"/>
        <v>0</v>
      </c>
      <c r="V269" s="12"/>
    </row>
    <row r="270" spans="1:22" x14ac:dyDescent="0.25">
      <c r="A270" s="49">
        <f>'A) Base RI'!A271</f>
        <v>5862</v>
      </c>
      <c r="B270" s="351" t="str">
        <f>'A) Base RI'!B271</f>
        <v>Tartegnin</v>
      </c>
      <c r="C270" s="403">
        <v>164066.26154078403</v>
      </c>
      <c r="D270" s="403">
        <v>189292.98902486256</v>
      </c>
      <c r="E270" s="404">
        <v>0</v>
      </c>
      <c r="F270" s="404">
        <v>0</v>
      </c>
      <c r="G270" s="404">
        <v>0</v>
      </c>
      <c r="H270" s="403">
        <f t="shared" si="60"/>
        <v>353359.25056564657</v>
      </c>
      <c r="I270" s="404">
        <v>10955.91814814815</v>
      </c>
      <c r="J270" s="355">
        <f>'B) D RI'!U271</f>
        <v>8096.4381012658214</v>
      </c>
      <c r="K270" s="62">
        <f t="shared" si="61"/>
        <v>32.252819506996218</v>
      </c>
      <c r="L270" s="33">
        <f>'B) D RI'!S271</f>
        <v>79</v>
      </c>
      <c r="M270" s="465">
        <f t="shared" si="55"/>
        <v>46.747180493003782</v>
      </c>
      <c r="N270" s="457">
        <f>+'J) Plafonnement effort'!H269+'J) Plafonnement effort'!I269-'K) Plafonnement aide'!I269</f>
        <v>18.942547964991771</v>
      </c>
      <c r="O270" s="145">
        <f t="shared" si="56"/>
        <v>65.689728457995557</v>
      </c>
      <c r="P270" s="47">
        <f t="shared" si="57"/>
        <v>0</v>
      </c>
      <c r="Q270" s="55">
        <f t="shared" si="63"/>
        <v>0</v>
      </c>
      <c r="R270" s="145">
        <f t="shared" si="58"/>
        <v>65.689728457995557</v>
      </c>
      <c r="S270" s="125">
        <f t="shared" si="59"/>
        <v>-13.310271542004443</v>
      </c>
      <c r="T270" s="144">
        <f t="shared" si="62"/>
        <v>0</v>
      </c>
      <c r="V270" s="12"/>
    </row>
    <row r="271" spans="1:22" x14ac:dyDescent="0.25">
      <c r="A271" s="49">
        <f>'A) Base RI'!A272</f>
        <v>5863</v>
      </c>
      <c r="B271" s="351" t="str">
        <f>'A) Base RI'!B272</f>
        <v>Vinzel</v>
      </c>
      <c r="C271" s="403">
        <v>327322.23319290107</v>
      </c>
      <c r="D271" s="403">
        <v>313230.10916050262</v>
      </c>
      <c r="E271" s="404">
        <v>0</v>
      </c>
      <c r="F271" s="404">
        <v>0</v>
      </c>
      <c r="G271" s="404">
        <v>0</v>
      </c>
      <c r="H271" s="403">
        <f t="shared" si="60"/>
        <v>640552.34235340368</v>
      </c>
      <c r="I271" s="404">
        <v>17885.432686567161</v>
      </c>
      <c r="J271" s="355">
        <f>'B) D RI'!U272</f>
        <v>21933.69492537314</v>
      </c>
      <c r="K271" s="62">
        <f t="shared" si="61"/>
        <v>35.814193236403497</v>
      </c>
      <c r="L271" s="33">
        <f>'B) D RI'!S272</f>
        <v>67</v>
      </c>
      <c r="M271" s="465">
        <f t="shared" si="55"/>
        <v>31.185806763596503</v>
      </c>
      <c r="N271" s="457">
        <f>+'J) Plafonnement effort'!H270+'J) Plafonnement effort'!I270-'K) Plafonnement aide'!I270</f>
        <v>32.568071571944287</v>
      </c>
      <c r="O271" s="145">
        <f t="shared" si="56"/>
        <v>63.75387833554079</v>
      </c>
      <c r="P271" s="47">
        <f t="shared" si="57"/>
        <v>0</v>
      </c>
      <c r="Q271" s="55">
        <f t="shared" si="63"/>
        <v>0</v>
      </c>
      <c r="R271" s="145">
        <f t="shared" si="58"/>
        <v>63.75387833554079</v>
      </c>
      <c r="S271" s="125">
        <f t="shared" si="59"/>
        <v>-3.2461216644592099</v>
      </c>
      <c r="T271" s="144">
        <f t="shared" si="62"/>
        <v>0</v>
      </c>
      <c r="V271" s="12"/>
    </row>
    <row r="272" spans="1:22" x14ac:dyDescent="0.25">
      <c r="A272" s="49">
        <f>'A) Base RI'!A273</f>
        <v>5871</v>
      </c>
      <c r="B272" s="351" t="str">
        <f>'A) Base RI'!B273</f>
        <v>L'Abbaye</v>
      </c>
      <c r="C272" s="403">
        <v>1016993.5154968603</v>
      </c>
      <c r="D272" s="403">
        <v>91687.212898201426</v>
      </c>
      <c r="E272" s="404">
        <v>0</v>
      </c>
      <c r="F272" s="404">
        <v>0</v>
      </c>
      <c r="G272" s="404">
        <v>0</v>
      </c>
      <c r="H272" s="403">
        <f t="shared" si="60"/>
        <v>1108680.7283950616</v>
      </c>
      <c r="I272" s="404">
        <v>46763.12603092783</v>
      </c>
      <c r="J272" s="355">
        <f>'B) D RI'!U273</f>
        <v>49513.521273852508</v>
      </c>
      <c r="K272" s="62">
        <f t="shared" si="61"/>
        <v>23.708439159131729</v>
      </c>
      <c r="L272" s="33">
        <f>'B) D RI'!S273</f>
        <v>77.56</v>
      </c>
      <c r="M272" s="465">
        <f t="shared" si="55"/>
        <v>53.851560840868274</v>
      </c>
      <c r="N272" s="457">
        <f>+'J) Plafonnement effort'!H271+'J) Plafonnement effort'!I271-'K) Plafonnement aide'!I271</f>
        <v>9.3424138140217998</v>
      </c>
      <c r="O272" s="145">
        <f t="shared" si="56"/>
        <v>63.19397465489007</v>
      </c>
      <c r="P272" s="47">
        <f t="shared" si="57"/>
        <v>0</v>
      </c>
      <c r="Q272" s="55">
        <f t="shared" si="63"/>
        <v>0</v>
      </c>
      <c r="R272" s="145">
        <f t="shared" si="58"/>
        <v>63.19397465489007</v>
      </c>
      <c r="S272" s="125">
        <f t="shared" si="59"/>
        <v>-14.366025345109932</v>
      </c>
      <c r="T272" s="144">
        <f t="shared" si="62"/>
        <v>0</v>
      </c>
      <c r="V272" s="12"/>
    </row>
    <row r="273" spans="1:22" x14ac:dyDescent="0.25">
      <c r="A273" s="49">
        <f>'A) Base RI'!A274</f>
        <v>5872</v>
      </c>
      <c r="B273" s="351" t="str">
        <f>'A) Base RI'!B274</f>
        <v>Le Chenit</v>
      </c>
      <c r="C273" s="403">
        <v>7340747.1085846201</v>
      </c>
      <c r="D273" s="403">
        <v>3722558.4528423506</v>
      </c>
      <c r="E273" s="404">
        <v>0</v>
      </c>
      <c r="F273" s="404">
        <v>0</v>
      </c>
      <c r="G273" s="404">
        <v>0</v>
      </c>
      <c r="H273" s="403">
        <f t="shared" si="60"/>
        <v>11063305.561426971</v>
      </c>
      <c r="I273" s="404">
        <v>269128.75712823507</v>
      </c>
      <c r="J273" s="355">
        <f>'B) D RI'!U274</f>
        <v>236042.78222554145</v>
      </c>
      <c r="K273" s="62">
        <f t="shared" si="61"/>
        <v>41.107853651460601</v>
      </c>
      <c r="L273" s="33">
        <f>'B) D RI'!S274</f>
        <v>66.95</v>
      </c>
      <c r="M273" s="465">
        <f t="shared" si="55"/>
        <v>25.842146348539401</v>
      </c>
      <c r="N273" s="457">
        <f>+'J) Plafonnement effort'!H272+'J) Plafonnement effort'!I272-'K) Plafonnement aide'!I272</f>
        <v>20.204697758680695</v>
      </c>
      <c r="O273" s="145">
        <f t="shared" si="56"/>
        <v>46.046844107220096</v>
      </c>
      <c r="P273" s="47">
        <f t="shared" si="57"/>
        <v>0</v>
      </c>
      <c r="Q273" s="55">
        <f t="shared" si="63"/>
        <v>0</v>
      </c>
      <c r="R273" s="145">
        <f t="shared" si="58"/>
        <v>46.046844107220096</v>
      </c>
      <c r="S273" s="125">
        <f t="shared" si="59"/>
        <v>-20.903155892779907</v>
      </c>
      <c r="T273" s="144">
        <f t="shared" si="62"/>
        <v>0</v>
      </c>
      <c r="V273" s="12"/>
    </row>
    <row r="274" spans="1:22" x14ac:dyDescent="0.25">
      <c r="A274" s="49">
        <f>'A) Base RI'!A275</f>
        <v>5873</v>
      </c>
      <c r="B274" s="351" t="str">
        <f>'A) Base RI'!B275</f>
        <v>Le Lieu</v>
      </c>
      <c r="C274" s="403">
        <v>709807.83668312069</v>
      </c>
      <c r="D274" s="403">
        <v>205567.20095852279</v>
      </c>
      <c r="E274" s="404">
        <v>0</v>
      </c>
      <c r="F274" s="404">
        <v>0</v>
      </c>
      <c r="G274" s="404">
        <v>0</v>
      </c>
      <c r="H274" s="403">
        <f t="shared" si="60"/>
        <v>915375.03764164355</v>
      </c>
      <c r="I274" s="404">
        <v>28965.792761904762</v>
      </c>
      <c r="J274" s="355">
        <f>'B) D RI'!U275</f>
        <v>30440.408392857149</v>
      </c>
      <c r="K274" s="62">
        <f t="shared" si="61"/>
        <v>31.601932844231584</v>
      </c>
      <c r="L274" s="33">
        <f>'B) D RI'!S275</f>
        <v>70</v>
      </c>
      <c r="M274" s="465">
        <f t="shared" si="55"/>
        <v>38.398067155768416</v>
      </c>
      <c r="N274" s="457">
        <f>+'J) Plafonnement effort'!H273+'J) Plafonnement effort'!I273-'K) Plafonnement aide'!I273</f>
        <v>-1.6784248388745322</v>
      </c>
      <c r="O274" s="145">
        <f t="shared" si="56"/>
        <v>36.719642316893882</v>
      </c>
      <c r="P274" s="47">
        <f t="shared" si="57"/>
        <v>0</v>
      </c>
      <c r="Q274" s="55">
        <f t="shared" si="63"/>
        <v>0</v>
      </c>
      <c r="R274" s="145">
        <f t="shared" si="58"/>
        <v>36.719642316893882</v>
      </c>
      <c r="S274" s="125">
        <f t="shared" si="59"/>
        <v>-33.280357683106118</v>
      </c>
      <c r="T274" s="144">
        <f t="shared" si="62"/>
        <v>0</v>
      </c>
      <c r="V274" s="12"/>
    </row>
    <row r="275" spans="1:22" x14ac:dyDescent="0.25">
      <c r="A275" s="49">
        <f>'A) Base RI'!A276</f>
        <v>5881</v>
      </c>
      <c r="B275" s="351" t="str">
        <f>'A) Base RI'!B276</f>
        <v>Blonay</v>
      </c>
      <c r="C275" s="403">
        <v>7550811.868422417</v>
      </c>
      <c r="D275" s="403">
        <v>4592101.8635547571</v>
      </c>
      <c r="E275" s="404">
        <v>0</v>
      </c>
      <c r="F275" s="404">
        <v>0</v>
      </c>
      <c r="G275" s="404">
        <v>0</v>
      </c>
      <c r="H275" s="403">
        <f t="shared" si="60"/>
        <v>12142913.731977174</v>
      </c>
      <c r="I275" s="404">
        <v>355898.72514285718</v>
      </c>
      <c r="J275" s="355">
        <f>'B) D RI'!U276</f>
        <v>363266.43007299263</v>
      </c>
      <c r="K275" s="62">
        <f t="shared" si="61"/>
        <v>34.119014410919924</v>
      </c>
      <c r="L275" s="33">
        <f>'B) D RI'!S276</f>
        <v>68.5</v>
      </c>
      <c r="M275" s="465">
        <f t="shared" si="55"/>
        <v>34.380985589080076</v>
      </c>
      <c r="N275" s="457">
        <f>+'J) Plafonnement effort'!H274+'J) Plafonnement effort'!I274-'K) Plafonnement aide'!I274</f>
        <v>26.227486460807569</v>
      </c>
      <c r="O275" s="145">
        <f t="shared" si="56"/>
        <v>60.608472049887645</v>
      </c>
      <c r="P275" s="47">
        <f t="shared" si="57"/>
        <v>0</v>
      </c>
      <c r="Q275" s="55">
        <f t="shared" si="63"/>
        <v>0</v>
      </c>
      <c r="R275" s="145">
        <f t="shared" si="58"/>
        <v>60.608472049887645</v>
      </c>
      <c r="S275" s="125">
        <f t="shared" si="59"/>
        <v>-7.891527950112355</v>
      </c>
      <c r="T275" s="144">
        <f t="shared" si="62"/>
        <v>0</v>
      </c>
      <c r="V275" s="12"/>
    </row>
    <row r="276" spans="1:22" x14ac:dyDescent="0.25">
      <c r="A276" s="49">
        <f>'A) Base RI'!A277</f>
        <v>5882</v>
      </c>
      <c r="B276" s="351" t="str">
        <f>'A) Base RI'!B277</f>
        <v>Chardonne</v>
      </c>
      <c r="C276" s="403">
        <v>4519780.8246623008</v>
      </c>
      <c r="D276" s="403">
        <v>2837656.5213369462</v>
      </c>
      <c r="E276" s="404">
        <v>0</v>
      </c>
      <c r="F276" s="404">
        <v>0</v>
      </c>
      <c r="G276" s="404">
        <v>0</v>
      </c>
      <c r="H276" s="403">
        <f t="shared" si="60"/>
        <v>7357437.3459992465</v>
      </c>
      <c r="I276" s="404">
        <v>184082.76117647055</v>
      </c>
      <c r="J276" s="355">
        <f>'B) D RI'!U277</f>
        <v>179032.37397058826</v>
      </c>
      <c r="K276" s="62">
        <f t="shared" si="61"/>
        <v>39.968095322875207</v>
      </c>
      <c r="L276" s="33">
        <f>'B) D RI'!S277</f>
        <v>68</v>
      </c>
      <c r="M276" s="465">
        <f t="shared" si="55"/>
        <v>28.031904677124793</v>
      </c>
      <c r="N276" s="457">
        <f>+'J) Plafonnement effort'!H275+'J) Plafonnement effort'!I275-'K) Plafonnement aide'!I275</f>
        <v>27.990433858810004</v>
      </c>
      <c r="O276" s="145">
        <f t="shared" si="56"/>
        <v>56.022338535934793</v>
      </c>
      <c r="P276" s="47">
        <f t="shared" si="57"/>
        <v>0</v>
      </c>
      <c r="Q276" s="55">
        <f t="shared" si="63"/>
        <v>0</v>
      </c>
      <c r="R276" s="145">
        <f t="shared" si="58"/>
        <v>56.022338535934793</v>
      </c>
      <c r="S276" s="125">
        <f t="shared" si="59"/>
        <v>-11.977661464065207</v>
      </c>
      <c r="T276" s="144">
        <f t="shared" si="62"/>
        <v>0</v>
      </c>
      <c r="V276" s="12"/>
    </row>
    <row r="277" spans="1:22" x14ac:dyDescent="0.25">
      <c r="A277" s="49">
        <f>'A) Base RI'!A278</f>
        <v>5883</v>
      </c>
      <c r="B277" s="351" t="str">
        <f>'A) Base RI'!B278</f>
        <v>Corseaux</v>
      </c>
      <c r="C277" s="403">
        <v>3805231.3502226472</v>
      </c>
      <c r="D277" s="403">
        <v>2713875.5727472645</v>
      </c>
      <c r="E277" s="404">
        <v>0</v>
      </c>
      <c r="F277" s="404">
        <v>0</v>
      </c>
      <c r="G277" s="404">
        <v>0</v>
      </c>
      <c r="H277" s="403">
        <f t="shared" si="60"/>
        <v>6519106.9229699112</v>
      </c>
      <c r="I277" s="404">
        <v>164555.95811594205</v>
      </c>
      <c r="J277" s="355">
        <f>'B) D RI'!U278</f>
        <v>167893.40074074076</v>
      </c>
      <c r="K277" s="62">
        <f t="shared" si="61"/>
        <v>39.616352987818956</v>
      </c>
      <c r="L277" s="33">
        <f>'B) D RI'!S278</f>
        <v>67.5</v>
      </c>
      <c r="M277" s="465">
        <f t="shared" si="55"/>
        <v>27.883647012181044</v>
      </c>
      <c r="N277" s="457">
        <f>+'J) Plafonnement effort'!H276+'J) Plafonnement effort'!I276-'K) Plafonnement aide'!I276</f>
        <v>35.190050946294797</v>
      </c>
      <c r="O277" s="145">
        <f t="shared" si="56"/>
        <v>63.07369795847584</v>
      </c>
      <c r="P277" s="47">
        <f t="shared" si="57"/>
        <v>0</v>
      </c>
      <c r="Q277" s="55">
        <f t="shared" si="63"/>
        <v>0</v>
      </c>
      <c r="R277" s="145">
        <f t="shared" si="58"/>
        <v>63.07369795847584</v>
      </c>
      <c r="S277" s="125">
        <f t="shared" si="59"/>
        <v>-4.4263020415241598</v>
      </c>
      <c r="T277" s="144">
        <f t="shared" si="62"/>
        <v>0</v>
      </c>
      <c r="V277" s="12"/>
    </row>
    <row r="278" spans="1:22" x14ac:dyDescent="0.25">
      <c r="A278" s="49">
        <f>'A) Base RI'!A279</f>
        <v>5884</v>
      </c>
      <c r="B278" s="351" t="str">
        <f>'A) Base RI'!B279</f>
        <v>Corsier-sur-Vevey</v>
      </c>
      <c r="C278" s="403">
        <v>2245108.7980423095</v>
      </c>
      <c r="D278" s="403">
        <v>990294.05418044375</v>
      </c>
      <c r="E278" s="404">
        <v>0</v>
      </c>
      <c r="F278" s="404">
        <v>0</v>
      </c>
      <c r="G278" s="404">
        <v>0</v>
      </c>
      <c r="H278" s="403">
        <f t="shared" si="60"/>
        <v>3235402.8522227532</v>
      </c>
      <c r="I278" s="404">
        <v>127106.22217171718</v>
      </c>
      <c r="J278" s="355">
        <f>'B) D RI'!U279</f>
        <v>122170.7416919192</v>
      </c>
      <c r="K278" s="62">
        <f t="shared" si="61"/>
        <v>25.454323139679257</v>
      </c>
      <c r="L278" s="33">
        <f>'B) D RI'!S279</f>
        <v>66</v>
      </c>
      <c r="M278" s="465">
        <f t="shared" si="55"/>
        <v>40.545676860320739</v>
      </c>
      <c r="N278" s="457">
        <f>+'J) Plafonnement effort'!H277+'J) Plafonnement effort'!I277-'K) Plafonnement aide'!I277</f>
        <v>7.3890003657689096</v>
      </c>
      <c r="O278" s="145">
        <f t="shared" si="56"/>
        <v>47.934677226089647</v>
      </c>
      <c r="P278" s="47">
        <f t="shared" si="57"/>
        <v>0</v>
      </c>
      <c r="Q278" s="55">
        <f t="shared" si="63"/>
        <v>0</v>
      </c>
      <c r="R278" s="145">
        <f t="shared" si="58"/>
        <v>47.934677226089647</v>
      </c>
      <c r="S278" s="125">
        <f t="shared" si="59"/>
        <v>-18.065322773910353</v>
      </c>
      <c r="T278" s="144">
        <f t="shared" si="62"/>
        <v>0</v>
      </c>
      <c r="V278" s="12"/>
    </row>
    <row r="279" spans="1:22" x14ac:dyDescent="0.25">
      <c r="A279" s="49">
        <f>'A) Base RI'!A280</f>
        <v>5885</v>
      </c>
      <c r="B279" s="351" t="str">
        <f>'A) Base RI'!B280</f>
        <v>Jongny</v>
      </c>
      <c r="C279" s="403">
        <v>1546213.8518320988</v>
      </c>
      <c r="D279" s="403">
        <v>1265957.7758380305</v>
      </c>
      <c r="E279" s="404">
        <v>0</v>
      </c>
      <c r="F279" s="404">
        <v>0</v>
      </c>
      <c r="G279" s="404">
        <v>0</v>
      </c>
      <c r="H279" s="403">
        <f t="shared" si="60"/>
        <v>2812171.6276701293</v>
      </c>
      <c r="I279" s="404">
        <v>79120.74528169015</v>
      </c>
      <c r="J279" s="355">
        <f>'B) D RI'!U280</f>
        <v>85101.213069544348</v>
      </c>
      <c r="K279" s="62">
        <f t="shared" si="61"/>
        <v>35.542784862024199</v>
      </c>
      <c r="L279" s="33">
        <f>'B) D RI'!S280</f>
        <v>69.5</v>
      </c>
      <c r="M279" s="465">
        <f t="shared" si="55"/>
        <v>33.957215137975801</v>
      </c>
      <c r="N279" s="457">
        <f>+'J) Plafonnement effort'!H278+'J) Plafonnement effort'!I278-'K) Plafonnement aide'!I278</f>
        <v>28.3793680348207</v>
      </c>
      <c r="O279" s="145">
        <f t="shared" si="56"/>
        <v>62.336583172796502</v>
      </c>
      <c r="P279" s="47">
        <f t="shared" si="57"/>
        <v>0</v>
      </c>
      <c r="Q279" s="55">
        <f t="shared" si="63"/>
        <v>0</v>
      </c>
      <c r="R279" s="145">
        <f t="shared" si="58"/>
        <v>62.336583172796502</v>
      </c>
      <c r="S279" s="125">
        <f t="shared" si="59"/>
        <v>-7.1634168272034984</v>
      </c>
      <c r="T279" s="144">
        <f t="shared" si="62"/>
        <v>0</v>
      </c>
      <c r="V279" s="12"/>
    </row>
    <row r="280" spans="1:22" x14ac:dyDescent="0.25">
      <c r="A280" s="49">
        <f>'A) Base RI'!A281</f>
        <v>5886</v>
      </c>
      <c r="B280" s="351" t="str">
        <f>'A) Base RI'!B281</f>
        <v>Montreux</v>
      </c>
      <c r="C280" s="403">
        <v>24889310.001661122</v>
      </c>
      <c r="D280" s="403">
        <v>-94803.718430891633</v>
      </c>
      <c r="E280" s="404">
        <v>0</v>
      </c>
      <c r="F280" s="404">
        <v>0</v>
      </c>
      <c r="G280" s="404">
        <v>0</v>
      </c>
      <c r="H280" s="403">
        <f t="shared" si="60"/>
        <v>24794506.28323023</v>
      </c>
      <c r="I280" s="404">
        <v>1142059.586051282</v>
      </c>
      <c r="J280" s="355">
        <f>'B) D RI'!U281</f>
        <v>1097075.3945128203</v>
      </c>
      <c r="K280" s="62">
        <f t="shared" si="61"/>
        <v>21.710343826243125</v>
      </c>
      <c r="L280" s="33">
        <f>'B) D RI'!S281</f>
        <v>65</v>
      </c>
      <c r="M280" s="465">
        <f t="shared" si="55"/>
        <v>43.289656173756875</v>
      </c>
      <c r="N280" s="457">
        <f>+'J) Plafonnement effort'!H279+'J) Plafonnement effort'!I279-'K) Plafonnement aide'!I279</f>
        <v>4.9237070568121037</v>
      </c>
      <c r="O280" s="145">
        <f t="shared" si="56"/>
        <v>48.21336323056898</v>
      </c>
      <c r="P280" s="47">
        <f t="shared" si="57"/>
        <v>0</v>
      </c>
      <c r="Q280" s="55">
        <f t="shared" si="63"/>
        <v>0</v>
      </c>
      <c r="R280" s="145">
        <f t="shared" si="58"/>
        <v>48.21336323056898</v>
      </c>
      <c r="S280" s="125">
        <f t="shared" si="59"/>
        <v>-16.78663676943102</v>
      </c>
      <c r="T280" s="144">
        <f t="shared" si="62"/>
        <v>0</v>
      </c>
      <c r="V280" s="12"/>
    </row>
    <row r="281" spans="1:22" x14ac:dyDescent="0.25">
      <c r="A281" s="49">
        <f>'A) Base RI'!A282</f>
        <v>5888</v>
      </c>
      <c r="B281" s="351" t="str">
        <f>'A) Base RI'!B282</f>
        <v>Saint-Légier-La Chiésaz</v>
      </c>
      <c r="C281" s="403">
        <v>7471028.40582739</v>
      </c>
      <c r="D281" s="403">
        <v>4786531.1145380586</v>
      </c>
      <c r="E281" s="404">
        <v>0</v>
      </c>
      <c r="F281" s="404">
        <v>0</v>
      </c>
      <c r="G281" s="404">
        <v>0</v>
      </c>
      <c r="H281" s="403">
        <f t="shared" si="60"/>
        <v>12257559.520365449</v>
      </c>
      <c r="I281" s="404">
        <v>338249.0701666667</v>
      </c>
      <c r="J281" s="355">
        <f>'B) D RI'!U282</f>
        <v>325586.52158150851</v>
      </c>
      <c r="K281" s="62">
        <f t="shared" si="61"/>
        <v>36.238265235513396</v>
      </c>
      <c r="L281" s="33">
        <f>'B) D RI'!S282</f>
        <v>68.5</v>
      </c>
      <c r="M281" s="465">
        <f t="shared" si="55"/>
        <v>32.261734764486604</v>
      </c>
      <c r="N281" s="457">
        <f>+'J) Plafonnement effort'!H280+'J) Plafonnement effort'!I280-'K) Plafonnement aide'!I280</f>
        <v>25.135430826965326</v>
      </c>
      <c r="O281" s="145">
        <f t="shared" si="56"/>
        <v>57.39716559145193</v>
      </c>
      <c r="P281" s="47">
        <f t="shared" si="57"/>
        <v>0</v>
      </c>
      <c r="Q281" s="55">
        <f t="shared" si="63"/>
        <v>0</v>
      </c>
      <c r="R281" s="145">
        <f t="shared" si="58"/>
        <v>57.39716559145193</v>
      </c>
      <c r="S281" s="125">
        <f t="shared" si="59"/>
        <v>-11.10283440854807</v>
      </c>
      <c r="T281" s="144">
        <f t="shared" si="62"/>
        <v>0</v>
      </c>
      <c r="V281" s="12"/>
    </row>
    <row r="282" spans="1:22" x14ac:dyDescent="0.25">
      <c r="A282" s="49">
        <f>'A) Base RI'!A283</f>
        <v>5889</v>
      </c>
      <c r="B282" s="351" t="str">
        <f>'A) Base RI'!B283</f>
        <v>La Tour-de-Peilz</v>
      </c>
      <c r="C282" s="403">
        <v>13955976.078285433</v>
      </c>
      <c r="D282" s="403">
        <v>7138995.1048888732</v>
      </c>
      <c r="E282" s="404">
        <v>0</v>
      </c>
      <c r="F282" s="404">
        <v>0</v>
      </c>
      <c r="G282" s="404">
        <v>0</v>
      </c>
      <c r="H282" s="403">
        <f t="shared" si="60"/>
        <v>21094971.183174305</v>
      </c>
      <c r="I282" s="404">
        <v>693156.74124999996</v>
      </c>
      <c r="J282" s="355">
        <f>'B) D RI'!U283</f>
        <v>675962.70015625004</v>
      </c>
      <c r="K282" s="62">
        <f t="shared" si="61"/>
        <v>30.43319054379074</v>
      </c>
      <c r="L282" s="33">
        <f>'B) D RI'!S283</f>
        <v>64</v>
      </c>
      <c r="M282" s="465">
        <f t="shared" si="55"/>
        <v>33.566809456209256</v>
      </c>
      <c r="N282" s="457">
        <f>+'J) Plafonnement effort'!H281+'J) Plafonnement effort'!I281-'K) Plafonnement aide'!I281</f>
        <v>24.173435026176183</v>
      </c>
      <c r="O282" s="145">
        <f t="shared" si="56"/>
        <v>57.740244482385435</v>
      </c>
      <c r="P282" s="47">
        <f t="shared" si="57"/>
        <v>0</v>
      </c>
      <c r="Q282" s="55">
        <f t="shared" si="63"/>
        <v>0</v>
      </c>
      <c r="R282" s="145">
        <f t="shared" si="58"/>
        <v>57.740244482385435</v>
      </c>
      <c r="S282" s="125">
        <f t="shared" si="59"/>
        <v>-6.2597555176145647</v>
      </c>
      <c r="T282" s="144">
        <f t="shared" si="62"/>
        <v>0</v>
      </c>
      <c r="V282" s="12"/>
    </row>
    <row r="283" spans="1:22" x14ac:dyDescent="0.25">
      <c r="A283" s="49">
        <f>'A) Base RI'!A284</f>
        <v>5890</v>
      </c>
      <c r="B283" s="351" t="str">
        <f>'A) Base RI'!B284</f>
        <v>Vevey</v>
      </c>
      <c r="C283" s="403">
        <v>16686685.000984279</v>
      </c>
      <c r="D283" s="403">
        <v>4578881.5522728469</v>
      </c>
      <c r="E283" s="404">
        <v>0</v>
      </c>
      <c r="F283" s="404">
        <v>0</v>
      </c>
      <c r="G283" s="404">
        <v>0</v>
      </c>
      <c r="H283" s="403">
        <f t="shared" si="60"/>
        <v>21265566.553257126</v>
      </c>
      <c r="I283" s="404">
        <v>976839.63723684219</v>
      </c>
      <c r="J283" s="355">
        <f>'B) D RI'!U284</f>
        <v>862625.86017897108</v>
      </c>
      <c r="K283" s="62">
        <f t="shared" si="61"/>
        <v>21.769762141727188</v>
      </c>
      <c r="L283" s="33">
        <f>'B) D RI'!S284</f>
        <v>74.5</v>
      </c>
      <c r="M283" s="465">
        <f t="shared" si="55"/>
        <v>52.730237858272815</v>
      </c>
      <c r="N283" s="457">
        <f>+'J) Plafonnement effort'!H282+'J) Plafonnement effort'!I282-'K) Plafonnement aide'!I282</f>
        <v>9.0262775523061283</v>
      </c>
      <c r="O283" s="145">
        <f t="shared" si="56"/>
        <v>61.756515410578942</v>
      </c>
      <c r="P283" s="47">
        <f t="shared" si="57"/>
        <v>0</v>
      </c>
      <c r="Q283" s="55">
        <f t="shared" si="63"/>
        <v>0</v>
      </c>
      <c r="R283" s="145">
        <f t="shared" si="58"/>
        <v>61.756515410578942</v>
      </c>
      <c r="S283" s="125">
        <f t="shared" si="59"/>
        <v>-12.743484589421058</v>
      </c>
      <c r="T283" s="144">
        <f t="shared" si="62"/>
        <v>0</v>
      </c>
      <c r="V283" s="12"/>
    </row>
    <row r="284" spans="1:22" x14ac:dyDescent="0.25">
      <c r="A284" s="49">
        <f>'A) Base RI'!A285</f>
        <v>5891</v>
      </c>
      <c r="B284" s="351" t="str">
        <f>'A) Base RI'!B285</f>
        <v>Veytaux</v>
      </c>
      <c r="C284" s="403">
        <v>657131.67224249791</v>
      </c>
      <c r="D284" s="403">
        <v>503611.80047016119</v>
      </c>
      <c r="E284" s="404">
        <v>0</v>
      </c>
      <c r="F284" s="404">
        <v>0</v>
      </c>
      <c r="G284" s="404">
        <v>0</v>
      </c>
      <c r="H284" s="403">
        <f t="shared" si="60"/>
        <v>1160743.472712659</v>
      </c>
      <c r="I284" s="404">
        <v>37197.97126760563</v>
      </c>
      <c r="J284" s="355">
        <f>'B) D RI'!U285</f>
        <v>43950.38565947242</v>
      </c>
      <c r="K284" s="62">
        <f t="shared" si="61"/>
        <v>31.204483286525591</v>
      </c>
      <c r="L284" s="33">
        <f>'B) D RI'!S285</f>
        <v>69.5</v>
      </c>
      <c r="M284" s="465">
        <f t="shared" si="55"/>
        <v>38.295516713474413</v>
      </c>
      <c r="N284" s="457">
        <f>+'J) Plafonnement effort'!H283+'J) Plafonnement effort'!I283-'K) Plafonnement aide'!I283</f>
        <v>18.649581784334597</v>
      </c>
      <c r="O284" s="145">
        <f t="shared" si="56"/>
        <v>56.945098497809013</v>
      </c>
      <c r="P284" s="47">
        <f t="shared" si="57"/>
        <v>0</v>
      </c>
      <c r="Q284" s="55">
        <f t="shared" si="63"/>
        <v>0</v>
      </c>
      <c r="R284" s="145">
        <f t="shared" si="58"/>
        <v>56.945098497809013</v>
      </c>
      <c r="S284" s="125">
        <f t="shared" si="59"/>
        <v>-12.554901502190987</v>
      </c>
      <c r="T284" s="144">
        <f t="shared" si="62"/>
        <v>0</v>
      </c>
      <c r="V284" s="12"/>
    </row>
    <row r="285" spans="1:22" x14ac:dyDescent="0.25">
      <c r="A285" s="49">
        <f>'A) Base RI'!A286</f>
        <v>5902</v>
      </c>
      <c r="B285" s="351" t="str">
        <f>'A) Base RI'!B286</f>
        <v>Belmont-sur-Yverdon</v>
      </c>
      <c r="C285" s="403">
        <v>385873.34319812362</v>
      </c>
      <c r="D285" s="403">
        <v>12053.712463275122</v>
      </c>
      <c r="E285" s="404">
        <v>0</v>
      </c>
      <c r="F285" s="404">
        <v>0</v>
      </c>
      <c r="G285" s="404">
        <v>-45319.162017875293</v>
      </c>
      <c r="H285" s="403">
        <f t="shared" si="60"/>
        <v>352607.89364352345</v>
      </c>
      <c r="I285" s="404">
        <v>10777.690131578949</v>
      </c>
      <c r="J285" s="355">
        <f>'B) D RI'!U286</f>
        <v>11719.310285714289</v>
      </c>
      <c r="K285" s="62">
        <f t="shared" si="61"/>
        <v>32.716462371688714</v>
      </c>
      <c r="L285" s="33">
        <f>'B) D RI'!S286</f>
        <v>70</v>
      </c>
      <c r="M285" s="465">
        <f t="shared" si="55"/>
        <v>37.283537628311286</v>
      </c>
      <c r="N285" s="457">
        <f>+'J) Plafonnement effort'!H284+'J) Plafonnement effort'!I284-'K) Plafonnement aide'!I284</f>
        <v>15.770570254846225</v>
      </c>
      <c r="O285" s="145">
        <f t="shared" si="56"/>
        <v>53.054107883157513</v>
      </c>
      <c r="P285" s="47">
        <f t="shared" si="57"/>
        <v>0</v>
      </c>
      <c r="Q285" s="55">
        <f t="shared" si="63"/>
        <v>0</v>
      </c>
      <c r="R285" s="145">
        <f t="shared" si="58"/>
        <v>53.054107883157513</v>
      </c>
      <c r="S285" s="125">
        <f t="shared" si="59"/>
        <v>-16.945892116842487</v>
      </c>
      <c r="T285" s="144">
        <f t="shared" si="62"/>
        <v>0</v>
      </c>
      <c r="V285" s="12"/>
    </row>
    <row r="286" spans="1:22" x14ac:dyDescent="0.25">
      <c r="A286" s="49">
        <f>'A) Base RI'!A287</f>
        <v>5903</v>
      </c>
      <c r="B286" s="351" t="str">
        <f>'A) Base RI'!B287</f>
        <v>Bioley-Magnoux</v>
      </c>
      <c r="C286" s="403">
        <v>102735.50322359994</v>
      </c>
      <c r="D286" s="403">
        <v>8655.0740067920851</v>
      </c>
      <c r="E286" s="404">
        <v>0</v>
      </c>
      <c r="F286" s="404">
        <v>0</v>
      </c>
      <c r="G286" s="404">
        <v>0</v>
      </c>
      <c r="H286" s="403">
        <f t="shared" si="60"/>
        <v>111390.57723039202</v>
      </c>
      <c r="I286" s="404">
        <v>6482.7722393822396</v>
      </c>
      <c r="J286" s="355">
        <f>'B) D RI'!U287</f>
        <v>5017.2132738095233</v>
      </c>
      <c r="K286" s="62">
        <f t="shared" si="61"/>
        <v>17.182552944511084</v>
      </c>
      <c r="L286" s="33">
        <f>'B) D RI'!S287</f>
        <v>72</v>
      </c>
      <c r="M286" s="465">
        <f t="shared" si="55"/>
        <v>54.817447055488913</v>
      </c>
      <c r="N286" s="457">
        <f>+'J) Plafonnement effort'!H285+'J) Plafonnement effort'!I285-'K) Plafonnement aide'!I285</f>
        <v>-25.849215758825899</v>
      </c>
      <c r="O286" s="145">
        <f t="shared" si="56"/>
        <v>28.968231296663014</v>
      </c>
      <c r="P286" s="47">
        <f t="shared" si="57"/>
        <v>0</v>
      </c>
      <c r="Q286" s="55">
        <f t="shared" si="63"/>
        <v>0</v>
      </c>
      <c r="R286" s="145">
        <f t="shared" si="58"/>
        <v>28.968231296663014</v>
      </c>
      <c r="S286" s="125">
        <f t="shared" si="59"/>
        <v>-43.031768703336986</v>
      </c>
      <c r="T286" s="144">
        <f t="shared" si="62"/>
        <v>0</v>
      </c>
      <c r="V286" s="12"/>
    </row>
    <row r="287" spans="1:22" x14ac:dyDescent="0.25">
      <c r="A287" s="49">
        <f>'A) Base RI'!A288</f>
        <v>5904</v>
      </c>
      <c r="B287" s="351" t="str">
        <f>'A) Base RI'!B288</f>
        <v>Chamblon</v>
      </c>
      <c r="C287" s="403">
        <v>349310.58205497119</v>
      </c>
      <c r="D287" s="403">
        <v>312008.90521760349</v>
      </c>
      <c r="E287" s="404">
        <v>0</v>
      </c>
      <c r="F287" s="404">
        <v>0</v>
      </c>
      <c r="G287" s="404">
        <v>0</v>
      </c>
      <c r="H287" s="403">
        <f t="shared" si="60"/>
        <v>661319.48727257468</v>
      </c>
      <c r="I287" s="404">
        <v>21977.410303030305</v>
      </c>
      <c r="J287" s="355">
        <f>'B) D RI'!U288</f>
        <v>21694.056363636359</v>
      </c>
      <c r="K287" s="62">
        <f t="shared" si="61"/>
        <v>30.090874136403148</v>
      </c>
      <c r="L287" s="33">
        <f>'B) D RI'!S288</f>
        <v>66</v>
      </c>
      <c r="M287" s="465">
        <f t="shared" si="55"/>
        <v>35.909125863596856</v>
      </c>
      <c r="N287" s="457">
        <f>+'J) Plafonnement effort'!H286+'J) Plafonnement effort'!I286-'K) Plafonnement aide'!I286</f>
        <v>25.264050951355387</v>
      </c>
      <c r="O287" s="145">
        <f t="shared" si="56"/>
        <v>61.173176814952242</v>
      </c>
      <c r="P287" s="47">
        <f t="shared" si="57"/>
        <v>0</v>
      </c>
      <c r="Q287" s="55">
        <f t="shared" si="63"/>
        <v>0</v>
      </c>
      <c r="R287" s="145">
        <f t="shared" si="58"/>
        <v>61.173176814952242</v>
      </c>
      <c r="S287" s="125">
        <f t="shared" si="59"/>
        <v>-4.8268231850477576</v>
      </c>
      <c r="T287" s="144">
        <f t="shared" si="62"/>
        <v>0</v>
      </c>
      <c r="V287" s="12"/>
    </row>
    <row r="288" spans="1:22" x14ac:dyDescent="0.25">
      <c r="A288" s="49">
        <f>'A) Base RI'!A289</f>
        <v>5905</v>
      </c>
      <c r="B288" s="351" t="str">
        <f>'A) Base RI'!B289</f>
        <v>Champvent</v>
      </c>
      <c r="C288" s="403">
        <v>524215.59171682061</v>
      </c>
      <c r="D288" s="403">
        <v>211032.53575112729</v>
      </c>
      <c r="E288" s="404">
        <v>0</v>
      </c>
      <c r="F288" s="404">
        <v>0</v>
      </c>
      <c r="G288" s="404">
        <v>0</v>
      </c>
      <c r="H288" s="403">
        <f t="shared" si="60"/>
        <v>735248.1274679479</v>
      </c>
      <c r="I288" s="404">
        <v>23661.341690140842</v>
      </c>
      <c r="J288" s="355">
        <f>'B) D RI'!U289</f>
        <v>21673.362816901412</v>
      </c>
      <c r="K288" s="62">
        <f t="shared" si="61"/>
        <v>31.073813864676556</v>
      </c>
      <c r="L288" s="33">
        <f>'B) D RI'!S289</f>
        <v>71</v>
      </c>
      <c r="M288" s="465">
        <f t="shared" si="55"/>
        <v>39.926186135323448</v>
      </c>
      <c r="N288" s="457">
        <f>+'J) Plafonnement effort'!H287+'J) Plafonnement effort'!I287-'K) Plafonnement aide'!I287</f>
        <v>13.535891485376762</v>
      </c>
      <c r="O288" s="145">
        <f t="shared" si="56"/>
        <v>53.462077620700214</v>
      </c>
      <c r="P288" s="47">
        <f t="shared" si="57"/>
        <v>0</v>
      </c>
      <c r="Q288" s="55">
        <f t="shared" si="63"/>
        <v>0</v>
      </c>
      <c r="R288" s="145">
        <f t="shared" si="58"/>
        <v>53.462077620700214</v>
      </c>
      <c r="S288" s="125">
        <f t="shared" si="59"/>
        <v>-17.537922379299786</v>
      </c>
      <c r="T288" s="144">
        <f t="shared" si="62"/>
        <v>0</v>
      </c>
      <c r="V288" s="12"/>
    </row>
    <row r="289" spans="1:22" x14ac:dyDescent="0.25">
      <c r="A289" s="49">
        <f>'A) Base RI'!A290</f>
        <v>5907</v>
      </c>
      <c r="B289" s="351" t="str">
        <f>'A) Base RI'!B290</f>
        <v>Chavannes-le-Chêne</v>
      </c>
      <c r="C289" s="403">
        <v>144803.43237457945</v>
      </c>
      <c r="D289" s="403">
        <v>25981.069086945907</v>
      </c>
      <c r="E289" s="404">
        <v>0</v>
      </c>
      <c r="F289" s="404">
        <v>0</v>
      </c>
      <c r="G289" s="404">
        <v>0</v>
      </c>
      <c r="H289" s="403">
        <f t="shared" si="60"/>
        <v>170784.50146152536</v>
      </c>
      <c r="I289" s="404">
        <v>9481.5466666666634</v>
      </c>
      <c r="J289" s="355">
        <f>'B) D RI'!U290</f>
        <v>9891.0456000000013</v>
      </c>
      <c r="K289" s="62">
        <f t="shared" si="61"/>
        <v>18.012304053929888</v>
      </c>
      <c r="L289" s="33">
        <f>'B) D RI'!S290</f>
        <v>75</v>
      </c>
      <c r="M289" s="465">
        <f t="shared" si="55"/>
        <v>56.987695946070112</v>
      </c>
      <c r="N289" s="457">
        <f>+'J) Plafonnement effort'!H288+'J) Plafonnement effort'!I288-'K) Plafonnement aide'!I288</f>
        <v>10.670608561458176</v>
      </c>
      <c r="O289" s="145">
        <f t="shared" si="56"/>
        <v>67.658304507528285</v>
      </c>
      <c r="P289" s="47">
        <f t="shared" si="57"/>
        <v>0</v>
      </c>
      <c r="Q289" s="55">
        <f t="shared" si="63"/>
        <v>0</v>
      </c>
      <c r="R289" s="145">
        <f t="shared" si="58"/>
        <v>67.658304507528285</v>
      </c>
      <c r="S289" s="125">
        <f t="shared" si="59"/>
        <v>-7.3416954924717146</v>
      </c>
      <c r="T289" s="144">
        <f t="shared" si="62"/>
        <v>0</v>
      </c>
      <c r="V289" s="12"/>
    </row>
    <row r="290" spans="1:22" x14ac:dyDescent="0.25">
      <c r="A290" s="49">
        <f>'A) Base RI'!A291</f>
        <v>5908</v>
      </c>
      <c r="B290" s="351" t="str">
        <f>'A) Base RI'!B291</f>
        <v>Chêne-Pâquier</v>
      </c>
      <c r="C290" s="403">
        <v>51924.688683510503</v>
      </c>
      <c r="D290" s="403">
        <v>-46448.09879836702</v>
      </c>
      <c r="E290" s="404">
        <v>0</v>
      </c>
      <c r="F290" s="404">
        <v>0</v>
      </c>
      <c r="G290" s="404">
        <v>0</v>
      </c>
      <c r="H290" s="403">
        <f t="shared" si="60"/>
        <v>5476.5898851434831</v>
      </c>
      <c r="I290" s="404">
        <v>3375.4056962025325</v>
      </c>
      <c r="J290" s="355">
        <f>'B) D RI'!U291</f>
        <v>6502.4863291139245</v>
      </c>
      <c r="K290" s="62">
        <f t="shared" si="61"/>
        <v>1.6224982648174315</v>
      </c>
      <c r="L290" s="33">
        <f>'B) D RI'!S291</f>
        <v>79</v>
      </c>
      <c r="M290" s="465">
        <f>L290-K290</f>
        <v>77.377501735182562</v>
      </c>
      <c r="N290" s="457">
        <f>+'J) Plafonnement effort'!H289+'J) Plafonnement effort'!I289-'K) Plafonnement aide'!I289</f>
        <v>27.22312018273324</v>
      </c>
      <c r="O290" s="145">
        <f t="shared" si="56"/>
        <v>104.6006219179158</v>
      </c>
      <c r="P290" s="47">
        <f t="shared" si="57"/>
        <v>-10.718708006089471</v>
      </c>
      <c r="Q290" s="55">
        <f t="shared" si="63"/>
        <v>-69698.252275360763</v>
      </c>
      <c r="R290" s="145">
        <f t="shared" si="58"/>
        <v>93.881913911826331</v>
      </c>
      <c r="S290" s="125">
        <f t="shared" si="59"/>
        <v>14.881913911826331</v>
      </c>
      <c r="T290" s="144">
        <f t="shared" si="62"/>
        <v>0</v>
      </c>
      <c r="V290" s="12"/>
    </row>
    <row r="291" spans="1:22" x14ac:dyDescent="0.25">
      <c r="A291" s="49">
        <f>'A) Base RI'!A292</f>
        <v>5909</v>
      </c>
      <c r="B291" s="351" t="str">
        <f>'A) Base RI'!B292</f>
        <v>Cheseaux-Noréaz</v>
      </c>
      <c r="C291" s="403">
        <v>586823.87853651529</v>
      </c>
      <c r="D291" s="403">
        <v>520888.34346467338</v>
      </c>
      <c r="E291" s="404">
        <v>0</v>
      </c>
      <c r="F291" s="404">
        <v>0</v>
      </c>
      <c r="G291" s="404">
        <v>0</v>
      </c>
      <c r="H291" s="403">
        <f t="shared" si="60"/>
        <v>1107712.2220011887</v>
      </c>
      <c r="I291" s="404">
        <v>32349.342000000001</v>
      </c>
      <c r="J291" s="355">
        <f>'B) D RI'!U292</f>
        <v>39259.116417910453</v>
      </c>
      <c r="K291" s="62">
        <f t="shared" si="61"/>
        <v>34.242187120875244</v>
      </c>
      <c r="L291" s="33">
        <f>'B) D RI'!S292</f>
        <v>67</v>
      </c>
      <c r="M291" s="465">
        <f t="shared" si="55"/>
        <v>32.757812879124756</v>
      </c>
      <c r="N291" s="457">
        <f>+'J) Plafonnement effort'!H290+'J) Plafonnement effort'!I290-'K) Plafonnement aide'!I290</f>
        <v>30.829025717042434</v>
      </c>
      <c r="O291" s="145">
        <f t="shared" si="56"/>
        <v>63.58683859616719</v>
      </c>
      <c r="P291" s="47">
        <f t="shared" si="57"/>
        <v>0</v>
      </c>
      <c r="Q291" s="55">
        <f t="shared" si="63"/>
        <v>0</v>
      </c>
      <c r="R291" s="145">
        <f t="shared" si="58"/>
        <v>63.58683859616719</v>
      </c>
      <c r="S291" s="125">
        <f t="shared" si="59"/>
        <v>-3.4131614038328095</v>
      </c>
      <c r="T291" s="144">
        <f t="shared" si="62"/>
        <v>0</v>
      </c>
      <c r="V291" s="12"/>
    </row>
    <row r="292" spans="1:22" x14ac:dyDescent="0.25">
      <c r="A292" s="49">
        <f>'A) Base RI'!A293</f>
        <v>5910</v>
      </c>
      <c r="B292" s="351" t="str">
        <f>'A) Base RI'!B293</f>
        <v>Cronay</v>
      </c>
      <c r="C292" s="403">
        <v>226686.41271492222</v>
      </c>
      <c r="D292" s="403">
        <v>-52161.656123398512</v>
      </c>
      <c r="E292" s="404">
        <v>0</v>
      </c>
      <c r="F292" s="404">
        <v>0</v>
      </c>
      <c r="G292" s="404">
        <v>0</v>
      </c>
      <c r="H292" s="403">
        <f t="shared" si="60"/>
        <v>174524.75659152371</v>
      </c>
      <c r="I292" s="404">
        <v>10200.577848101264</v>
      </c>
      <c r="J292" s="355">
        <f>'B) D RI'!U293</f>
        <v>9976.0020779220758</v>
      </c>
      <c r="K292" s="62">
        <f t="shared" si="61"/>
        <v>17.109300981807589</v>
      </c>
      <c r="L292" s="33">
        <f>'B) D RI'!S293</f>
        <v>77</v>
      </c>
      <c r="M292" s="465">
        <f t="shared" ref="M292:M314" si="64">L292-K292</f>
        <v>59.890699018192407</v>
      </c>
      <c r="N292" s="457">
        <f>+'J) Plafonnement effort'!H291+'J) Plafonnement effort'!I291-'K) Plafonnement aide'!I291</f>
        <v>-3.6191439106476597</v>
      </c>
      <c r="O292" s="145">
        <f t="shared" si="56"/>
        <v>56.271555107544749</v>
      </c>
      <c r="P292" s="47">
        <f t="shared" si="57"/>
        <v>0</v>
      </c>
      <c r="Q292" s="55">
        <f t="shared" si="63"/>
        <v>0</v>
      </c>
      <c r="R292" s="145">
        <f t="shared" si="58"/>
        <v>56.271555107544749</v>
      </c>
      <c r="S292" s="125">
        <f t="shared" si="59"/>
        <v>-20.728444892455251</v>
      </c>
      <c r="T292" s="144">
        <f t="shared" si="62"/>
        <v>0</v>
      </c>
      <c r="V292" s="12"/>
    </row>
    <row r="293" spans="1:22" x14ac:dyDescent="0.25">
      <c r="A293" s="49">
        <f>'A) Base RI'!A294</f>
        <v>5911</v>
      </c>
      <c r="B293" s="351" t="str">
        <f>'A) Base RI'!B294</f>
        <v>Cuarny</v>
      </c>
      <c r="C293" s="403">
        <v>107482.91467349989</v>
      </c>
      <c r="D293" s="403">
        <v>42112.325316297269</v>
      </c>
      <c r="E293" s="404">
        <v>0</v>
      </c>
      <c r="F293" s="404">
        <v>0</v>
      </c>
      <c r="G293" s="404">
        <v>0</v>
      </c>
      <c r="H293" s="403">
        <f t="shared" si="60"/>
        <v>149595.23998979718</v>
      </c>
      <c r="I293" s="404">
        <v>7836.9853164556971</v>
      </c>
      <c r="J293" s="355">
        <f>'B) D RI'!U294</f>
        <v>6939.4670129870128</v>
      </c>
      <c r="K293" s="62">
        <f t="shared" si="61"/>
        <v>19.088365481007706</v>
      </c>
      <c r="L293" s="33">
        <f>'B) D RI'!S294</f>
        <v>77</v>
      </c>
      <c r="M293" s="465">
        <f t="shared" si="64"/>
        <v>57.911634518992294</v>
      </c>
      <c r="N293" s="457">
        <f>+'J) Plafonnement effort'!H292+'J) Plafonnement effort'!I292-'K) Plafonnement aide'!I292</f>
        <v>12.415571099198573</v>
      </c>
      <c r="O293" s="145">
        <f t="shared" si="56"/>
        <v>70.327205618190874</v>
      </c>
      <c r="P293" s="47">
        <f t="shared" si="57"/>
        <v>0</v>
      </c>
      <c r="Q293" s="55">
        <f t="shared" si="63"/>
        <v>0</v>
      </c>
      <c r="R293" s="145">
        <f t="shared" si="58"/>
        <v>70.327205618190874</v>
      </c>
      <c r="S293" s="125">
        <f t="shared" si="59"/>
        <v>-6.6727943818091262</v>
      </c>
      <c r="T293" s="144">
        <f t="shared" si="62"/>
        <v>0</v>
      </c>
      <c r="V293" s="12"/>
    </row>
    <row r="294" spans="1:22" x14ac:dyDescent="0.25">
      <c r="A294" s="49">
        <f>'A) Base RI'!A295</f>
        <v>5912</v>
      </c>
      <c r="B294" s="351" t="str">
        <f>'A) Base RI'!B295</f>
        <v>Démoret</v>
      </c>
      <c r="C294" s="403">
        <v>58257.568193833831</v>
      </c>
      <c r="D294" s="403">
        <v>-28221.860710228822</v>
      </c>
      <c r="E294" s="404">
        <v>0</v>
      </c>
      <c r="F294" s="404">
        <v>0</v>
      </c>
      <c r="G294" s="404">
        <v>0</v>
      </c>
      <c r="H294" s="403">
        <f t="shared" si="60"/>
        <v>30035.707483605009</v>
      </c>
      <c r="I294" s="404">
        <v>3965.4814814814822</v>
      </c>
      <c r="J294" s="355">
        <f>'B) D RI'!U295</f>
        <v>4070.6311111111104</v>
      </c>
      <c r="K294" s="62">
        <f t="shared" si="61"/>
        <v>7.5742901899478374</v>
      </c>
      <c r="L294" s="33">
        <f>'B) D RI'!S295</f>
        <v>81</v>
      </c>
      <c r="M294" s="465">
        <f t="shared" si="64"/>
        <v>73.425709810052169</v>
      </c>
      <c r="N294" s="457">
        <f>+'J) Plafonnement effort'!H293+'J) Plafonnement effort'!I293-'K) Plafonnement aide'!I293</f>
        <v>2.2888180320002625</v>
      </c>
      <c r="O294" s="145">
        <f t="shared" si="56"/>
        <v>75.714527842052433</v>
      </c>
      <c r="P294" s="47">
        <f t="shared" si="57"/>
        <v>0</v>
      </c>
      <c r="Q294" s="55">
        <f t="shared" si="63"/>
        <v>0</v>
      </c>
      <c r="R294" s="145">
        <f t="shared" si="58"/>
        <v>75.714527842052433</v>
      </c>
      <c r="S294" s="125">
        <f t="shared" si="59"/>
        <v>-5.2854721579475665</v>
      </c>
      <c r="T294" s="144">
        <f t="shared" si="62"/>
        <v>0</v>
      </c>
      <c r="V294" s="12"/>
    </row>
    <row r="295" spans="1:22" x14ac:dyDescent="0.25">
      <c r="A295" s="49">
        <f>'A) Base RI'!A296</f>
        <v>5913</v>
      </c>
      <c r="B295" s="351" t="str">
        <f>'A) Base RI'!B296</f>
        <v>Donneloye</v>
      </c>
      <c r="C295" s="403">
        <v>400404.90661387151</v>
      </c>
      <c r="D295" s="403">
        <v>-33688.776539580896</v>
      </c>
      <c r="E295" s="404">
        <v>0</v>
      </c>
      <c r="F295" s="404">
        <v>0</v>
      </c>
      <c r="G295" s="404">
        <v>0</v>
      </c>
      <c r="H295" s="403">
        <f t="shared" si="60"/>
        <v>366716.13007429062</v>
      </c>
      <c r="I295" s="404">
        <v>21603.148082191776</v>
      </c>
      <c r="J295" s="355">
        <f>'B) D RI'!U296</f>
        <v>19880.828493150682</v>
      </c>
      <c r="K295" s="62">
        <f t="shared" si="61"/>
        <v>16.975124582726323</v>
      </c>
      <c r="L295" s="33">
        <f>'B) D RI'!S296</f>
        <v>73</v>
      </c>
      <c r="M295" s="465">
        <f t="shared" si="64"/>
        <v>56.024875417273677</v>
      </c>
      <c r="N295" s="457">
        <f>+'J) Plafonnement effort'!H294+'J) Plafonnement effort'!I294-'K) Plafonnement aide'!I294</f>
        <v>3.7806479828605002</v>
      </c>
      <c r="O295" s="145">
        <f t="shared" si="56"/>
        <v>59.805523400134177</v>
      </c>
      <c r="P295" s="47">
        <f t="shared" si="57"/>
        <v>0</v>
      </c>
      <c r="Q295" s="55">
        <f t="shared" si="63"/>
        <v>0</v>
      </c>
      <c r="R295" s="145">
        <f t="shared" si="58"/>
        <v>59.805523400134177</v>
      </c>
      <c r="S295" s="125">
        <f t="shared" si="59"/>
        <v>-13.194476599865823</v>
      </c>
      <c r="T295" s="144">
        <f t="shared" si="62"/>
        <v>0</v>
      </c>
      <c r="V295" s="12"/>
    </row>
    <row r="296" spans="1:22" x14ac:dyDescent="0.25">
      <c r="A296" s="49">
        <f>'A) Base RI'!A297</f>
        <v>5914</v>
      </c>
      <c r="B296" s="351" t="str">
        <f>'A) Base RI'!B297</f>
        <v>Ependes</v>
      </c>
      <c r="C296" s="403">
        <v>159845.17356497375</v>
      </c>
      <c r="D296" s="403">
        <v>8126.7788560951594</v>
      </c>
      <c r="E296" s="404">
        <v>0</v>
      </c>
      <c r="F296" s="404">
        <v>0</v>
      </c>
      <c r="G296" s="404">
        <v>0</v>
      </c>
      <c r="H296" s="403">
        <f t="shared" si="60"/>
        <v>167971.95242106891</v>
      </c>
      <c r="I296" s="404">
        <v>10115.447866666666</v>
      </c>
      <c r="J296" s="355">
        <f>'B) D RI'!U297</f>
        <v>10662.074965986394</v>
      </c>
      <c r="K296" s="62">
        <f t="shared" si="61"/>
        <v>16.605488420793034</v>
      </c>
      <c r="L296" s="33">
        <f>'B) D RI'!S297</f>
        <v>73.5</v>
      </c>
      <c r="M296" s="465">
        <f t="shared" si="64"/>
        <v>56.894511579206963</v>
      </c>
      <c r="N296" s="457">
        <f>+'J) Plafonnement effort'!H295+'J) Plafonnement effort'!I295-'K) Plafonnement aide'!I295</f>
        <v>5.7842230564876047</v>
      </c>
      <c r="O296" s="145">
        <f t="shared" si="56"/>
        <v>62.678734635694568</v>
      </c>
      <c r="P296" s="47">
        <f t="shared" si="57"/>
        <v>0</v>
      </c>
      <c r="Q296" s="55">
        <f t="shared" si="63"/>
        <v>0</v>
      </c>
      <c r="R296" s="145">
        <f t="shared" si="58"/>
        <v>62.678734635694568</v>
      </c>
      <c r="S296" s="125">
        <f t="shared" si="59"/>
        <v>-10.821265364305432</v>
      </c>
      <c r="T296" s="144">
        <f t="shared" si="62"/>
        <v>0</v>
      </c>
      <c r="V296" s="12"/>
    </row>
    <row r="297" spans="1:22" x14ac:dyDescent="0.25">
      <c r="A297" s="49">
        <f>'A) Base RI'!A298</f>
        <v>5919</v>
      </c>
      <c r="B297" s="351" t="str">
        <f>'A) Base RI'!B298</f>
        <v>Mathod</v>
      </c>
      <c r="C297" s="403">
        <v>287394.81815006572</v>
      </c>
      <c r="D297" s="403">
        <v>51491.544452363392</v>
      </c>
      <c r="E297" s="404">
        <v>0</v>
      </c>
      <c r="F297" s="404">
        <v>0</v>
      </c>
      <c r="G297" s="404">
        <v>0</v>
      </c>
      <c r="H297" s="403">
        <f t="shared" si="60"/>
        <v>338886.36260242912</v>
      </c>
      <c r="I297" s="404">
        <v>17475.442962962959</v>
      </c>
      <c r="J297" s="355">
        <f>'B) D RI'!U298</f>
        <v>21565.598078703704</v>
      </c>
      <c r="K297" s="62">
        <f t="shared" si="61"/>
        <v>19.392147215990853</v>
      </c>
      <c r="L297" s="33">
        <f>'B) D RI'!S298</f>
        <v>72</v>
      </c>
      <c r="M297" s="465">
        <f t="shared" si="64"/>
        <v>52.607852784009147</v>
      </c>
      <c r="N297" s="457">
        <f>+'J) Plafonnement effort'!H296+'J) Plafonnement effort'!I296-'K) Plafonnement aide'!I296</f>
        <v>9.8122960627173459</v>
      </c>
      <c r="O297" s="145">
        <f t="shared" si="56"/>
        <v>62.420148846726491</v>
      </c>
      <c r="P297" s="47">
        <f t="shared" si="57"/>
        <v>0</v>
      </c>
      <c r="Q297" s="55">
        <f t="shared" si="63"/>
        <v>0</v>
      </c>
      <c r="R297" s="145">
        <f t="shared" si="58"/>
        <v>62.420148846726491</v>
      </c>
      <c r="S297" s="125">
        <f t="shared" si="59"/>
        <v>-9.5798511532735091</v>
      </c>
      <c r="T297" s="144">
        <f t="shared" si="62"/>
        <v>0</v>
      </c>
      <c r="V297" s="12"/>
    </row>
    <row r="298" spans="1:22" x14ac:dyDescent="0.25">
      <c r="A298" s="49">
        <f>'A) Base RI'!A299</f>
        <v>5921</v>
      </c>
      <c r="B298" s="351" t="str">
        <f>'A) Base RI'!B299</f>
        <v>Molondin</v>
      </c>
      <c r="C298" s="403">
        <v>104839.66661120014</v>
      </c>
      <c r="D298" s="403">
        <v>-63427.263265973859</v>
      </c>
      <c r="E298" s="404">
        <v>0</v>
      </c>
      <c r="F298" s="404">
        <v>0</v>
      </c>
      <c r="G298" s="404">
        <v>0</v>
      </c>
      <c r="H298" s="403">
        <f t="shared" si="60"/>
        <v>41412.403345226281</v>
      </c>
      <c r="I298" s="404">
        <v>5665.6146913580242</v>
      </c>
      <c r="J298" s="355">
        <f>'B) D RI'!U299</f>
        <v>5675.8933333333334</v>
      </c>
      <c r="K298" s="62">
        <f t="shared" si="61"/>
        <v>7.3094281205522469</v>
      </c>
      <c r="L298" s="33">
        <f>'B) D RI'!S299</f>
        <v>81</v>
      </c>
      <c r="M298" s="465">
        <f t="shared" si="64"/>
        <v>73.690571879447759</v>
      </c>
      <c r="N298" s="457">
        <f>+'J) Plafonnement effort'!H297+'J) Plafonnement effort'!I297-'K) Plafonnement aide'!I297</f>
        <v>-14.134609236755573</v>
      </c>
      <c r="O298" s="145">
        <f t="shared" si="56"/>
        <v>59.555962642692187</v>
      </c>
      <c r="P298" s="47">
        <f t="shared" si="57"/>
        <v>0</v>
      </c>
      <c r="Q298" s="55">
        <f t="shared" si="63"/>
        <v>0</v>
      </c>
      <c r="R298" s="145">
        <f t="shared" si="58"/>
        <v>59.555962642692187</v>
      </c>
      <c r="S298" s="125">
        <f t="shared" si="59"/>
        <v>-21.444037357307813</v>
      </c>
      <c r="T298" s="144">
        <f t="shared" si="62"/>
        <v>0</v>
      </c>
      <c r="V298" s="12"/>
    </row>
    <row r="299" spans="1:22" x14ac:dyDescent="0.25">
      <c r="A299" s="49">
        <f>'A) Base RI'!A300</f>
        <v>5922</v>
      </c>
      <c r="B299" s="351" t="str">
        <f>'A) Base RI'!B300</f>
        <v>Montagny-près-Yverdon</v>
      </c>
      <c r="C299" s="403">
        <v>747041.01154707849</v>
      </c>
      <c r="D299" s="403">
        <v>658794.44598699093</v>
      </c>
      <c r="E299" s="404">
        <v>0</v>
      </c>
      <c r="F299" s="404">
        <v>0</v>
      </c>
      <c r="G299" s="404">
        <v>0</v>
      </c>
      <c r="H299" s="403">
        <f t="shared" si="60"/>
        <v>1405835.4575340694</v>
      </c>
      <c r="I299" s="404">
        <v>37619.371576923077</v>
      </c>
      <c r="J299" s="355">
        <f>'B) D RI'!U300</f>
        <v>33326.398149606292</v>
      </c>
      <c r="K299" s="62">
        <f t="shared" si="61"/>
        <v>37.369987817565082</v>
      </c>
      <c r="L299" s="33">
        <f>'B) D RI'!S300</f>
        <v>63.5</v>
      </c>
      <c r="M299" s="465">
        <f t="shared" si="64"/>
        <v>26.130012182434918</v>
      </c>
      <c r="N299" s="457">
        <f>+'J) Plafonnement effort'!H298+'J) Plafonnement effort'!I298-'K) Plafonnement aide'!I298</f>
        <v>24.122788763961207</v>
      </c>
      <c r="O299" s="145">
        <f t="shared" si="56"/>
        <v>50.252800946396121</v>
      </c>
      <c r="P299" s="47">
        <f t="shared" si="57"/>
        <v>0</v>
      </c>
      <c r="Q299" s="55">
        <f t="shared" si="63"/>
        <v>0</v>
      </c>
      <c r="R299" s="145">
        <f t="shared" si="58"/>
        <v>50.252800946396121</v>
      </c>
      <c r="S299" s="125">
        <f t="shared" si="59"/>
        <v>-13.247199053603879</v>
      </c>
      <c r="T299" s="144">
        <f t="shared" si="62"/>
        <v>0</v>
      </c>
      <c r="V299" s="12"/>
    </row>
    <row r="300" spans="1:22" x14ac:dyDescent="0.25">
      <c r="A300" s="49">
        <f>'A) Base RI'!A301</f>
        <v>5923</v>
      </c>
      <c r="B300" s="351" t="str">
        <f>'A) Base RI'!B301</f>
        <v>Oppens</v>
      </c>
      <c r="C300" s="403">
        <v>93606.158152203527</v>
      </c>
      <c r="D300" s="403">
        <v>-24371.043890447138</v>
      </c>
      <c r="E300" s="404">
        <v>0</v>
      </c>
      <c r="F300" s="404">
        <v>0</v>
      </c>
      <c r="G300" s="404">
        <v>0</v>
      </c>
      <c r="H300" s="403">
        <f t="shared" si="60"/>
        <v>69235.114261756389</v>
      </c>
      <c r="I300" s="404">
        <v>5399.502592592592</v>
      </c>
      <c r="J300" s="355">
        <f>'B) D RI'!U301</f>
        <v>4799.240617283951</v>
      </c>
      <c r="K300" s="62">
        <f t="shared" si="61"/>
        <v>12.822498568060301</v>
      </c>
      <c r="L300" s="33">
        <f>'B) D RI'!S301</f>
        <v>81</v>
      </c>
      <c r="M300" s="465">
        <f t="shared" si="64"/>
        <v>68.177501431939703</v>
      </c>
      <c r="N300" s="457">
        <f>+'J) Plafonnement effort'!H299+'J) Plafonnement effort'!I299-'K) Plafonnement aide'!I299</f>
        <v>-11.608034751492866</v>
      </c>
      <c r="O300" s="145">
        <f t="shared" si="56"/>
        <v>56.569466680446837</v>
      </c>
      <c r="P300" s="47">
        <f t="shared" si="57"/>
        <v>0</v>
      </c>
      <c r="Q300" s="55">
        <f t="shared" si="63"/>
        <v>0</v>
      </c>
      <c r="R300" s="145">
        <f t="shared" si="58"/>
        <v>56.569466680446837</v>
      </c>
      <c r="S300" s="125">
        <f t="shared" si="59"/>
        <v>-24.430533319553163</v>
      </c>
      <c r="T300" s="144">
        <f t="shared" si="62"/>
        <v>0</v>
      </c>
      <c r="V300" s="12"/>
    </row>
    <row r="301" spans="1:22" x14ac:dyDescent="0.25">
      <c r="A301" s="49">
        <f>'A) Base RI'!A302</f>
        <v>5924</v>
      </c>
      <c r="B301" s="351" t="str">
        <f>'A) Base RI'!B302</f>
        <v>Orges</v>
      </c>
      <c r="C301" s="403">
        <v>222774.89730027039</v>
      </c>
      <c r="D301" s="403">
        <v>115637.1267969508</v>
      </c>
      <c r="E301" s="404">
        <v>0</v>
      </c>
      <c r="F301" s="404">
        <v>0</v>
      </c>
      <c r="G301" s="404">
        <v>0</v>
      </c>
      <c r="H301" s="403">
        <f t="shared" si="60"/>
        <v>338412.02409722121</v>
      </c>
      <c r="I301" s="404">
        <v>11911.353243243244</v>
      </c>
      <c r="J301" s="355">
        <f>'B) D RI'!U302</f>
        <v>12525.425270270271</v>
      </c>
      <c r="K301" s="62">
        <f t="shared" si="61"/>
        <v>28.410879703293713</v>
      </c>
      <c r="L301" s="33">
        <f>'B) D RI'!S302</f>
        <v>74</v>
      </c>
      <c r="M301" s="465">
        <f t="shared" si="64"/>
        <v>45.589120296706284</v>
      </c>
      <c r="N301" s="457">
        <f>+'J) Plafonnement effort'!H300+'J) Plafonnement effort'!I300-'K) Plafonnement aide'!I300</f>
        <v>22.268634353950244</v>
      </c>
      <c r="O301" s="145">
        <f t="shared" si="56"/>
        <v>67.857754650656531</v>
      </c>
      <c r="P301" s="47">
        <f t="shared" si="57"/>
        <v>0</v>
      </c>
      <c r="Q301" s="55">
        <f t="shared" si="63"/>
        <v>0</v>
      </c>
      <c r="R301" s="145">
        <f t="shared" si="58"/>
        <v>67.857754650656531</v>
      </c>
      <c r="S301" s="125">
        <f t="shared" si="59"/>
        <v>-6.1422453493434688</v>
      </c>
      <c r="T301" s="144">
        <f t="shared" si="62"/>
        <v>0</v>
      </c>
      <c r="V301" s="12"/>
    </row>
    <row r="302" spans="1:22" x14ac:dyDescent="0.25">
      <c r="A302" s="49">
        <f>'A) Base RI'!A303</f>
        <v>5925</v>
      </c>
      <c r="B302" s="351" t="str">
        <f>'A) Base RI'!B303</f>
        <v>Orzens</v>
      </c>
      <c r="C302" s="403">
        <v>173932.65511753311</v>
      </c>
      <c r="D302" s="403">
        <v>-29177.722279884401</v>
      </c>
      <c r="E302" s="404">
        <v>0</v>
      </c>
      <c r="F302" s="404">
        <v>0</v>
      </c>
      <c r="G302" s="404">
        <v>0</v>
      </c>
      <c r="H302" s="403">
        <f t="shared" si="60"/>
        <v>144754.93283764872</v>
      </c>
      <c r="I302" s="404">
        <v>5348.3883544303808</v>
      </c>
      <c r="J302" s="355">
        <f>'B) D RI'!U303</f>
        <v>5879.4616455696196</v>
      </c>
      <c r="K302" s="62">
        <f t="shared" si="61"/>
        <v>27.065149956386357</v>
      </c>
      <c r="L302" s="33">
        <f>'B) D RI'!S303</f>
        <v>79</v>
      </c>
      <c r="M302" s="465">
        <f t="shared" si="64"/>
        <v>51.934850043613643</v>
      </c>
      <c r="N302" s="457">
        <f>+'J) Plafonnement effort'!H301+'J) Plafonnement effort'!I301-'K) Plafonnement aide'!I301</f>
        <v>10.284776164608333</v>
      </c>
      <c r="O302" s="145">
        <f t="shared" si="56"/>
        <v>62.219626208221975</v>
      </c>
      <c r="P302" s="47">
        <f t="shared" si="57"/>
        <v>0</v>
      </c>
      <c r="Q302" s="55">
        <f t="shared" si="63"/>
        <v>0</v>
      </c>
      <c r="R302" s="145">
        <f t="shared" si="58"/>
        <v>62.219626208221975</v>
      </c>
      <c r="S302" s="125">
        <f t="shared" si="59"/>
        <v>-16.780373791778025</v>
      </c>
      <c r="T302" s="144">
        <f t="shared" si="62"/>
        <v>0</v>
      </c>
      <c r="V302" s="12"/>
    </row>
    <row r="303" spans="1:22" x14ac:dyDescent="0.25">
      <c r="A303" s="49">
        <f>'A) Base RI'!A304</f>
        <v>5926</v>
      </c>
      <c r="B303" s="351" t="str">
        <f>'A) Base RI'!B304</f>
        <v>Pomy</v>
      </c>
      <c r="C303" s="403">
        <v>452181.22679011256</v>
      </c>
      <c r="D303" s="403">
        <v>256118.87882049294</v>
      </c>
      <c r="E303" s="404">
        <v>0</v>
      </c>
      <c r="F303" s="404">
        <v>0</v>
      </c>
      <c r="G303" s="404">
        <v>0</v>
      </c>
      <c r="H303" s="403">
        <f t="shared" si="60"/>
        <v>708300.10561060556</v>
      </c>
      <c r="I303" s="404">
        <v>27563.954929577467</v>
      </c>
      <c r="J303" s="355">
        <f>'B) D RI'!U304</f>
        <v>27363.186197183099</v>
      </c>
      <c r="K303" s="62">
        <f t="shared" si="61"/>
        <v>25.69660657986946</v>
      </c>
      <c r="L303" s="33">
        <f>'B) D RI'!S304</f>
        <v>71</v>
      </c>
      <c r="M303" s="465">
        <f t="shared" si="64"/>
        <v>45.30339342013054</v>
      </c>
      <c r="N303" s="457">
        <f>+'J) Plafonnement effort'!H302+'J) Plafonnement effort'!I302-'K) Plafonnement aide'!I302</f>
        <v>20.125248826929852</v>
      </c>
      <c r="O303" s="145">
        <f t="shared" si="56"/>
        <v>65.428642247060395</v>
      </c>
      <c r="P303" s="47">
        <f t="shared" si="57"/>
        <v>0</v>
      </c>
      <c r="Q303" s="55">
        <f t="shared" si="63"/>
        <v>0</v>
      </c>
      <c r="R303" s="145">
        <f t="shared" si="58"/>
        <v>65.428642247060395</v>
      </c>
      <c r="S303" s="125">
        <f t="shared" si="59"/>
        <v>-5.5713577529396048</v>
      </c>
      <c r="T303" s="144">
        <f t="shared" si="62"/>
        <v>0</v>
      </c>
      <c r="V303" s="12"/>
    </row>
    <row r="304" spans="1:22" x14ac:dyDescent="0.25">
      <c r="A304" s="49">
        <f>'A) Base RI'!A305</f>
        <v>5928</v>
      </c>
      <c r="B304" s="351" t="str">
        <f>'A) Base RI'!B305</f>
        <v>Rovray</v>
      </c>
      <c r="C304" s="403">
        <v>116876.04460347054</v>
      </c>
      <c r="D304" s="403">
        <v>39531.218146684536</v>
      </c>
      <c r="E304" s="404">
        <v>0</v>
      </c>
      <c r="F304" s="404">
        <v>0</v>
      </c>
      <c r="G304" s="404">
        <v>0</v>
      </c>
      <c r="H304" s="403">
        <f t="shared" si="60"/>
        <v>156407.26275015506</v>
      </c>
      <c r="I304" s="404">
        <v>6002.0193150684927</v>
      </c>
      <c r="J304" s="355">
        <f>'B) D RI'!U305</f>
        <v>5563.4060139860139</v>
      </c>
      <c r="K304" s="62">
        <f t="shared" si="61"/>
        <v>26.059106867164456</v>
      </c>
      <c r="L304" s="33">
        <f>'B) D RI'!S305</f>
        <v>71.5</v>
      </c>
      <c r="M304" s="465">
        <f t="shared" si="64"/>
        <v>45.440893132835541</v>
      </c>
      <c r="N304" s="457">
        <f>+'J) Plafonnement effort'!H303+'J) Plafonnement effort'!I303-'K) Plafonnement aide'!I303</f>
        <v>12.410848607392438</v>
      </c>
      <c r="O304" s="145">
        <f t="shared" si="56"/>
        <v>57.851741740227979</v>
      </c>
      <c r="P304" s="47">
        <f t="shared" si="57"/>
        <v>0</v>
      </c>
      <c r="Q304" s="55">
        <f t="shared" si="63"/>
        <v>0</v>
      </c>
      <c r="R304" s="145">
        <f t="shared" si="58"/>
        <v>57.851741740227979</v>
      </c>
      <c r="S304" s="125">
        <f t="shared" si="59"/>
        <v>-13.648258259772021</v>
      </c>
      <c r="T304" s="144">
        <f t="shared" si="62"/>
        <v>0</v>
      </c>
      <c r="V304" s="12"/>
    </row>
    <row r="305" spans="1:22" x14ac:dyDescent="0.25">
      <c r="A305" s="49">
        <f>'A) Base RI'!A306</f>
        <v>5929</v>
      </c>
      <c r="B305" s="351" t="str">
        <f>'A) Base RI'!B306</f>
        <v>Suchy</v>
      </c>
      <c r="C305" s="403">
        <v>359492.71739480132</v>
      </c>
      <c r="D305" s="403">
        <v>9381.6688808439649</v>
      </c>
      <c r="E305" s="404">
        <v>0</v>
      </c>
      <c r="F305" s="404">
        <v>0</v>
      </c>
      <c r="G305" s="404">
        <v>0</v>
      </c>
      <c r="H305" s="403">
        <f t="shared" si="60"/>
        <v>368874.38627564529</v>
      </c>
      <c r="I305" s="404">
        <v>17258.460214285715</v>
      </c>
      <c r="J305" s="355">
        <f>'B) D RI'!U306</f>
        <v>19827.403178571429</v>
      </c>
      <c r="K305" s="62">
        <f t="shared" si="61"/>
        <v>21.373539799935859</v>
      </c>
      <c r="L305" s="33">
        <f>'B) D RI'!S306</f>
        <v>70</v>
      </c>
      <c r="M305" s="465">
        <f t="shared" si="64"/>
        <v>48.626460200064145</v>
      </c>
      <c r="N305" s="457">
        <f>+'J) Plafonnement effort'!H304+'J) Plafonnement effort'!I304-'K) Plafonnement aide'!I304</f>
        <v>16.201693180870752</v>
      </c>
      <c r="O305" s="145">
        <f t="shared" si="56"/>
        <v>64.828153380934893</v>
      </c>
      <c r="P305" s="47">
        <f t="shared" si="57"/>
        <v>0</v>
      </c>
      <c r="Q305" s="55">
        <f t="shared" si="63"/>
        <v>0</v>
      </c>
      <c r="R305" s="145">
        <f t="shared" si="58"/>
        <v>64.828153380934893</v>
      </c>
      <c r="S305" s="125">
        <f t="shared" si="59"/>
        <v>-5.1718466190651071</v>
      </c>
      <c r="T305" s="144">
        <f t="shared" si="62"/>
        <v>0</v>
      </c>
      <c r="V305" s="12"/>
    </row>
    <row r="306" spans="1:22" x14ac:dyDescent="0.25">
      <c r="A306" s="49">
        <f>'A) Base RI'!A307</f>
        <v>5930</v>
      </c>
      <c r="B306" s="351" t="str">
        <f>'A) Base RI'!B307</f>
        <v>Suscévaz</v>
      </c>
      <c r="C306" s="403">
        <v>87333.527148583991</v>
      </c>
      <c r="D306" s="403">
        <v>2250.9904617767024</v>
      </c>
      <c r="E306" s="404">
        <v>0</v>
      </c>
      <c r="F306" s="404">
        <v>0</v>
      </c>
      <c r="G306" s="404">
        <v>0</v>
      </c>
      <c r="H306" s="403">
        <f t="shared" si="60"/>
        <v>89584.517610360694</v>
      </c>
      <c r="I306" s="404">
        <v>5852.6869444444428</v>
      </c>
      <c r="J306" s="355">
        <f>'B) D RI'!U307</f>
        <v>5769.1548611111102</v>
      </c>
      <c r="K306" s="62">
        <f t="shared" si="61"/>
        <v>15.306562346615374</v>
      </c>
      <c r="L306" s="33">
        <f>'B) D RI'!S307</f>
        <v>72</v>
      </c>
      <c r="M306" s="465">
        <f t="shared" si="64"/>
        <v>56.693437653384628</v>
      </c>
      <c r="N306" s="457">
        <f>+'J) Plafonnement effort'!H305+'J) Plafonnement effort'!I305-'K) Plafonnement aide'!I305</f>
        <v>7.6829107369760008</v>
      </c>
      <c r="O306" s="145">
        <f t="shared" si="56"/>
        <v>64.376348390360633</v>
      </c>
      <c r="P306" s="47">
        <f t="shared" si="57"/>
        <v>0</v>
      </c>
      <c r="Q306" s="55">
        <f t="shared" si="63"/>
        <v>0</v>
      </c>
      <c r="R306" s="145">
        <f t="shared" si="58"/>
        <v>64.376348390360633</v>
      </c>
      <c r="S306" s="125">
        <f t="shared" si="59"/>
        <v>-7.6236516096393672</v>
      </c>
      <c r="T306" s="144">
        <f t="shared" si="62"/>
        <v>0</v>
      </c>
      <c r="V306" s="12"/>
    </row>
    <row r="307" spans="1:22" x14ac:dyDescent="0.25">
      <c r="A307" s="49">
        <f>'A) Base RI'!A308</f>
        <v>5931</v>
      </c>
      <c r="B307" s="351" t="str">
        <f>'A) Base RI'!B308</f>
        <v>Treycovagnes</v>
      </c>
      <c r="C307" s="403">
        <v>202169.62888370399</v>
      </c>
      <c r="D307" s="403">
        <v>-62301.132169400516</v>
      </c>
      <c r="E307" s="404">
        <v>0</v>
      </c>
      <c r="F307" s="404">
        <v>0</v>
      </c>
      <c r="G307" s="404">
        <v>0</v>
      </c>
      <c r="H307" s="403">
        <f t="shared" si="60"/>
        <v>139868.49671430347</v>
      </c>
      <c r="I307" s="404">
        <v>12202.115733333332</v>
      </c>
      <c r="J307" s="355">
        <f>'B) D RI'!U308</f>
        <v>15383.603066666663</v>
      </c>
      <c r="K307" s="62">
        <f t="shared" si="61"/>
        <v>11.462643017900199</v>
      </c>
      <c r="L307" s="33">
        <f>'B) D RI'!S308</f>
        <v>75</v>
      </c>
      <c r="M307" s="465">
        <f t="shared" si="64"/>
        <v>63.537356982099801</v>
      </c>
      <c r="N307" s="457">
        <f>+'J) Plafonnement effort'!H306+'J) Plafonnement effort'!I306-'K) Plafonnement aide'!I306</f>
        <v>14.984638537750293</v>
      </c>
      <c r="O307" s="145">
        <f t="shared" si="56"/>
        <v>78.521995519850094</v>
      </c>
      <c r="P307" s="47">
        <f t="shared" si="57"/>
        <v>0</v>
      </c>
      <c r="Q307" s="55">
        <f t="shared" si="63"/>
        <v>0</v>
      </c>
      <c r="R307" s="145">
        <f t="shared" si="58"/>
        <v>78.521995519850094</v>
      </c>
      <c r="S307" s="125">
        <f t="shared" si="59"/>
        <v>3.5219955198500941</v>
      </c>
      <c r="T307" s="144">
        <f t="shared" si="62"/>
        <v>0</v>
      </c>
      <c r="V307" s="12"/>
    </row>
    <row r="308" spans="1:22" x14ac:dyDescent="0.25">
      <c r="A308" s="49">
        <f>'A) Base RI'!A309</f>
        <v>5932</v>
      </c>
      <c r="B308" s="351" t="str">
        <f>'A) Base RI'!B309</f>
        <v>Ursins</v>
      </c>
      <c r="C308" s="403">
        <v>144880.91357761036</v>
      </c>
      <c r="D308" s="403">
        <v>82783.533880939503</v>
      </c>
      <c r="E308" s="404">
        <v>0</v>
      </c>
      <c r="F308" s="404">
        <v>0</v>
      </c>
      <c r="G308" s="404">
        <v>0</v>
      </c>
      <c r="H308" s="403">
        <f t="shared" si="60"/>
        <v>227664.44745854987</v>
      </c>
      <c r="I308" s="404">
        <v>8278.3758441558457</v>
      </c>
      <c r="J308" s="355">
        <f>'B) D RI'!U309</f>
        <v>6819.4023999999999</v>
      </c>
      <c r="K308" s="62">
        <f t="shared" si="61"/>
        <v>27.501100668106357</v>
      </c>
      <c r="L308" s="33">
        <f>'B) D RI'!S309</f>
        <v>75</v>
      </c>
      <c r="M308" s="465">
        <f t="shared" si="64"/>
        <v>47.498899331893639</v>
      </c>
      <c r="N308" s="457">
        <f>+'J) Plafonnement effort'!H307+'J) Plafonnement effort'!I307-'K) Plafonnement aide'!I307</f>
        <v>9.8085161799901606</v>
      </c>
      <c r="O308" s="145">
        <f t="shared" si="56"/>
        <v>57.307415511883804</v>
      </c>
      <c r="P308" s="47">
        <f t="shared" si="57"/>
        <v>0</v>
      </c>
      <c r="Q308" s="55">
        <f t="shared" si="63"/>
        <v>0</v>
      </c>
      <c r="R308" s="145">
        <f t="shared" si="58"/>
        <v>57.307415511883804</v>
      </c>
      <c r="S308" s="125">
        <f t="shared" si="59"/>
        <v>-17.692584488116196</v>
      </c>
      <c r="T308" s="144">
        <f t="shared" si="62"/>
        <v>0</v>
      </c>
      <c r="V308" s="12"/>
    </row>
    <row r="309" spans="1:22" x14ac:dyDescent="0.25">
      <c r="A309" s="49">
        <f>'A) Base RI'!A310</f>
        <v>5933</v>
      </c>
      <c r="B309" s="351" t="str">
        <f>'A) Base RI'!B310</f>
        <v>Valeyres-sous-Montagny</v>
      </c>
      <c r="C309" s="403">
        <v>393691.37522251782</v>
      </c>
      <c r="D309" s="403">
        <v>122347.74270144349</v>
      </c>
      <c r="E309" s="404">
        <v>0</v>
      </c>
      <c r="F309" s="404">
        <v>0</v>
      </c>
      <c r="G309" s="404">
        <v>0</v>
      </c>
      <c r="H309" s="403">
        <f t="shared" si="60"/>
        <v>516039.11792396131</v>
      </c>
      <c r="I309" s="404">
        <v>22135.641944444447</v>
      </c>
      <c r="J309" s="355">
        <f>'B) D RI'!U310</f>
        <v>22572.377872340428</v>
      </c>
      <c r="K309" s="62">
        <f t="shared" si="61"/>
        <v>23.312588775112332</v>
      </c>
      <c r="L309" s="33">
        <f>'B) D RI'!S310</f>
        <v>70.5</v>
      </c>
      <c r="M309" s="465">
        <f t="shared" si="64"/>
        <v>47.187411224887668</v>
      </c>
      <c r="N309" s="457">
        <f>+'J) Plafonnement effort'!H308+'J) Plafonnement effort'!I308-'K) Plafonnement aide'!I308</f>
        <v>10.041899711142868</v>
      </c>
      <c r="O309" s="145">
        <f t="shared" si="56"/>
        <v>57.229310936030537</v>
      </c>
      <c r="P309" s="47">
        <f t="shared" si="57"/>
        <v>0</v>
      </c>
      <c r="Q309" s="55">
        <f t="shared" si="63"/>
        <v>0</v>
      </c>
      <c r="R309" s="145">
        <f t="shared" si="58"/>
        <v>57.229310936030537</v>
      </c>
      <c r="S309" s="125">
        <f t="shared" si="59"/>
        <v>-13.270689063969463</v>
      </c>
      <c r="T309" s="144">
        <f t="shared" si="62"/>
        <v>0</v>
      </c>
      <c r="V309" s="12"/>
    </row>
    <row r="310" spans="1:22" x14ac:dyDescent="0.25">
      <c r="A310" s="49">
        <f>'A) Base RI'!A311</f>
        <v>5934</v>
      </c>
      <c r="B310" s="351" t="str">
        <f>'A) Base RI'!B311</f>
        <v>Valeyres-sous-Ursins</v>
      </c>
      <c r="C310" s="403">
        <v>129869.26873665741</v>
      </c>
      <c r="D310" s="403">
        <v>45344.110601627413</v>
      </c>
      <c r="E310" s="404">
        <v>0</v>
      </c>
      <c r="F310" s="404">
        <v>0</v>
      </c>
      <c r="G310" s="404">
        <v>0</v>
      </c>
      <c r="H310" s="403">
        <f t="shared" si="60"/>
        <v>175213.37933828484</v>
      </c>
      <c r="I310" s="404">
        <v>7563.0520253164568</v>
      </c>
      <c r="J310" s="355">
        <f>'B) D RI'!U311</f>
        <v>7577.3788607594925</v>
      </c>
      <c r="K310" s="62">
        <f t="shared" si="61"/>
        <v>23.167020238890064</v>
      </c>
      <c r="L310" s="33">
        <f>'B) D RI'!S311</f>
        <v>79</v>
      </c>
      <c r="M310" s="465">
        <f t="shared" si="64"/>
        <v>55.832979761109939</v>
      </c>
      <c r="N310" s="457">
        <f>+'J) Plafonnement effort'!H309+'J) Plafonnement effort'!I309-'K) Plafonnement aide'!I309</f>
        <v>14.669864282008591</v>
      </c>
      <c r="O310" s="145">
        <f t="shared" si="56"/>
        <v>70.502844043118529</v>
      </c>
      <c r="P310" s="47">
        <f t="shared" si="57"/>
        <v>0</v>
      </c>
      <c r="Q310" s="55">
        <f t="shared" si="63"/>
        <v>0</v>
      </c>
      <c r="R310" s="145">
        <f t="shared" si="58"/>
        <v>70.502844043118529</v>
      </c>
      <c r="S310" s="125">
        <f t="shared" si="59"/>
        <v>-8.4971559568814712</v>
      </c>
      <c r="T310" s="144">
        <f t="shared" si="62"/>
        <v>0</v>
      </c>
      <c r="V310" s="12"/>
    </row>
    <row r="311" spans="1:22" x14ac:dyDescent="0.25">
      <c r="A311" s="49">
        <f>'A) Base RI'!A312</f>
        <v>5935</v>
      </c>
      <c r="B311" s="351" t="str">
        <f>'A) Base RI'!B312</f>
        <v>Villars-Epeney</v>
      </c>
      <c r="C311" s="403">
        <v>72559.340643015399</v>
      </c>
      <c r="D311" s="403">
        <v>84396.579026430685</v>
      </c>
      <c r="E311" s="404">
        <v>0</v>
      </c>
      <c r="F311" s="404">
        <v>0</v>
      </c>
      <c r="G311" s="404">
        <v>0</v>
      </c>
      <c r="H311" s="403">
        <f t="shared" si="60"/>
        <v>156955.91966944607</v>
      </c>
      <c r="I311" s="404">
        <v>4858.9101666666666</v>
      </c>
      <c r="J311" s="355">
        <f>'B) D RI'!U312</f>
        <v>3928.2205000000004</v>
      </c>
      <c r="K311" s="62">
        <f t="shared" si="61"/>
        <v>32.302700458675439</v>
      </c>
      <c r="L311" s="33">
        <f>'B) D RI'!S312</f>
        <v>60</v>
      </c>
      <c r="M311" s="465">
        <f t="shared" si="64"/>
        <v>27.697299541324561</v>
      </c>
      <c r="N311" s="457">
        <f>+'J) Plafonnement effort'!H310+'J) Plafonnement effort'!I310-'K) Plafonnement aide'!I310</f>
        <v>24.734725803910685</v>
      </c>
      <c r="O311" s="145">
        <f t="shared" si="56"/>
        <v>52.432025345235246</v>
      </c>
      <c r="P311" s="47">
        <f t="shared" si="57"/>
        <v>0</v>
      </c>
      <c r="Q311" s="55">
        <f t="shared" si="63"/>
        <v>0</v>
      </c>
      <c r="R311" s="145">
        <f t="shared" si="58"/>
        <v>52.432025345235246</v>
      </c>
      <c r="S311" s="125">
        <f t="shared" si="59"/>
        <v>-7.567974654764754</v>
      </c>
      <c r="T311" s="144">
        <f t="shared" si="62"/>
        <v>0</v>
      </c>
      <c r="V311" s="12"/>
    </row>
    <row r="312" spans="1:22" x14ac:dyDescent="0.25">
      <c r="A312" s="49">
        <f>'A) Base RI'!A313</f>
        <v>5937</v>
      </c>
      <c r="B312" s="351" t="str">
        <f>'A) Base RI'!B313</f>
        <v>Vugelles-La Mothe</v>
      </c>
      <c r="C312" s="403">
        <v>61070.213679869732</v>
      </c>
      <c r="D312" s="403">
        <v>-22778.505209008261</v>
      </c>
      <c r="E312" s="404">
        <v>0</v>
      </c>
      <c r="F312" s="404">
        <v>0</v>
      </c>
      <c r="G312" s="404">
        <v>0</v>
      </c>
      <c r="H312" s="403">
        <f t="shared" si="60"/>
        <v>38291.708470861471</v>
      </c>
      <c r="I312" s="404">
        <v>2984.3882040816329</v>
      </c>
      <c r="J312" s="355">
        <f>'B) D RI'!U313</f>
        <v>3187.6957755102044</v>
      </c>
      <c r="K312" s="62">
        <f t="shared" si="61"/>
        <v>12.830672771890525</v>
      </c>
      <c r="L312" s="33">
        <f>'B) D RI'!S313</f>
        <v>70</v>
      </c>
      <c r="M312" s="465">
        <f t="shared" si="64"/>
        <v>57.169327228109474</v>
      </c>
      <c r="N312" s="457">
        <f>+'J) Plafonnement effort'!H311+'J) Plafonnement effort'!I311-'K) Plafonnement aide'!I311</f>
        <v>-1.3921653403191221</v>
      </c>
      <c r="O312" s="145">
        <f t="shared" si="56"/>
        <v>55.777161887790349</v>
      </c>
      <c r="P312" s="47">
        <f t="shared" si="57"/>
        <v>0</v>
      </c>
      <c r="Q312" s="55">
        <f t="shared" si="63"/>
        <v>0</v>
      </c>
      <c r="R312" s="145">
        <f t="shared" si="58"/>
        <v>55.777161887790349</v>
      </c>
      <c r="S312" s="125">
        <f t="shared" si="59"/>
        <v>-14.222838112209651</v>
      </c>
      <c r="T312" s="144">
        <f t="shared" si="62"/>
        <v>0</v>
      </c>
      <c r="V312" s="12"/>
    </row>
    <row r="313" spans="1:22" x14ac:dyDescent="0.25">
      <c r="A313" s="49">
        <f>'A) Base RI'!A314</f>
        <v>5938</v>
      </c>
      <c r="B313" s="351" t="str">
        <f>'A) Base RI'!B314</f>
        <v>Yverdon-les-Bains</v>
      </c>
      <c r="C313" s="403">
        <v>14771659.955779977</v>
      </c>
      <c r="D313" s="403">
        <v>-24775081.759365395</v>
      </c>
      <c r="E313" s="404">
        <v>3696043.2958730017</v>
      </c>
      <c r="F313" s="404">
        <v>0</v>
      </c>
      <c r="G313" s="404">
        <v>0</v>
      </c>
      <c r="H313" s="403">
        <f t="shared" si="60"/>
        <v>-6307378.5077124164</v>
      </c>
      <c r="I313" s="404">
        <v>788422.31346405216</v>
      </c>
      <c r="J313" s="355">
        <f>'B) D RI'!U314</f>
        <v>796551.402</v>
      </c>
      <c r="K313" s="62">
        <f t="shared" si="61"/>
        <v>-7.9999999999999991</v>
      </c>
      <c r="L313" s="33">
        <f>'B) D RI'!S314</f>
        <v>75</v>
      </c>
      <c r="M313" s="465">
        <f t="shared" si="64"/>
        <v>83</v>
      </c>
      <c r="N313" s="457">
        <f>+'J) Plafonnement effort'!H312+'J) Plafonnement effort'!I312-'K) Plafonnement aide'!I312</f>
        <v>-26.044443537367599</v>
      </c>
      <c r="O313" s="145">
        <f t="shared" si="56"/>
        <v>56.955556462632401</v>
      </c>
      <c r="P313" s="47">
        <f t="shared" si="57"/>
        <v>0</v>
      </c>
      <c r="Q313" s="55">
        <f t="shared" si="63"/>
        <v>0</v>
      </c>
      <c r="R313" s="145">
        <f t="shared" si="58"/>
        <v>56.955556462632401</v>
      </c>
      <c r="S313" s="125">
        <f t="shared" si="59"/>
        <v>-18.044443537367599</v>
      </c>
      <c r="T313" s="144">
        <f t="shared" si="62"/>
        <v>0</v>
      </c>
      <c r="V313" s="12"/>
    </row>
    <row r="314" spans="1:22" x14ac:dyDescent="0.25">
      <c r="A314" s="50">
        <f>'A) Base RI'!A315</f>
        <v>5939</v>
      </c>
      <c r="B314" s="352" t="str">
        <f>'A) Base RI'!B315</f>
        <v>Yvonand</v>
      </c>
      <c r="C314" s="403">
        <v>2051859.3401681427</v>
      </c>
      <c r="D314" s="403">
        <v>-551575.95128377853</v>
      </c>
      <c r="E314" s="404">
        <v>0</v>
      </c>
      <c r="F314" s="404">
        <v>0</v>
      </c>
      <c r="G314" s="404">
        <v>0</v>
      </c>
      <c r="H314" s="403">
        <f t="shared" si="60"/>
        <v>1500283.3888843642</v>
      </c>
      <c r="I314" s="404">
        <v>95122.764246575331</v>
      </c>
      <c r="J314" s="356">
        <f>'B) D RI'!U315</f>
        <v>92890.042937062928</v>
      </c>
      <c r="K314" s="62">
        <f t="shared" si="61"/>
        <v>15.772075178506793</v>
      </c>
      <c r="L314" s="88">
        <f>'B) D RI'!S315</f>
        <v>71.5</v>
      </c>
      <c r="M314" s="468">
        <f t="shared" si="64"/>
        <v>55.727924821493204</v>
      </c>
      <c r="N314" s="458">
        <f>+'J) Plafonnement effort'!H313+'J) Plafonnement effort'!I313-'K) Plafonnement aide'!I313</f>
        <v>-1.3483873560785566</v>
      </c>
      <c r="O314" s="146">
        <f t="shared" si="56"/>
        <v>54.37953746541465</v>
      </c>
      <c r="P314" s="47">
        <f t="shared" si="57"/>
        <v>0</v>
      </c>
      <c r="Q314" s="55">
        <f t="shared" si="63"/>
        <v>0</v>
      </c>
      <c r="R314" s="146">
        <f t="shared" si="58"/>
        <v>54.37953746541465</v>
      </c>
      <c r="S314" s="127">
        <f t="shared" si="59"/>
        <v>-17.12046253458535</v>
      </c>
      <c r="T314" s="144">
        <f t="shared" si="62"/>
        <v>0</v>
      </c>
      <c r="V314" s="12"/>
    </row>
    <row r="315" spans="1:22" x14ac:dyDescent="0.25">
      <c r="A315" s="30"/>
      <c r="B315" s="118">
        <f>COUNTA(B6:B314)</f>
        <v>309</v>
      </c>
      <c r="C315" s="38">
        <f>SUM(C6:C314)</f>
        <v>825655960</v>
      </c>
      <c r="D315" s="302">
        <f t="shared" ref="D315:J315" si="65">SUM(D6:D314)</f>
        <v>192061235.68211231</v>
      </c>
      <c r="E315" s="302">
        <f t="shared" si="65"/>
        <v>4088252.3142886814</v>
      </c>
      <c r="F315" s="302">
        <f t="shared" si="65"/>
        <v>-24713364.310575232</v>
      </c>
      <c r="G315" s="302">
        <f t="shared" si="65"/>
        <v>-46083.949377517849</v>
      </c>
      <c r="H315" s="149">
        <f t="shared" si="65"/>
        <v>997045999.73644733</v>
      </c>
      <c r="I315" s="402">
        <f t="shared" si="65"/>
        <v>37986675.400474928</v>
      </c>
      <c r="J315" s="96">
        <f t="shared" si="65"/>
        <v>39272473.833379671</v>
      </c>
      <c r="K315" s="59">
        <f>H315/I315</f>
        <v>26.247256155614551</v>
      </c>
      <c r="L315" s="19">
        <f>'B) D RI'!S316</f>
        <v>67.297342752694561</v>
      </c>
      <c r="M315" s="19"/>
      <c r="N315" s="458">
        <f>SUM(N6:N314)</f>
        <v>4497.3429354560385</v>
      </c>
      <c r="O315" s="97"/>
      <c r="P315" s="114"/>
      <c r="Q315" s="37">
        <f>SUM(Q6:Q314)</f>
        <v>-99094.469572776216</v>
      </c>
      <c r="R315" s="117"/>
      <c r="S315" s="97"/>
      <c r="T315" s="148"/>
    </row>
    <row r="316" spans="1:22" x14ac:dyDescent="0.25">
      <c r="T316" s="22"/>
    </row>
    <row r="317" spans="1:22" s="6" customFormat="1" x14ac:dyDescent="0.25">
      <c r="K317" s="280"/>
      <c r="N317" s="15"/>
    </row>
    <row r="320" spans="1:22" s="6" customFormat="1" x14ac:dyDescent="0.25">
      <c r="K320" s="280"/>
      <c r="M320" s="280"/>
      <c r="N320" s="15"/>
      <c r="O320" s="280"/>
      <c r="P320" s="280"/>
    </row>
  </sheetData>
  <mergeCells count="17">
    <mergeCell ref="C3:I3"/>
    <mergeCell ref="C4:C5"/>
    <mergeCell ref="B4:B5"/>
    <mergeCell ref="A4:A5"/>
    <mergeCell ref="K4:K5"/>
    <mergeCell ref="E4:E5"/>
    <mergeCell ref="D4:D5"/>
    <mergeCell ref="S4:S5"/>
    <mergeCell ref="R4:R5"/>
    <mergeCell ref="Q4:Q5"/>
    <mergeCell ref="O4:O5"/>
    <mergeCell ref="N4:N5"/>
    <mergeCell ref="M4:M5"/>
    <mergeCell ref="L4:L5"/>
    <mergeCell ref="H4:H5"/>
    <mergeCell ref="G4:G5"/>
    <mergeCell ref="F4:F5"/>
  </mergeCells>
  <phoneticPr fontId="0" type="noConversion"/>
  <printOptions horizontalCentered="1"/>
  <pageMargins left="0" right="0" top="0" bottom="0" header="0.51181102362204722" footer="0.51181102362204722"/>
  <pageSetup paperSize="9" scale="63" orientation="landscape" horizontalDpi="4294967292" verticalDpi="4294967292"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16">
    <tabColor rgb="FF00B050"/>
    <pageSetUpPr fitToPage="1"/>
  </sheetPr>
  <dimension ref="A1:V317"/>
  <sheetViews>
    <sheetView workbookViewId="0">
      <selection activeCell="A4" sqref="A4:A5"/>
    </sheetView>
  </sheetViews>
  <sheetFormatPr baseColWidth="10" defaultColWidth="9.375" defaultRowHeight="15" x14ac:dyDescent="0.25"/>
  <cols>
    <col min="1" max="1" width="8.125" style="212" customWidth="1"/>
    <col min="2" max="2" width="17.875" style="212" bestFit="1" customWidth="1"/>
    <col min="3" max="3" width="9.875" style="212" customWidth="1"/>
    <col min="4" max="4" width="10.5" style="212" customWidth="1"/>
    <col min="5" max="5" width="5.625" style="212" bestFit="1" customWidth="1"/>
    <col min="6" max="6" width="12" style="212" bestFit="1" customWidth="1"/>
    <col min="7" max="7" width="10.875" style="212" bestFit="1" customWidth="1"/>
    <col min="8" max="8" width="12" style="212" bestFit="1" customWidth="1"/>
    <col min="9" max="9" width="13.625" style="212" customWidth="1"/>
    <col min="10" max="10" width="11.375" style="212" bestFit="1" customWidth="1"/>
    <col min="11" max="11" width="11.75" style="212" customWidth="1"/>
    <col min="12" max="12" width="11.375" style="212" bestFit="1" customWidth="1"/>
    <col min="13" max="13" width="9.75" style="212" bestFit="1" customWidth="1"/>
    <col min="14" max="14" width="11.375" style="212" bestFit="1" customWidth="1"/>
    <col min="15" max="15" width="10.75" style="212" bestFit="1" customWidth="1"/>
    <col min="16" max="16" width="13.125" style="214" customWidth="1"/>
    <col min="17" max="17" width="9.375" style="213"/>
    <col min="18" max="18" width="9.875" style="214" customWidth="1"/>
    <col min="19" max="19" width="11.75" style="214" bestFit="1" customWidth="1"/>
    <col min="20" max="22" width="9.375" style="213"/>
    <col min="23" max="249" width="9.375" style="212"/>
    <col min="250" max="250" width="5" style="212" customWidth="1"/>
    <col min="251" max="251" width="17.875" style="212" bestFit="1" customWidth="1"/>
    <col min="252" max="252" width="9.875" style="212" customWidth="1"/>
    <col min="253" max="253" width="8.875" style="212" customWidth="1"/>
    <col min="254" max="254" width="7.375" style="212" bestFit="1" customWidth="1"/>
    <col min="255" max="255" width="10.125" style="212" bestFit="1" customWidth="1"/>
    <col min="256" max="256" width="9.375" style="212"/>
    <col min="257" max="257" width="10.125" style="212" bestFit="1" customWidth="1"/>
    <col min="258" max="258" width="10.75" style="212" customWidth="1"/>
    <col min="259" max="261" width="9.375" style="212"/>
    <col min="262" max="263" width="10.75" style="212" customWidth="1"/>
    <col min="264" max="268" width="9.375" style="212"/>
    <col min="269" max="269" width="1.625" style="212" bestFit="1" customWidth="1"/>
    <col min="270" max="270" width="9.375" style="212"/>
    <col min="271" max="271" width="8.875" style="212" customWidth="1"/>
    <col min="272" max="272" width="13.125" style="212" customWidth="1"/>
    <col min="273" max="273" width="9.375" style="212"/>
    <col min="274" max="274" width="9.875" style="212" customWidth="1"/>
    <col min="275" max="275" width="11.75" style="212" bestFit="1" customWidth="1"/>
    <col min="276" max="505" width="9.375" style="212"/>
    <col min="506" max="506" width="5" style="212" customWidth="1"/>
    <col min="507" max="507" width="17.875" style="212" bestFit="1" customWidth="1"/>
    <col min="508" max="508" width="9.875" style="212" customWidth="1"/>
    <col min="509" max="509" width="8.875" style="212" customWidth="1"/>
    <col min="510" max="510" width="7.375" style="212" bestFit="1" customWidth="1"/>
    <col min="511" max="511" width="10.125" style="212" bestFit="1" customWidth="1"/>
    <col min="512" max="512" width="9.375" style="212"/>
    <col min="513" max="513" width="10.125" style="212" bestFit="1" customWidth="1"/>
    <col min="514" max="514" width="10.75" style="212" customWidth="1"/>
    <col min="515" max="517" width="9.375" style="212"/>
    <col min="518" max="519" width="10.75" style="212" customWidth="1"/>
    <col min="520" max="524" width="9.375" style="212"/>
    <col min="525" max="525" width="1.625" style="212" bestFit="1" customWidth="1"/>
    <col min="526" max="526" width="9.375" style="212"/>
    <col min="527" max="527" width="8.875" style="212" customWidth="1"/>
    <col min="528" max="528" width="13.125" style="212" customWidth="1"/>
    <col min="529" max="529" width="9.375" style="212"/>
    <col min="530" max="530" width="9.875" style="212" customWidth="1"/>
    <col min="531" max="531" width="11.75" style="212" bestFit="1" customWidth="1"/>
    <col min="532" max="761" width="9.375" style="212"/>
    <col min="762" max="762" width="5" style="212" customWidth="1"/>
    <col min="763" max="763" width="17.875" style="212" bestFit="1" customWidth="1"/>
    <col min="764" max="764" width="9.875" style="212" customWidth="1"/>
    <col min="765" max="765" width="8.875" style="212" customWidth="1"/>
    <col min="766" max="766" width="7.375" style="212" bestFit="1" customWidth="1"/>
    <col min="767" max="767" width="10.125" style="212" bestFit="1" customWidth="1"/>
    <col min="768" max="768" width="9.375" style="212"/>
    <col min="769" max="769" width="10.125" style="212" bestFit="1" customWidth="1"/>
    <col min="770" max="770" width="10.75" style="212" customWidth="1"/>
    <col min="771" max="773" width="9.375" style="212"/>
    <col min="774" max="775" width="10.75" style="212" customWidth="1"/>
    <col min="776" max="780" width="9.375" style="212"/>
    <col min="781" max="781" width="1.625" style="212" bestFit="1" customWidth="1"/>
    <col min="782" max="782" width="9.375" style="212"/>
    <col min="783" max="783" width="8.875" style="212" customWidth="1"/>
    <col min="784" max="784" width="13.125" style="212" customWidth="1"/>
    <col min="785" max="785" width="9.375" style="212"/>
    <col min="786" max="786" width="9.875" style="212" customWidth="1"/>
    <col min="787" max="787" width="11.75" style="212" bestFit="1" customWidth="1"/>
    <col min="788" max="1017" width="9.375" style="212"/>
    <col min="1018" max="1018" width="5" style="212" customWidth="1"/>
    <col min="1019" max="1019" width="17.875" style="212" bestFit="1" customWidth="1"/>
    <col min="1020" max="1020" width="9.875" style="212" customWidth="1"/>
    <col min="1021" max="1021" width="8.875" style="212" customWidth="1"/>
    <col min="1022" max="1022" width="7.375" style="212" bestFit="1" customWidth="1"/>
    <col min="1023" max="1023" width="10.125" style="212" bestFit="1" customWidth="1"/>
    <col min="1024" max="1024" width="9.375" style="212"/>
    <col min="1025" max="1025" width="10.125" style="212" bestFit="1" customWidth="1"/>
    <col min="1026" max="1026" width="10.75" style="212" customWidth="1"/>
    <col min="1027" max="1029" width="9.375" style="212"/>
    <col min="1030" max="1031" width="10.75" style="212" customWidth="1"/>
    <col min="1032" max="1036" width="9.375" style="212"/>
    <col min="1037" max="1037" width="1.625" style="212" bestFit="1" customWidth="1"/>
    <col min="1038" max="1038" width="9.375" style="212"/>
    <col min="1039" max="1039" width="8.875" style="212" customWidth="1"/>
    <col min="1040" max="1040" width="13.125" style="212" customWidth="1"/>
    <col min="1041" max="1041" width="9.375" style="212"/>
    <col min="1042" max="1042" width="9.875" style="212" customWidth="1"/>
    <col min="1043" max="1043" width="11.75" style="212" bestFit="1" customWidth="1"/>
    <col min="1044" max="1273" width="9.375" style="212"/>
    <col min="1274" max="1274" width="5" style="212" customWidth="1"/>
    <col min="1275" max="1275" width="17.875" style="212" bestFit="1" customWidth="1"/>
    <col min="1276" max="1276" width="9.875" style="212" customWidth="1"/>
    <col min="1277" max="1277" width="8.875" style="212" customWidth="1"/>
    <col min="1278" max="1278" width="7.375" style="212" bestFit="1" customWidth="1"/>
    <col min="1279" max="1279" width="10.125" style="212" bestFit="1" customWidth="1"/>
    <col min="1280" max="1280" width="9.375" style="212"/>
    <col min="1281" max="1281" width="10.125" style="212" bestFit="1" customWidth="1"/>
    <col min="1282" max="1282" width="10.75" style="212" customWidth="1"/>
    <col min="1283" max="1285" width="9.375" style="212"/>
    <col min="1286" max="1287" width="10.75" style="212" customWidth="1"/>
    <col min="1288" max="1292" width="9.375" style="212"/>
    <col min="1293" max="1293" width="1.625" style="212" bestFit="1" customWidth="1"/>
    <col min="1294" max="1294" width="9.375" style="212"/>
    <col min="1295" max="1295" width="8.875" style="212" customWidth="1"/>
    <col min="1296" max="1296" width="13.125" style="212" customWidth="1"/>
    <col min="1297" max="1297" width="9.375" style="212"/>
    <col min="1298" max="1298" width="9.875" style="212" customWidth="1"/>
    <col min="1299" max="1299" width="11.75" style="212" bestFit="1" customWidth="1"/>
    <col min="1300" max="1529" width="9.375" style="212"/>
    <col min="1530" max="1530" width="5" style="212" customWidth="1"/>
    <col min="1531" max="1531" width="17.875" style="212" bestFit="1" customWidth="1"/>
    <col min="1532" max="1532" width="9.875" style="212" customWidth="1"/>
    <col min="1533" max="1533" width="8.875" style="212" customWidth="1"/>
    <col min="1534" max="1534" width="7.375" style="212" bestFit="1" customWidth="1"/>
    <col min="1535" max="1535" width="10.125" style="212" bestFit="1" customWidth="1"/>
    <col min="1536" max="1536" width="9.375" style="212"/>
    <col min="1537" max="1537" width="10.125" style="212" bestFit="1" customWidth="1"/>
    <col min="1538" max="1538" width="10.75" style="212" customWidth="1"/>
    <col min="1539" max="1541" width="9.375" style="212"/>
    <col min="1542" max="1543" width="10.75" style="212" customWidth="1"/>
    <col min="1544" max="1548" width="9.375" style="212"/>
    <col min="1549" max="1549" width="1.625" style="212" bestFit="1" customWidth="1"/>
    <col min="1550" max="1550" width="9.375" style="212"/>
    <col min="1551" max="1551" width="8.875" style="212" customWidth="1"/>
    <col min="1552" max="1552" width="13.125" style="212" customWidth="1"/>
    <col min="1553" max="1553" width="9.375" style="212"/>
    <col min="1554" max="1554" width="9.875" style="212" customWidth="1"/>
    <col min="1555" max="1555" width="11.75" style="212" bestFit="1" customWidth="1"/>
    <col min="1556" max="1785" width="9.375" style="212"/>
    <col min="1786" max="1786" width="5" style="212" customWidth="1"/>
    <col min="1787" max="1787" width="17.875" style="212" bestFit="1" customWidth="1"/>
    <col min="1788" max="1788" width="9.875" style="212" customWidth="1"/>
    <col min="1789" max="1789" width="8.875" style="212" customWidth="1"/>
    <col min="1790" max="1790" width="7.375" style="212" bestFit="1" customWidth="1"/>
    <col min="1791" max="1791" width="10.125" style="212" bestFit="1" customWidth="1"/>
    <col min="1792" max="1792" width="9.375" style="212"/>
    <col min="1793" max="1793" width="10.125" style="212" bestFit="1" customWidth="1"/>
    <col min="1794" max="1794" width="10.75" style="212" customWidth="1"/>
    <col min="1795" max="1797" width="9.375" style="212"/>
    <col min="1798" max="1799" width="10.75" style="212" customWidth="1"/>
    <col min="1800" max="1804" width="9.375" style="212"/>
    <col min="1805" max="1805" width="1.625" style="212" bestFit="1" customWidth="1"/>
    <col min="1806" max="1806" width="9.375" style="212"/>
    <col min="1807" max="1807" width="8.875" style="212" customWidth="1"/>
    <col min="1808" max="1808" width="13.125" style="212" customWidth="1"/>
    <col min="1809" max="1809" width="9.375" style="212"/>
    <col min="1810" max="1810" width="9.875" style="212" customWidth="1"/>
    <col min="1811" max="1811" width="11.75" style="212" bestFit="1" customWidth="1"/>
    <col min="1812" max="2041" width="9.375" style="212"/>
    <col min="2042" max="2042" width="5" style="212" customWidth="1"/>
    <col min="2043" max="2043" width="17.875" style="212" bestFit="1" customWidth="1"/>
    <col min="2044" max="2044" width="9.875" style="212" customWidth="1"/>
    <col min="2045" max="2045" width="8.875" style="212" customWidth="1"/>
    <col min="2046" max="2046" width="7.375" style="212" bestFit="1" customWidth="1"/>
    <col min="2047" max="2047" width="10.125" style="212" bestFit="1" customWidth="1"/>
    <col min="2048" max="2048" width="9.375" style="212"/>
    <col min="2049" max="2049" width="10.125" style="212" bestFit="1" customWidth="1"/>
    <col min="2050" max="2050" width="10.75" style="212" customWidth="1"/>
    <col min="2051" max="2053" width="9.375" style="212"/>
    <col min="2054" max="2055" width="10.75" style="212" customWidth="1"/>
    <col min="2056" max="2060" width="9.375" style="212"/>
    <col min="2061" max="2061" width="1.625" style="212" bestFit="1" customWidth="1"/>
    <col min="2062" max="2062" width="9.375" style="212"/>
    <col min="2063" max="2063" width="8.875" style="212" customWidth="1"/>
    <col min="2064" max="2064" width="13.125" style="212" customWidth="1"/>
    <col min="2065" max="2065" width="9.375" style="212"/>
    <col min="2066" max="2066" width="9.875" style="212" customWidth="1"/>
    <col min="2067" max="2067" width="11.75" style="212" bestFit="1" customWidth="1"/>
    <col min="2068" max="2297" width="9.375" style="212"/>
    <col min="2298" max="2298" width="5" style="212" customWidth="1"/>
    <col min="2299" max="2299" width="17.875" style="212" bestFit="1" customWidth="1"/>
    <col min="2300" max="2300" width="9.875" style="212" customWidth="1"/>
    <col min="2301" max="2301" width="8.875" style="212" customWidth="1"/>
    <col min="2302" max="2302" width="7.375" style="212" bestFit="1" customWidth="1"/>
    <col min="2303" max="2303" width="10.125" style="212" bestFit="1" customWidth="1"/>
    <col min="2304" max="2304" width="9.375" style="212"/>
    <col min="2305" max="2305" width="10.125" style="212" bestFit="1" customWidth="1"/>
    <col min="2306" max="2306" width="10.75" style="212" customWidth="1"/>
    <col min="2307" max="2309" width="9.375" style="212"/>
    <col min="2310" max="2311" width="10.75" style="212" customWidth="1"/>
    <col min="2312" max="2316" width="9.375" style="212"/>
    <col min="2317" max="2317" width="1.625" style="212" bestFit="1" customWidth="1"/>
    <col min="2318" max="2318" width="9.375" style="212"/>
    <col min="2319" max="2319" width="8.875" style="212" customWidth="1"/>
    <col min="2320" max="2320" width="13.125" style="212" customWidth="1"/>
    <col min="2321" max="2321" width="9.375" style="212"/>
    <col min="2322" max="2322" width="9.875" style="212" customWidth="1"/>
    <col min="2323" max="2323" width="11.75" style="212" bestFit="1" customWidth="1"/>
    <col min="2324" max="2553" width="9.375" style="212"/>
    <col min="2554" max="2554" width="5" style="212" customWidth="1"/>
    <col min="2555" max="2555" width="17.875" style="212" bestFit="1" customWidth="1"/>
    <col min="2556" max="2556" width="9.875" style="212" customWidth="1"/>
    <col min="2557" max="2557" width="8.875" style="212" customWidth="1"/>
    <col min="2558" max="2558" width="7.375" style="212" bestFit="1" customWidth="1"/>
    <col min="2559" max="2559" width="10.125" style="212" bestFit="1" customWidth="1"/>
    <col min="2560" max="2560" width="9.375" style="212"/>
    <col min="2561" max="2561" width="10.125" style="212" bestFit="1" customWidth="1"/>
    <col min="2562" max="2562" width="10.75" style="212" customWidth="1"/>
    <col min="2563" max="2565" width="9.375" style="212"/>
    <col min="2566" max="2567" width="10.75" style="212" customWidth="1"/>
    <col min="2568" max="2572" width="9.375" style="212"/>
    <col min="2573" max="2573" width="1.625" style="212" bestFit="1" customWidth="1"/>
    <col min="2574" max="2574" width="9.375" style="212"/>
    <col min="2575" max="2575" width="8.875" style="212" customWidth="1"/>
    <col min="2576" max="2576" width="13.125" style="212" customWidth="1"/>
    <col min="2577" max="2577" width="9.375" style="212"/>
    <col min="2578" max="2578" width="9.875" style="212" customWidth="1"/>
    <col min="2579" max="2579" width="11.75" style="212" bestFit="1" customWidth="1"/>
    <col min="2580" max="2809" width="9.375" style="212"/>
    <col min="2810" max="2810" width="5" style="212" customWidth="1"/>
    <col min="2811" max="2811" width="17.875" style="212" bestFit="1" customWidth="1"/>
    <col min="2812" max="2812" width="9.875" style="212" customWidth="1"/>
    <col min="2813" max="2813" width="8.875" style="212" customWidth="1"/>
    <col min="2814" max="2814" width="7.375" style="212" bestFit="1" customWidth="1"/>
    <col min="2815" max="2815" width="10.125" style="212" bestFit="1" customWidth="1"/>
    <col min="2816" max="2816" width="9.375" style="212"/>
    <col min="2817" max="2817" width="10.125" style="212" bestFit="1" customWidth="1"/>
    <col min="2818" max="2818" width="10.75" style="212" customWidth="1"/>
    <col min="2819" max="2821" width="9.375" style="212"/>
    <col min="2822" max="2823" width="10.75" style="212" customWidth="1"/>
    <col min="2824" max="2828" width="9.375" style="212"/>
    <col min="2829" max="2829" width="1.625" style="212" bestFit="1" customWidth="1"/>
    <col min="2830" max="2830" width="9.375" style="212"/>
    <col min="2831" max="2831" width="8.875" style="212" customWidth="1"/>
    <col min="2832" max="2832" width="13.125" style="212" customWidth="1"/>
    <col min="2833" max="2833" width="9.375" style="212"/>
    <col min="2834" max="2834" width="9.875" style="212" customWidth="1"/>
    <col min="2835" max="2835" width="11.75" style="212" bestFit="1" customWidth="1"/>
    <col min="2836" max="3065" width="9.375" style="212"/>
    <col min="3066" max="3066" width="5" style="212" customWidth="1"/>
    <col min="3067" max="3067" width="17.875" style="212" bestFit="1" customWidth="1"/>
    <col min="3068" max="3068" width="9.875" style="212" customWidth="1"/>
    <col min="3069" max="3069" width="8.875" style="212" customWidth="1"/>
    <col min="3070" max="3070" width="7.375" style="212" bestFit="1" customWidth="1"/>
    <col min="3071" max="3071" width="10.125" style="212" bestFit="1" customWidth="1"/>
    <col min="3072" max="3072" width="9.375" style="212"/>
    <col min="3073" max="3073" width="10.125" style="212" bestFit="1" customWidth="1"/>
    <col min="3074" max="3074" width="10.75" style="212" customWidth="1"/>
    <col min="3075" max="3077" width="9.375" style="212"/>
    <col min="3078" max="3079" width="10.75" style="212" customWidth="1"/>
    <col min="3080" max="3084" width="9.375" style="212"/>
    <col min="3085" max="3085" width="1.625" style="212" bestFit="1" customWidth="1"/>
    <col min="3086" max="3086" width="9.375" style="212"/>
    <col min="3087" max="3087" width="8.875" style="212" customWidth="1"/>
    <col min="3088" max="3088" width="13.125" style="212" customWidth="1"/>
    <col min="3089" max="3089" width="9.375" style="212"/>
    <col min="3090" max="3090" width="9.875" style="212" customWidth="1"/>
    <col min="3091" max="3091" width="11.75" style="212" bestFit="1" customWidth="1"/>
    <col min="3092" max="3321" width="9.375" style="212"/>
    <col min="3322" max="3322" width="5" style="212" customWidth="1"/>
    <col min="3323" max="3323" width="17.875" style="212" bestFit="1" customWidth="1"/>
    <col min="3324" max="3324" width="9.875" style="212" customWidth="1"/>
    <col min="3325" max="3325" width="8.875" style="212" customWidth="1"/>
    <col min="3326" max="3326" width="7.375" style="212" bestFit="1" customWidth="1"/>
    <col min="3327" max="3327" width="10.125" style="212" bestFit="1" customWidth="1"/>
    <col min="3328" max="3328" width="9.375" style="212"/>
    <col min="3329" max="3329" width="10.125" style="212" bestFit="1" customWidth="1"/>
    <col min="3330" max="3330" width="10.75" style="212" customWidth="1"/>
    <col min="3331" max="3333" width="9.375" style="212"/>
    <col min="3334" max="3335" width="10.75" style="212" customWidth="1"/>
    <col min="3336" max="3340" width="9.375" style="212"/>
    <col min="3341" max="3341" width="1.625" style="212" bestFit="1" customWidth="1"/>
    <col min="3342" max="3342" width="9.375" style="212"/>
    <col min="3343" max="3343" width="8.875" style="212" customWidth="1"/>
    <col min="3344" max="3344" width="13.125" style="212" customWidth="1"/>
    <col min="3345" max="3345" width="9.375" style="212"/>
    <col min="3346" max="3346" width="9.875" style="212" customWidth="1"/>
    <col min="3347" max="3347" width="11.75" style="212" bestFit="1" customWidth="1"/>
    <col min="3348" max="3577" width="9.375" style="212"/>
    <col min="3578" max="3578" width="5" style="212" customWidth="1"/>
    <col min="3579" max="3579" width="17.875" style="212" bestFit="1" customWidth="1"/>
    <col min="3580" max="3580" width="9.875" style="212" customWidth="1"/>
    <col min="3581" max="3581" width="8.875" style="212" customWidth="1"/>
    <col min="3582" max="3582" width="7.375" style="212" bestFit="1" customWidth="1"/>
    <col min="3583" max="3583" width="10.125" style="212" bestFit="1" customWidth="1"/>
    <col min="3584" max="3584" width="9.375" style="212"/>
    <col min="3585" max="3585" width="10.125" style="212" bestFit="1" customWidth="1"/>
    <col min="3586" max="3586" width="10.75" style="212" customWidth="1"/>
    <col min="3587" max="3589" width="9.375" style="212"/>
    <col min="3590" max="3591" width="10.75" style="212" customWidth="1"/>
    <col min="3592" max="3596" width="9.375" style="212"/>
    <col min="3597" max="3597" width="1.625" style="212" bestFit="1" customWidth="1"/>
    <col min="3598" max="3598" width="9.375" style="212"/>
    <col min="3599" max="3599" width="8.875" style="212" customWidth="1"/>
    <col min="3600" max="3600" width="13.125" style="212" customWidth="1"/>
    <col min="3601" max="3601" width="9.375" style="212"/>
    <col min="3602" max="3602" width="9.875" style="212" customWidth="1"/>
    <col min="3603" max="3603" width="11.75" style="212" bestFit="1" customWidth="1"/>
    <col min="3604" max="3833" width="9.375" style="212"/>
    <col min="3834" max="3834" width="5" style="212" customWidth="1"/>
    <col min="3835" max="3835" width="17.875" style="212" bestFit="1" customWidth="1"/>
    <col min="3836" max="3836" width="9.875" style="212" customWidth="1"/>
    <col min="3837" max="3837" width="8.875" style="212" customWidth="1"/>
    <col min="3838" max="3838" width="7.375" style="212" bestFit="1" customWidth="1"/>
    <col min="3839" max="3839" width="10.125" style="212" bestFit="1" customWidth="1"/>
    <col min="3840" max="3840" width="9.375" style="212"/>
    <col min="3841" max="3841" width="10.125" style="212" bestFit="1" customWidth="1"/>
    <col min="3842" max="3842" width="10.75" style="212" customWidth="1"/>
    <col min="3843" max="3845" width="9.375" style="212"/>
    <col min="3846" max="3847" width="10.75" style="212" customWidth="1"/>
    <col min="3848" max="3852" width="9.375" style="212"/>
    <col min="3853" max="3853" width="1.625" style="212" bestFit="1" customWidth="1"/>
    <col min="3854" max="3854" width="9.375" style="212"/>
    <col min="3855" max="3855" width="8.875" style="212" customWidth="1"/>
    <col min="3856" max="3856" width="13.125" style="212" customWidth="1"/>
    <col min="3857" max="3857" width="9.375" style="212"/>
    <col min="3858" max="3858" width="9.875" style="212" customWidth="1"/>
    <col min="3859" max="3859" width="11.75" style="212" bestFit="1" customWidth="1"/>
    <col min="3860" max="4089" width="9.375" style="212"/>
    <col min="4090" max="4090" width="5" style="212" customWidth="1"/>
    <col min="4091" max="4091" width="17.875" style="212" bestFit="1" customWidth="1"/>
    <col min="4092" max="4092" width="9.875" style="212" customWidth="1"/>
    <col min="4093" max="4093" width="8.875" style="212" customWidth="1"/>
    <col min="4094" max="4094" width="7.375" style="212" bestFit="1" customWidth="1"/>
    <col min="4095" max="4095" width="10.125" style="212" bestFit="1" customWidth="1"/>
    <col min="4096" max="4096" width="9.375" style="212"/>
    <col min="4097" max="4097" width="10.125" style="212" bestFit="1" customWidth="1"/>
    <col min="4098" max="4098" width="10.75" style="212" customWidth="1"/>
    <col min="4099" max="4101" width="9.375" style="212"/>
    <col min="4102" max="4103" width="10.75" style="212" customWidth="1"/>
    <col min="4104" max="4108" width="9.375" style="212"/>
    <col min="4109" max="4109" width="1.625" style="212" bestFit="1" customWidth="1"/>
    <col min="4110" max="4110" width="9.375" style="212"/>
    <col min="4111" max="4111" width="8.875" style="212" customWidth="1"/>
    <col min="4112" max="4112" width="13.125" style="212" customWidth="1"/>
    <col min="4113" max="4113" width="9.375" style="212"/>
    <col min="4114" max="4114" width="9.875" style="212" customWidth="1"/>
    <col min="4115" max="4115" width="11.75" style="212" bestFit="1" customWidth="1"/>
    <col min="4116" max="4345" width="9.375" style="212"/>
    <col min="4346" max="4346" width="5" style="212" customWidth="1"/>
    <col min="4347" max="4347" width="17.875" style="212" bestFit="1" customWidth="1"/>
    <col min="4348" max="4348" width="9.875" style="212" customWidth="1"/>
    <col min="4349" max="4349" width="8.875" style="212" customWidth="1"/>
    <col min="4350" max="4350" width="7.375" style="212" bestFit="1" customWidth="1"/>
    <col min="4351" max="4351" width="10.125" style="212" bestFit="1" customWidth="1"/>
    <col min="4352" max="4352" width="9.375" style="212"/>
    <col min="4353" max="4353" width="10.125" style="212" bestFit="1" customWidth="1"/>
    <col min="4354" max="4354" width="10.75" style="212" customWidth="1"/>
    <col min="4355" max="4357" width="9.375" style="212"/>
    <col min="4358" max="4359" width="10.75" style="212" customWidth="1"/>
    <col min="4360" max="4364" width="9.375" style="212"/>
    <col min="4365" max="4365" width="1.625" style="212" bestFit="1" customWidth="1"/>
    <col min="4366" max="4366" width="9.375" style="212"/>
    <col min="4367" max="4367" width="8.875" style="212" customWidth="1"/>
    <col min="4368" max="4368" width="13.125" style="212" customWidth="1"/>
    <col min="4369" max="4369" width="9.375" style="212"/>
    <col min="4370" max="4370" width="9.875" style="212" customWidth="1"/>
    <col min="4371" max="4371" width="11.75" style="212" bestFit="1" customWidth="1"/>
    <col min="4372" max="4601" width="9.375" style="212"/>
    <col min="4602" max="4602" width="5" style="212" customWidth="1"/>
    <col min="4603" max="4603" width="17.875" style="212" bestFit="1" customWidth="1"/>
    <col min="4604" max="4604" width="9.875" style="212" customWidth="1"/>
    <col min="4605" max="4605" width="8.875" style="212" customWidth="1"/>
    <col min="4606" max="4606" width="7.375" style="212" bestFit="1" customWidth="1"/>
    <col min="4607" max="4607" width="10.125" style="212" bestFit="1" customWidth="1"/>
    <col min="4608" max="4608" width="9.375" style="212"/>
    <col min="4609" max="4609" width="10.125" style="212" bestFit="1" customWidth="1"/>
    <col min="4610" max="4610" width="10.75" style="212" customWidth="1"/>
    <col min="4611" max="4613" width="9.375" style="212"/>
    <col min="4614" max="4615" width="10.75" style="212" customWidth="1"/>
    <col min="4616" max="4620" width="9.375" style="212"/>
    <col min="4621" max="4621" width="1.625" style="212" bestFit="1" customWidth="1"/>
    <col min="4622" max="4622" width="9.375" style="212"/>
    <col min="4623" max="4623" width="8.875" style="212" customWidth="1"/>
    <col min="4624" max="4624" width="13.125" style="212" customWidth="1"/>
    <col min="4625" max="4625" width="9.375" style="212"/>
    <col min="4626" max="4626" width="9.875" style="212" customWidth="1"/>
    <col min="4627" max="4627" width="11.75" style="212" bestFit="1" customWidth="1"/>
    <col min="4628" max="4857" width="9.375" style="212"/>
    <col min="4858" max="4858" width="5" style="212" customWidth="1"/>
    <col min="4859" max="4859" width="17.875" style="212" bestFit="1" customWidth="1"/>
    <col min="4860" max="4860" width="9.875" style="212" customWidth="1"/>
    <col min="4861" max="4861" width="8.875" style="212" customWidth="1"/>
    <col min="4862" max="4862" width="7.375" style="212" bestFit="1" customWidth="1"/>
    <col min="4863" max="4863" width="10.125" style="212" bestFit="1" customWidth="1"/>
    <col min="4864" max="4864" width="9.375" style="212"/>
    <col min="4865" max="4865" width="10.125" style="212" bestFit="1" customWidth="1"/>
    <col min="4866" max="4866" width="10.75" style="212" customWidth="1"/>
    <col min="4867" max="4869" width="9.375" style="212"/>
    <col min="4870" max="4871" width="10.75" style="212" customWidth="1"/>
    <col min="4872" max="4876" width="9.375" style="212"/>
    <col min="4877" max="4877" width="1.625" style="212" bestFit="1" customWidth="1"/>
    <col min="4878" max="4878" width="9.375" style="212"/>
    <col min="4879" max="4879" width="8.875" style="212" customWidth="1"/>
    <col min="4880" max="4880" width="13.125" style="212" customWidth="1"/>
    <col min="4881" max="4881" width="9.375" style="212"/>
    <col min="4882" max="4882" width="9.875" style="212" customWidth="1"/>
    <col min="4883" max="4883" width="11.75" style="212" bestFit="1" customWidth="1"/>
    <col min="4884" max="5113" width="9.375" style="212"/>
    <col min="5114" max="5114" width="5" style="212" customWidth="1"/>
    <col min="5115" max="5115" width="17.875" style="212" bestFit="1" customWidth="1"/>
    <col min="5116" max="5116" width="9.875" style="212" customWidth="1"/>
    <col min="5117" max="5117" width="8.875" style="212" customWidth="1"/>
    <col min="5118" max="5118" width="7.375" style="212" bestFit="1" customWidth="1"/>
    <col min="5119" max="5119" width="10.125" style="212" bestFit="1" customWidth="1"/>
    <col min="5120" max="5120" width="9.375" style="212"/>
    <col min="5121" max="5121" width="10.125" style="212" bestFit="1" customWidth="1"/>
    <col min="5122" max="5122" width="10.75" style="212" customWidth="1"/>
    <col min="5123" max="5125" width="9.375" style="212"/>
    <col min="5126" max="5127" width="10.75" style="212" customWidth="1"/>
    <col min="5128" max="5132" width="9.375" style="212"/>
    <col min="5133" max="5133" width="1.625" style="212" bestFit="1" customWidth="1"/>
    <col min="5134" max="5134" width="9.375" style="212"/>
    <col min="5135" max="5135" width="8.875" style="212" customWidth="1"/>
    <col min="5136" max="5136" width="13.125" style="212" customWidth="1"/>
    <col min="5137" max="5137" width="9.375" style="212"/>
    <col min="5138" max="5138" width="9.875" style="212" customWidth="1"/>
    <col min="5139" max="5139" width="11.75" style="212" bestFit="1" customWidth="1"/>
    <col min="5140" max="5369" width="9.375" style="212"/>
    <col min="5370" max="5370" width="5" style="212" customWidth="1"/>
    <col min="5371" max="5371" width="17.875" style="212" bestFit="1" customWidth="1"/>
    <col min="5372" max="5372" width="9.875" style="212" customWidth="1"/>
    <col min="5373" max="5373" width="8.875" style="212" customWidth="1"/>
    <col min="5374" max="5374" width="7.375" style="212" bestFit="1" customWidth="1"/>
    <col min="5375" max="5375" width="10.125" style="212" bestFit="1" customWidth="1"/>
    <col min="5376" max="5376" width="9.375" style="212"/>
    <col min="5377" max="5377" width="10.125" style="212" bestFit="1" customWidth="1"/>
    <col min="5378" max="5378" width="10.75" style="212" customWidth="1"/>
    <col min="5379" max="5381" width="9.375" style="212"/>
    <col min="5382" max="5383" width="10.75" style="212" customWidth="1"/>
    <col min="5384" max="5388" width="9.375" style="212"/>
    <col min="5389" max="5389" width="1.625" style="212" bestFit="1" customWidth="1"/>
    <col min="5390" max="5390" width="9.375" style="212"/>
    <col min="5391" max="5391" width="8.875" style="212" customWidth="1"/>
    <col min="5392" max="5392" width="13.125" style="212" customWidth="1"/>
    <col min="5393" max="5393" width="9.375" style="212"/>
    <col min="5394" max="5394" width="9.875" style="212" customWidth="1"/>
    <col min="5395" max="5395" width="11.75" style="212" bestFit="1" customWidth="1"/>
    <col min="5396" max="5625" width="9.375" style="212"/>
    <col min="5626" max="5626" width="5" style="212" customWidth="1"/>
    <col min="5627" max="5627" width="17.875" style="212" bestFit="1" customWidth="1"/>
    <col min="5628" max="5628" width="9.875" style="212" customWidth="1"/>
    <col min="5629" max="5629" width="8.875" style="212" customWidth="1"/>
    <col min="5630" max="5630" width="7.375" style="212" bestFit="1" customWidth="1"/>
    <col min="5631" max="5631" width="10.125" style="212" bestFit="1" customWidth="1"/>
    <col min="5632" max="5632" width="9.375" style="212"/>
    <col min="5633" max="5633" width="10.125" style="212" bestFit="1" customWidth="1"/>
    <col min="5634" max="5634" width="10.75" style="212" customWidth="1"/>
    <col min="5635" max="5637" width="9.375" style="212"/>
    <col min="5638" max="5639" width="10.75" style="212" customWidth="1"/>
    <col min="5640" max="5644" width="9.375" style="212"/>
    <col min="5645" max="5645" width="1.625" style="212" bestFit="1" customWidth="1"/>
    <col min="5646" max="5646" width="9.375" style="212"/>
    <col min="5647" max="5647" width="8.875" style="212" customWidth="1"/>
    <col min="5648" max="5648" width="13.125" style="212" customWidth="1"/>
    <col min="5649" max="5649" width="9.375" style="212"/>
    <col min="5650" max="5650" width="9.875" style="212" customWidth="1"/>
    <col min="5651" max="5651" width="11.75" style="212" bestFit="1" customWidth="1"/>
    <col min="5652" max="5881" width="9.375" style="212"/>
    <col min="5882" max="5882" width="5" style="212" customWidth="1"/>
    <col min="5883" max="5883" width="17.875" style="212" bestFit="1" customWidth="1"/>
    <col min="5884" max="5884" width="9.875" style="212" customWidth="1"/>
    <col min="5885" max="5885" width="8.875" style="212" customWidth="1"/>
    <col min="5886" max="5886" width="7.375" style="212" bestFit="1" customWidth="1"/>
    <col min="5887" max="5887" width="10.125" style="212" bestFit="1" customWidth="1"/>
    <col min="5888" max="5888" width="9.375" style="212"/>
    <col min="5889" max="5889" width="10.125" style="212" bestFit="1" customWidth="1"/>
    <col min="5890" max="5890" width="10.75" style="212" customWidth="1"/>
    <col min="5891" max="5893" width="9.375" style="212"/>
    <col min="5894" max="5895" width="10.75" style="212" customWidth="1"/>
    <col min="5896" max="5900" width="9.375" style="212"/>
    <col min="5901" max="5901" width="1.625" style="212" bestFit="1" customWidth="1"/>
    <col min="5902" max="5902" width="9.375" style="212"/>
    <col min="5903" max="5903" width="8.875" style="212" customWidth="1"/>
    <col min="5904" max="5904" width="13.125" style="212" customWidth="1"/>
    <col min="5905" max="5905" width="9.375" style="212"/>
    <col min="5906" max="5906" width="9.875" style="212" customWidth="1"/>
    <col min="5907" max="5907" width="11.75" style="212" bestFit="1" customWidth="1"/>
    <col min="5908" max="6137" width="9.375" style="212"/>
    <col min="6138" max="6138" width="5" style="212" customWidth="1"/>
    <col min="6139" max="6139" width="17.875" style="212" bestFit="1" customWidth="1"/>
    <col min="6140" max="6140" width="9.875" style="212" customWidth="1"/>
    <col min="6141" max="6141" width="8.875" style="212" customWidth="1"/>
    <col min="6142" max="6142" width="7.375" style="212" bestFit="1" customWidth="1"/>
    <col min="6143" max="6143" width="10.125" style="212" bestFit="1" customWidth="1"/>
    <col min="6144" max="6144" width="9.375" style="212"/>
    <col min="6145" max="6145" width="10.125" style="212" bestFit="1" customWidth="1"/>
    <col min="6146" max="6146" width="10.75" style="212" customWidth="1"/>
    <col min="6147" max="6149" width="9.375" style="212"/>
    <col min="6150" max="6151" width="10.75" style="212" customWidth="1"/>
    <col min="6152" max="6156" width="9.375" style="212"/>
    <col min="6157" max="6157" width="1.625" style="212" bestFit="1" customWidth="1"/>
    <col min="6158" max="6158" width="9.375" style="212"/>
    <col min="6159" max="6159" width="8.875" style="212" customWidth="1"/>
    <col min="6160" max="6160" width="13.125" style="212" customWidth="1"/>
    <col min="6161" max="6161" width="9.375" style="212"/>
    <col min="6162" max="6162" width="9.875" style="212" customWidth="1"/>
    <col min="6163" max="6163" width="11.75" style="212" bestFit="1" customWidth="1"/>
    <col min="6164" max="6393" width="9.375" style="212"/>
    <col min="6394" max="6394" width="5" style="212" customWidth="1"/>
    <col min="6395" max="6395" width="17.875" style="212" bestFit="1" customWidth="1"/>
    <col min="6396" max="6396" width="9.875" style="212" customWidth="1"/>
    <col min="6397" max="6397" width="8.875" style="212" customWidth="1"/>
    <col min="6398" max="6398" width="7.375" style="212" bestFit="1" customWidth="1"/>
    <col min="6399" max="6399" width="10.125" style="212" bestFit="1" customWidth="1"/>
    <col min="6400" max="6400" width="9.375" style="212"/>
    <col min="6401" max="6401" width="10.125" style="212" bestFit="1" customWidth="1"/>
    <col min="6402" max="6402" width="10.75" style="212" customWidth="1"/>
    <col min="6403" max="6405" width="9.375" style="212"/>
    <col min="6406" max="6407" width="10.75" style="212" customWidth="1"/>
    <col min="6408" max="6412" width="9.375" style="212"/>
    <col min="6413" max="6413" width="1.625" style="212" bestFit="1" customWidth="1"/>
    <col min="6414" max="6414" width="9.375" style="212"/>
    <col min="6415" max="6415" width="8.875" style="212" customWidth="1"/>
    <col min="6416" max="6416" width="13.125" style="212" customWidth="1"/>
    <col min="6417" max="6417" width="9.375" style="212"/>
    <col min="6418" max="6418" width="9.875" style="212" customWidth="1"/>
    <col min="6419" max="6419" width="11.75" style="212" bestFit="1" customWidth="1"/>
    <col min="6420" max="6649" width="9.375" style="212"/>
    <col min="6650" max="6650" width="5" style="212" customWidth="1"/>
    <col min="6651" max="6651" width="17.875" style="212" bestFit="1" customWidth="1"/>
    <col min="6652" max="6652" width="9.875" style="212" customWidth="1"/>
    <col min="6653" max="6653" width="8.875" style="212" customWidth="1"/>
    <col min="6654" max="6654" width="7.375" style="212" bestFit="1" customWidth="1"/>
    <col min="6655" max="6655" width="10.125" style="212" bestFit="1" customWidth="1"/>
    <col min="6656" max="6656" width="9.375" style="212"/>
    <col min="6657" max="6657" width="10.125" style="212" bestFit="1" customWidth="1"/>
    <col min="6658" max="6658" width="10.75" style="212" customWidth="1"/>
    <col min="6659" max="6661" width="9.375" style="212"/>
    <col min="6662" max="6663" width="10.75" style="212" customWidth="1"/>
    <col min="6664" max="6668" width="9.375" style="212"/>
    <col min="6669" max="6669" width="1.625" style="212" bestFit="1" customWidth="1"/>
    <col min="6670" max="6670" width="9.375" style="212"/>
    <col min="6671" max="6671" width="8.875" style="212" customWidth="1"/>
    <col min="6672" max="6672" width="13.125" style="212" customWidth="1"/>
    <col min="6673" max="6673" width="9.375" style="212"/>
    <col min="6674" max="6674" width="9.875" style="212" customWidth="1"/>
    <col min="6675" max="6675" width="11.75" style="212" bestFit="1" customWidth="1"/>
    <col min="6676" max="6905" width="9.375" style="212"/>
    <col min="6906" max="6906" width="5" style="212" customWidth="1"/>
    <col min="6907" max="6907" width="17.875" style="212" bestFit="1" customWidth="1"/>
    <col min="6908" max="6908" width="9.875" style="212" customWidth="1"/>
    <col min="6909" max="6909" width="8.875" style="212" customWidth="1"/>
    <col min="6910" max="6910" width="7.375" style="212" bestFit="1" customWidth="1"/>
    <col min="6911" max="6911" width="10.125" style="212" bestFit="1" customWidth="1"/>
    <col min="6912" max="6912" width="9.375" style="212"/>
    <col min="6913" max="6913" width="10.125" style="212" bestFit="1" customWidth="1"/>
    <col min="6914" max="6914" width="10.75" style="212" customWidth="1"/>
    <col min="6915" max="6917" width="9.375" style="212"/>
    <col min="6918" max="6919" width="10.75" style="212" customWidth="1"/>
    <col min="6920" max="6924" width="9.375" style="212"/>
    <col min="6925" max="6925" width="1.625" style="212" bestFit="1" customWidth="1"/>
    <col min="6926" max="6926" width="9.375" style="212"/>
    <col min="6927" max="6927" width="8.875" style="212" customWidth="1"/>
    <col min="6928" max="6928" width="13.125" style="212" customWidth="1"/>
    <col min="6929" max="6929" width="9.375" style="212"/>
    <col min="6930" max="6930" width="9.875" style="212" customWidth="1"/>
    <col min="6931" max="6931" width="11.75" style="212" bestFit="1" customWidth="1"/>
    <col min="6932" max="7161" width="9.375" style="212"/>
    <col min="7162" max="7162" width="5" style="212" customWidth="1"/>
    <col min="7163" max="7163" width="17.875" style="212" bestFit="1" customWidth="1"/>
    <col min="7164" max="7164" width="9.875" style="212" customWidth="1"/>
    <col min="7165" max="7165" width="8.875" style="212" customWidth="1"/>
    <col min="7166" max="7166" width="7.375" style="212" bestFit="1" customWidth="1"/>
    <col min="7167" max="7167" width="10.125" style="212" bestFit="1" customWidth="1"/>
    <col min="7168" max="7168" width="9.375" style="212"/>
    <col min="7169" max="7169" width="10.125" style="212" bestFit="1" customWidth="1"/>
    <col min="7170" max="7170" width="10.75" style="212" customWidth="1"/>
    <col min="7171" max="7173" width="9.375" style="212"/>
    <col min="7174" max="7175" width="10.75" style="212" customWidth="1"/>
    <col min="7176" max="7180" width="9.375" style="212"/>
    <col min="7181" max="7181" width="1.625" style="212" bestFit="1" customWidth="1"/>
    <col min="7182" max="7182" width="9.375" style="212"/>
    <col min="7183" max="7183" width="8.875" style="212" customWidth="1"/>
    <col min="7184" max="7184" width="13.125" style="212" customWidth="1"/>
    <col min="7185" max="7185" width="9.375" style="212"/>
    <col min="7186" max="7186" width="9.875" style="212" customWidth="1"/>
    <col min="7187" max="7187" width="11.75" style="212" bestFit="1" customWidth="1"/>
    <col min="7188" max="7417" width="9.375" style="212"/>
    <col min="7418" max="7418" width="5" style="212" customWidth="1"/>
    <col min="7419" max="7419" width="17.875" style="212" bestFit="1" customWidth="1"/>
    <col min="7420" max="7420" width="9.875" style="212" customWidth="1"/>
    <col min="7421" max="7421" width="8.875" style="212" customWidth="1"/>
    <col min="7422" max="7422" width="7.375" style="212" bestFit="1" customWidth="1"/>
    <col min="7423" max="7423" width="10.125" style="212" bestFit="1" customWidth="1"/>
    <col min="7424" max="7424" width="9.375" style="212"/>
    <col min="7425" max="7425" width="10.125" style="212" bestFit="1" customWidth="1"/>
    <col min="7426" max="7426" width="10.75" style="212" customWidth="1"/>
    <col min="7427" max="7429" width="9.375" style="212"/>
    <col min="7430" max="7431" width="10.75" style="212" customWidth="1"/>
    <col min="7432" max="7436" width="9.375" style="212"/>
    <col min="7437" max="7437" width="1.625" style="212" bestFit="1" customWidth="1"/>
    <col min="7438" max="7438" width="9.375" style="212"/>
    <col min="7439" max="7439" width="8.875" style="212" customWidth="1"/>
    <col min="7440" max="7440" width="13.125" style="212" customWidth="1"/>
    <col min="7441" max="7441" width="9.375" style="212"/>
    <col min="7442" max="7442" width="9.875" style="212" customWidth="1"/>
    <col min="7443" max="7443" width="11.75" style="212" bestFit="1" customWidth="1"/>
    <col min="7444" max="7673" width="9.375" style="212"/>
    <col min="7674" max="7674" width="5" style="212" customWidth="1"/>
    <col min="7675" max="7675" width="17.875" style="212" bestFit="1" customWidth="1"/>
    <col min="7676" max="7676" width="9.875" style="212" customWidth="1"/>
    <col min="7677" max="7677" width="8.875" style="212" customWidth="1"/>
    <col min="7678" max="7678" width="7.375" style="212" bestFit="1" customWidth="1"/>
    <col min="7679" max="7679" width="10.125" style="212" bestFit="1" customWidth="1"/>
    <col min="7680" max="7680" width="9.375" style="212"/>
    <col min="7681" max="7681" width="10.125" style="212" bestFit="1" customWidth="1"/>
    <col min="7682" max="7682" width="10.75" style="212" customWidth="1"/>
    <col min="7683" max="7685" width="9.375" style="212"/>
    <col min="7686" max="7687" width="10.75" style="212" customWidth="1"/>
    <col min="7688" max="7692" width="9.375" style="212"/>
    <col min="7693" max="7693" width="1.625" style="212" bestFit="1" customWidth="1"/>
    <col min="7694" max="7694" width="9.375" style="212"/>
    <col min="7695" max="7695" width="8.875" style="212" customWidth="1"/>
    <col min="7696" max="7696" width="13.125" style="212" customWidth="1"/>
    <col min="7697" max="7697" width="9.375" style="212"/>
    <col min="7698" max="7698" width="9.875" style="212" customWidth="1"/>
    <col min="7699" max="7699" width="11.75" style="212" bestFit="1" customWidth="1"/>
    <col min="7700" max="7929" width="9.375" style="212"/>
    <col min="7930" max="7930" width="5" style="212" customWidth="1"/>
    <col min="7931" max="7931" width="17.875" style="212" bestFit="1" customWidth="1"/>
    <col min="7932" max="7932" width="9.875" style="212" customWidth="1"/>
    <col min="7933" max="7933" width="8.875" style="212" customWidth="1"/>
    <col min="7934" max="7934" width="7.375" style="212" bestFit="1" customWidth="1"/>
    <col min="7935" max="7935" width="10.125" style="212" bestFit="1" customWidth="1"/>
    <col min="7936" max="7936" width="9.375" style="212"/>
    <col min="7937" max="7937" width="10.125" style="212" bestFit="1" customWidth="1"/>
    <col min="7938" max="7938" width="10.75" style="212" customWidth="1"/>
    <col min="7939" max="7941" width="9.375" style="212"/>
    <col min="7942" max="7943" width="10.75" style="212" customWidth="1"/>
    <col min="7944" max="7948" width="9.375" style="212"/>
    <col min="7949" max="7949" width="1.625" style="212" bestFit="1" customWidth="1"/>
    <col min="7950" max="7950" width="9.375" style="212"/>
    <col min="7951" max="7951" width="8.875" style="212" customWidth="1"/>
    <col min="7952" max="7952" width="13.125" style="212" customWidth="1"/>
    <col min="7953" max="7953" width="9.375" style="212"/>
    <col min="7954" max="7954" width="9.875" style="212" customWidth="1"/>
    <col min="7955" max="7955" width="11.75" style="212" bestFit="1" customWidth="1"/>
    <col min="7956" max="8185" width="9.375" style="212"/>
    <col min="8186" max="8186" width="5" style="212" customWidth="1"/>
    <col min="8187" max="8187" width="17.875" style="212" bestFit="1" customWidth="1"/>
    <col min="8188" max="8188" width="9.875" style="212" customWidth="1"/>
    <col min="8189" max="8189" width="8.875" style="212" customWidth="1"/>
    <col min="8190" max="8190" width="7.375" style="212" bestFit="1" customWidth="1"/>
    <col min="8191" max="8191" width="10.125" style="212" bestFit="1" customWidth="1"/>
    <col min="8192" max="8192" width="9.375" style="212"/>
    <col min="8193" max="8193" width="10.125" style="212" bestFit="1" customWidth="1"/>
    <col min="8194" max="8194" width="10.75" style="212" customWidth="1"/>
    <col min="8195" max="8197" width="9.375" style="212"/>
    <col min="8198" max="8199" width="10.75" style="212" customWidth="1"/>
    <col min="8200" max="8204" width="9.375" style="212"/>
    <col min="8205" max="8205" width="1.625" style="212" bestFit="1" customWidth="1"/>
    <col min="8206" max="8206" width="9.375" style="212"/>
    <col min="8207" max="8207" width="8.875" style="212" customWidth="1"/>
    <col min="8208" max="8208" width="13.125" style="212" customWidth="1"/>
    <col min="8209" max="8209" width="9.375" style="212"/>
    <col min="8210" max="8210" width="9.875" style="212" customWidth="1"/>
    <col min="8211" max="8211" width="11.75" style="212" bestFit="1" customWidth="1"/>
    <col min="8212" max="8441" width="9.375" style="212"/>
    <col min="8442" max="8442" width="5" style="212" customWidth="1"/>
    <col min="8443" max="8443" width="17.875" style="212" bestFit="1" customWidth="1"/>
    <col min="8444" max="8444" width="9.875" style="212" customWidth="1"/>
    <col min="8445" max="8445" width="8.875" style="212" customWidth="1"/>
    <col min="8446" max="8446" width="7.375" style="212" bestFit="1" customWidth="1"/>
    <col min="8447" max="8447" width="10.125" style="212" bestFit="1" customWidth="1"/>
    <col min="8448" max="8448" width="9.375" style="212"/>
    <col min="8449" max="8449" width="10.125" style="212" bestFit="1" customWidth="1"/>
    <col min="8450" max="8450" width="10.75" style="212" customWidth="1"/>
    <col min="8451" max="8453" width="9.375" style="212"/>
    <col min="8454" max="8455" width="10.75" style="212" customWidth="1"/>
    <col min="8456" max="8460" width="9.375" style="212"/>
    <col min="8461" max="8461" width="1.625" style="212" bestFit="1" customWidth="1"/>
    <col min="8462" max="8462" width="9.375" style="212"/>
    <col min="8463" max="8463" width="8.875" style="212" customWidth="1"/>
    <col min="8464" max="8464" width="13.125" style="212" customWidth="1"/>
    <col min="8465" max="8465" width="9.375" style="212"/>
    <col min="8466" max="8466" width="9.875" style="212" customWidth="1"/>
    <col min="8467" max="8467" width="11.75" style="212" bestFit="1" customWidth="1"/>
    <col min="8468" max="8697" width="9.375" style="212"/>
    <col min="8698" max="8698" width="5" style="212" customWidth="1"/>
    <col min="8699" max="8699" width="17.875" style="212" bestFit="1" customWidth="1"/>
    <col min="8700" max="8700" width="9.875" style="212" customWidth="1"/>
    <col min="8701" max="8701" width="8.875" style="212" customWidth="1"/>
    <col min="8702" max="8702" width="7.375" style="212" bestFit="1" customWidth="1"/>
    <col min="8703" max="8703" width="10.125" style="212" bestFit="1" customWidth="1"/>
    <col min="8704" max="8704" width="9.375" style="212"/>
    <col min="8705" max="8705" width="10.125" style="212" bestFit="1" customWidth="1"/>
    <col min="8706" max="8706" width="10.75" style="212" customWidth="1"/>
    <col min="8707" max="8709" width="9.375" style="212"/>
    <col min="8710" max="8711" width="10.75" style="212" customWidth="1"/>
    <col min="8712" max="8716" width="9.375" style="212"/>
    <col min="8717" max="8717" width="1.625" style="212" bestFit="1" customWidth="1"/>
    <col min="8718" max="8718" width="9.375" style="212"/>
    <col min="8719" max="8719" width="8.875" style="212" customWidth="1"/>
    <col min="8720" max="8720" width="13.125" style="212" customWidth="1"/>
    <col min="8721" max="8721" width="9.375" style="212"/>
    <col min="8722" max="8722" width="9.875" style="212" customWidth="1"/>
    <col min="8723" max="8723" width="11.75" style="212" bestFit="1" customWidth="1"/>
    <col min="8724" max="8953" width="9.375" style="212"/>
    <col min="8954" max="8954" width="5" style="212" customWidth="1"/>
    <col min="8955" max="8955" width="17.875" style="212" bestFit="1" customWidth="1"/>
    <col min="8956" max="8956" width="9.875" style="212" customWidth="1"/>
    <col min="8957" max="8957" width="8.875" style="212" customWidth="1"/>
    <col min="8958" max="8958" width="7.375" style="212" bestFit="1" customWidth="1"/>
    <col min="8959" max="8959" width="10.125" style="212" bestFit="1" customWidth="1"/>
    <col min="8960" max="8960" width="9.375" style="212"/>
    <col min="8961" max="8961" width="10.125" style="212" bestFit="1" customWidth="1"/>
    <col min="8962" max="8962" width="10.75" style="212" customWidth="1"/>
    <col min="8963" max="8965" width="9.375" style="212"/>
    <col min="8966" max="8967" width="10.75" style="212" customWidth="1"/>
    <col min="8968" max="8972" width="9.375" style="212"/>
    <col min="8973" max="8973" width="1.625" style="212" bestFit="1" customWidth="1"/>
    <col min="8974" max="8974" width="9.375" style="212"/>
    <col min="8975" max="8975" width="8.875" style="212" customWidth="1"/>
    <col min="8976" max="8976" width="13.125" style="212" customWidth="1"/>
    <col min="8977" max="8977" width="9.375" style="212"/>
    <col min="8978" max="8978" width="9.875" style="212" customWidth="1"/>
    <col min="8979" max="8979" width="11.75" style="212" bestFit="1" customWidth="1"/>
    <col min="8980" max="9209" width="9.375" style="212"/>
    <col min="9210" max="9210" width="5" style="212" customWidth="1"/>
    <col min="9211" max="9211" width="17.875" style="212" bestFit="1" customWidth="1"/>
    <col min="9212" max="9212" width="9.875" style="212" customWidth="1"/>
    <col min="9213" max="9213" width="8.875" style="212" customWidth="1"/>
    <col min="9214" max="9214" width="7.375" style="212" bestFit="1" customWidth="1"/>
    <col min="9215" max="9215" width="10.125" style="212" bestFit="1" customWidth="1"/>
    <col min="9216" max="9216" width="9.375" style="212"/>
    <col min="9217" max="9217" width="10.125" style="212" bestFit="1" customWidth="1"/>
    <col min="9218" max="9218" width="10.75" style="212" customWidth="1"/>
    <col min="9219" max="9221" width="9.375" style="212"/>
    <col min="9222" max="9223" width="10.75" style="212" customWidth="1"/>
    <col min="9224" max="9228" width="9.375" style="212"/>
    <col min="9229" max="9229" width="1.625" style="212" bestFit="1" customWidth="1"/>
    <col min="9230" max="9230" width="9.375" style="212"/>
    <col min="9231" max="9231" width="8.875" style="212" customWidth="1"/>
    <col min="9232" max="9232" width="13.125" style="212" customWidth="1"/>
    <col min="9233" max="9233" width="9.375" style="212"/>
    <col min="9234" max="9234" width="9.875" style="212" customWidth="1"/>
    <col min="9235" max="9235" width="11.75" style="212" bestFit="1" customWidth="1"/>
    <col min="9236" max="9465" width="9.375" style="212"/>
    <col min="9466" max="9466" width="5" style="212" customWidth="1"/>
    <col min="9467" max="9467" width="17.875" style="212" bestFit="1" customWidth="1"/>
    <col min="9468" max="9468" width="9.875" style="212" customWidth="1"/>
    <col min="9469" max="9469" width="8.875" style="212" customWidth="1"/>
    <col min="9470" max="9470" width="7.375" style="212" bestFit="1" customWidth="1"/>
    <col min="9471" max="9471" width="10.125" style="212" bestFit="1" customWidth="1"/>
    <col min="9472" max="9472" width="9.375" style="212"/>
    <col min="9473" max="9473" width="10.125" style="212" bestFit="1" customWidth="1"/>
    <col min="9474" max="9474" width="10.75" style="212" customWidth="1"/>
    <col min="9475" max="9477" width="9.375" style="212"/>
    <col min="9478" max="9479" width="10.75" style="212" customWidth="1"/>
    <col min="9480" max="9484" width="9.375" style="212"/>
    <col min="9485" max="9485" width="1.625" style="212" bestFit="1" customWidth="1"/>
    <col min="9486" max="9486" width="9.375" style="212"/>
    <col min="9487" max="9487" width="8.875" style="212" customWidth="1"/>
    <col min="9488" max="9488" width="13.125" style="212" customWidth="1"/>
    <col min="9489" max="9489" width="9.375" style="212"/>
    <col min="9490" max="9490" width="9.875" style="212" customWidth="1"/>
    <col min="9491" max="9491" width="11.75" style="212" bestFit="1" customWidth="1"/>
    <col min="9492" max="9721" width="9.375" style="212"/>
    <col min="9722" max="9722" width="5" style="212" customWidth="1"/>
    <col min="9723" max="9723" width="17.875" style="212" bestFit="1" customWidth="1"/>
    <col min="9724" max="9724" width="9.875" style="212" customWidth="1"/>
    <col min="9725" max="9725" width="8.875" style="212" customWidth="1"/>
    <col min="9726" max="9726" width="7.375" style="212" bestFit="1" customWidth="1"/>
    <col min="9727" max="9727" width="10.125" style="212" bestFit="1" customWidth="1"/>
    <col min="9728" max="9728" width="9.375" style="212"/>
    <col min="9729" max="9729" width="10.125" style="212" bestFit="1" customWidth="1"/>
    <col min="9730" max="9730" width="10.75" style="212" customWidth="1"/>
    <col min="9731" max="9733" width="9.375" style="212"/>
    <col min="9734" max="9735" width="10.75" style="212" customWidth="1"/>
    <col min="9736" max="9740" width="9.375" style="212"/>
    <col min="9741" max="9741" width="1.625" style="212" bestFit="1" customWidth="1"/>
    <col min="9742" max="9742" width="9.375" style="212"/>
    <col min="9743" max="9743" width="8.875" style="212" customWidth="1"/>
    <col min="9744" max="9744" width="13.125" style="212" customWidth="1"/>
    <col min="9745" max="9745" width="9.375" style="212"/>
    <col min="9746" max="9746" width="9.875" style="212" customWidth="1"/>
    <col min="9747" max="9747" width="11.75" style="212" bestFit="1" customWidth="1"/>
    <col min="9748" max="9977" width="9.375" style="212"/>
    <col min="9978" max="9978" width="5" style="212" customWidth="1"/>
    <col min="9979" max="9979" width="17.875" style="212" bestFit="1" customWidth="1"/>
    <col min="9980" max="9980" width="9.875" style="212" customWidth="1"/>
    <col min="9981" max="9981" width="8.875" style="212" customWidth="1"/>
    <col min="9982" max="9982" width="7.375" style="212" bestFit="1" customWidth="1"/>
    <col min="9983" max="9983" width="10.125" style="212" bestFit="1" customWidth="1"/>
    <col min="9984" max="9984" width="9.375" style="212"/>
    <col min="9985" max="9985" width="10.125" style="212" bestFit="1" customWidth="1"/>
    <col min="9986" max="9986" width="10.75" style="212" customWidth="1"/>
    <col min="9987" max="9989" width="9.375" style="212"/>
    <col min="9990" max="9991" width="10.75" style="212" customWidth="1"/>
    <col min="9992" max="9996" width="9.375" style="212"/>
    <col min="9997" max="9997" width="1.625" style="212" bestFit="1" customWidth="1"/>
    <col min="9998" max="9998" width="9.375" style="212"/>
    <col min="9999" max="9999" width="8.875" style="212" customWidth="1"/>
    <col min="10000" max="10000" width="13.125" style="212" customWidth="1"/>
    <col min="10001" max="10001" width="9.375" style="212"/>
    <col min="10002" max="10002" width="9.875" style="212" customWidth="1"/>
    <col min="10003" max="10003" width="11.75" style="212" bestFit="1" customWidth="1"/>
    <col min="10004" max="10233" width="9.375" style="212"/>
    <col min="10234" max="10234" width="5" style="212" customWidth="1"/>
    <col min="10235" max="10235" width="17.875" style="212" bestFit="1" customWidth="1"/>
    <col min="10236" max="10236" width="9.875" style="212" customWidth="1"/>
    <col min="10237" max="10237" width="8.875" style="212" customWidth="1"/>
    <col min="10238" max="10238" width="7.375" style="212" bestFit="1" customWidth="1"/>
    <col min="10239" max="10239" width="10.125" style="212" bestFit="1" customWidth="1"/>
    <col min="10240" max="10240" width="9.375" style="212"/>
    <col min="10241" max="10241" width="10.125" style="212" bestFit="1" customWidth="1"/>
    <col min="10242" max="10242" width="10.75" style="212" customWidth="1"/>
    <col min="10243" max="10245" width="9.375" style="212"/>
    <col min="10246" max="10247" width="10.75" style="212" customWidth="1"/>
    <col min="10248" max="10252" width="9.375" style="212"/>
    <col min="10253" max="10253" width="1.625" style="212" bestFit="1" customWidth="1"/>
    <col min="10254" max="10254" width="9.375" style="212"/>
    <col min="10255" max="10255" width="8.875" style="212" customWidth="1"/>
    <col min="10256" max="10256" width="13.125" style="212" customWidth="1"/>
    <col min="10257" max="10257" width="9.375" style="212"/>
    <col min="10258" max="10258" width="9.875" style="212" customWidth="1"/>
    <col min="10259" max="10259" width="11.75" style="212" bestFit="1" customWidth="1"/>
    <col min="10260" max="10489" width="9.375" style="212"/>
    <col min="10490" max="10490" width="5" style="212" customWidth="1"/>
    <col min="10491" max="10491" width="17.875" style="212" bestFit="1" customWidth="1"/>
    <col min="10492" max="10492" width="9.875" style="212" customWidth="1"/>
    <col min="10493" max="10493" width="8.875" style="212" customWidth="1"/>
    <col min="10494" max="10494" width="7.375" style="212" bestFit="1" customWidth="1"/>
    <col min="10495" max="10495" width="10.125" style="212" bestFit="1" customWidth="1"/>
    <col min="10496" max="10496" width="9.375" style="212"/>
    <col min="10497" max="10497" width="10.125" style="212" bestFit="1" customWidth="1"/>
    <col min="10498" max="10498" width="10.75" style="212" customWidth="1"/>
    <col min="10499" max="10501" width="9.375" style="212"/>
    <col min="10502" max="10503" width="10.75" style="212" customWidth="1"/>
    <col min="10504" max="10508" width="9.375" style="212"/>
    <col min="10509" max="10509" width="1.625" style="212" bestFit="1" customWidth="1"/>
    <col min="10510" max="10510" width="9.375" style="212"/>
    <col min="10511" max="10511" width="8.875" style="212" customWidth="1"/>
    <col min="10512" max="10512" width="13.125" style="212" customWidth="1"/>
    <col min="10513" max="10513" width="9.375" style="212"/>
    <col min="10514" max="10514" width="9.875" style="212" customWidth="1"/>
    <col min="10515" max="10515" width="11.75" style="212" bestFit="1" customWidth="1"/>
    <col min="10516" max="10745" width="9.375" style="212"/>
    <col min="10746" max="10746" width="5" style="212" customWidth="1"/>
    <col min="10747" max="10747" width="17.875" style="212" bestFit="1" customWidth="1"/>
    <col min="10748" max="10748" width="9.875" style="212" customWidth="1"/>
    <col min="10749" max="10749" width="8.875" style="212" customWidth="1"/>
    <col min="10750" max="10750" width="7.375" style="212" bestFit="1" customWidth="1"/>
    <col min="10751" max="10751" width="10.125" style="212" bestFit="1" customWidth="1"/>
    <col min="10752" max="10752" width="9.375" style="212"/>
    <col min="10753" max="10753" width="10.125" style="212" bestFit="1" customWidth="1"/>
    <col min="10754" max="10754" width="10.75" style="212" customWidth="1"/>
    <col min="10755" max="10757" width="9.375" style="212"/>
    <col min="10758" max="10759" width="10.75" style="212" customWidth="1"/>
    <col min="10760" max="10764" width="9.375" style="212"/>
    <col min="10765" max="10765" width="1.625" style="212" bestFit="1" customWidth="1"/>
    <col min="10766" max="10766" width="9.375" style="212"/>
    <col min="10767" max="10767" width="8.875" style="212" customWidth="1"/>
    <col min="10768" max="10768" width="13.125" style="212" customWidth="1"/>
    <col min="10769" max="10769" width="9.375" style="212"/>
    <col min="10770" max="10770" width="9.875" style="212" customWidth="1"/>
    <col min="10771" max="10771" width="11.75" style="212" bestFit="1" customWidth="1"/>
    <col min="10772" max="11001" width="9.375" style="212"/>
    <col min="11002" max="11002" width="5" style="212" customWidth="1"/>
    <col min="11003" max="11003" width="17.875" style="212" bestFit="1" customWidth="1"/>
    <col min="11004" max="11004" width="9.875" style="212" customWidth="1"/>
    <col min="11005" max="11005" width="8.875" style="212" customWidth="1"/>
    <col min="11006" max="11006" width="7.375" style="212" bestFit="1" customWidth="1"/>
    <col min="11007" max="11007" width="10.125" style="212" bestFit="1" customWidth="1"/>
    <col min="11008" max="11008" width="9.375" style="212"/>
    <col min="11009" max="11009" width="10.125" style="212" bestFit="1" customWidth="1"/>
    <col min="11010" max="11010" width="10.75" style="212" customWidth="1"/>
    <col min="11011" max="11013" width="9.375" style="212"/>
    <col min="11014" max="11015" width="10.75" style="212" customWidth="1"/>
    <col min="11016" max="11020" width="9.375" style="212"/>
    <col min="11021" max="11021" width="1.625" style="212" bestFit="1" customWidth="1"/>
    <col min="11022" max="11022" width="9.375" style="212"/>
    <col min="11023" max="11023" width="8.875" style="212" customWidth="1"/>
    <col min="11024" max="11024" width="13.125" style="212" customWidth="1"/>
    <col min="11025" max="11025" width="9.375" style="212"/>
    <col min="11026" max="11026" width="9.875" style="212" customWidth="1"/>
    <col min="11027" max="11027" width="11.75" style="212" bestFit="1" customWidth="1"/>
    <col min="11028" max="11257" width="9.375" style="212"/>
    <col min="11258" max="11258" width="5" style="212" customWidth="1"/>
    <col min="11259" max="11259" width="17.875" style="212" bestFit="1" customWidth="1"/>
    <col min="11260" max="11260" width="9.875" style="212" customWidth="1"/>
    <col min="11261" max="11261" width="8.875" style="212" customWidth="1"/>
    <col min="11262" max="11262" width="7.375" style="212" bestFit="1" customWidth="1"/>
    <col min="11263" max="11263" width="10.125" style="212" bestFit="1" customWidth="1"/>
    <col min="11264" max="11264" width="9.375" style="212"/>
    <col min="11265" max="11265" width="10.125" style="212" bestFit="1" customWidth="1"/>
    <col min="11266" max="11266" width="10.75" style="212" customWidth="1"/>
    <col min="11267" max="11269" width="9.375" style="212"/>
    <col min="11270" max="11271" width="10.75" style="212" customWidth="1"/>
    <col min="11272" max="11276" width="9.375" style="212"/>
    <col min="11277" max="11277" width="1.625" style="212" bestFit="1" customWidth="1"/>
    <col min="11278" max="11278" width="9.375" style="212"/>
    <col min="11279" max="11279" width="8.875" style="212" customWidth="1"/>
    <col min="11280" max="11280" width="13.125" style="212" customWidth="1"/>
    <col min="11281" max="11281" width="9.375" style="212"/>
    <col min="11282" max="11282" width="9.875" style="212" customWidth="1"/>
    <col min="11283" max="11283" width="11.75" style="212" bestFit="1" customWidth="1"/>
    <col min="11284" max="11513" width="9.375" style="212"/>
    <col min="11514" max="11514" width="5" style="212" customWidth="1"/>
    <col min="11515" max="11515" width="17.875" style="212" bestFit="1" customWidth="1"/>
    <col min="11516" max="11516" width="9.875" style="212" customWidth="1"/>
    <col min="11517" max="11517" width="8.875" style="212" customWidth="1"/>
    <col min="11518" max="11518" width="7.375" style="212" bestFit="1" customWidth="1"/>
    <col min="11519" max="11519" width="10.125" style="212" bestFit="1" customWidth="1"/>
    <col min="11520" max="11520" width="9.375" style="212"/>
    <col min="11521" max="11521" width="10.125" style="212" bestFit="1" customWidth="1"/>
    <col min="11522" max="11522" width="10.75" style="212" customWidth="1"/>
    <col min="11523" max="11525" width="9.375" style="212"/>
    <col min="11526" max="11527" width="10.75" style="212" customWidth="1"/>
    <col min="11528" max="11532" width="9.375" style="212"/>
    <col min="11533" max="11533" width="1.625" style="212" bestFit="1" customWidth="1"/>
    <col min="11534" max="11534" width="9.375" style="212"/>
    <col min="11535" max="11535" width="8.875" style="212" customWidth="1"/>
    <col min="11536" max="11536" width="13.125" style="212" customWidth="1"/>
    <col min="11537" max="11537" width="9.375" style="212"/>
    <col min="11538" max="11538" width="9.875" style="212" customWidth="1"/>
    <col min="11539" max="11539" width="11.75" style="212" bestFit="1" customWidth="1"/>
    <col min="11540" max="11769" width="9.375" style="212"/>
    <col min="11770" max="11770" width="5" style="212" customWidth="1"/>
    <col min="11771" max="11771" width="17.875" style="212" bestFit="1" customWidth="1"/>
    <col min="11772" max="11772" width="9.875" style="212" customWidth="1"/>
    <col min="11773" max="11773" width="8.875" style="212" customWidth="1"/>
    <col min="11774" max="11774" width="7.375" style="212" bestFit="1" customWidth="1"/>
    <col min="11775" max="11775" width="10.125" style="212" bestFit="1" customWidth="1"/>
    <col min="11776" max="11776" width="9.375" style="212"/>
    <col min="11777" max="11777" width="10.125" style="212" bestFit="1" customWidth="1"/>
    <col min="11778" max="11778" width="10.75" style="212" customWidth="1"/>
    <col min="11779" max="11781" width="9.375" style="212"/>
    <col min="11782" max="11783" width="10.75" style="212" customWidth="1"/>
    <col min="11784" max="11788" width="9.375" style="212"/>
    <col min="11789" max="11789" width="1.625" style="212" bestFit="1" customWidth="1"/>
    <col min="11790" max="11790" width="9.375" style="212"/>
    <col min="11791" max="11791" width="8.875" style="212" customWidth="1"/>
    <col min="11792" max="11792" width="13.125" style="212" customWidth="1"/>
    <col min="11793" max="11793" width="9.375" style="212"/>
    <col min="11794" max="11794" width="9.875" style="212" customWidth="1"/>
    <col min="11795" max="11795" width="11.75" style="212" bestFit="1" customWidth="1"/>
    <col min="11796" max="12025" width="9.375" style="212"/>
    <col min="12026" max="12026" width="5" style="212" customWidth="1"/>
    <col min="12027" max="12027" width="17.875" style="212" bestFit="1" customWidth="1"/>
    <col min="12028" max="12028" width="9.875" style="212" customWidth="1"/>
    <col min="12029" max="12029" width="8.875" style="212" customWidth="1"/>
    <col min="12030" max="12030" width="7.375" style="212" bestFit="1" customWidth="1"/>
    <col min="12031" max="12031" width="10.125" style="212" bestFit="1" customWidth="1"/>
    <col min="12032" max="12032" width="9.375" style="212"/>
    <col min="12033" max="12033" width="10.125" style="212" bestFit="1" customWidth="1"/>
    <col min="12034" max="12034" width="10.75" style="212" customWidth="1"/>
    <col min="12035" max="12037" width="9.375" style="212"/>
    <col min="12038" max="12039" width="10.75" style="212" customWidth="1"/>
    <col min="12040" max="12044" width="9.375" style="212"/>
    <col min="12045" max="12045" width="1.625" style="212" bestFit="1" customWidth="1"/>
    <col min="12046" max="12046" width="9.375" style="212"/>
    <col min="12047" max="12047" width="8.875" style="212" customWidth="1"/>
    <col min="12048" max="12048" width="13.125" style="212" customWidth="1"/>
    <col min="12049" max="12049" width="9.375" style="212"/>
    <col min="12050" max="12050" width="9.875" style="212" customWidth="1"/>
    <col min="12051" max="12051" width="11.75" style="212" bestFit="1" customWidth="1"/>
    <col min="12052" max="12281" width="9.375" style="212"/>
    <col min="12282" max="12282" width="5" style="212" customWidth="1"/>
    <col min="12283" max="12283" width="17.875" style="212" bestFit="1" customWidth="1"/>
    <col min="12284" max="12284" width="9.875" style="212" customWidth="1"/>
    <col min="12285" max="12285" width="8.875" style="212" customWidth="1"/>
    <col min="12286" max="12286" width="7.375" style="212" bestFit="1" customWidth="1"/>
    <col min="12287" max="12287" width="10.125" style="212" bestFit="1" customWidth="1"/>
    <col min="12288" max="12288" width="9.375" style="212"/>
    <col min="12289" max="12289" width="10.125" style="212" bestFit="1" customWidth="1"/>
    <col min="12290" max="12290" width="10.75" style="212" customWidth="1"/>
    <col min="12291" max="12293" width="9.375" style="212"/>
    <col min="12294" max="12295" width="10.75" style="212" customWidth="1"/>
    <col min="12296" max="12300" width="9.375" style="212"/>
    <col min="12301" max="12301" width="1.625" style="212" bestFit="1" customWidth="1"/>
    <col min="12302" max="12302" width="9.375" style="212"/>
    <col min="12303" max="12303" width="8.875" style="212" customWidth="1"/>
    <col min="12304" max="12304" width="13.125" style="212" customWidth="1"/>
    <col min="12305" max="12305" width="9.375" style="212"/>
    <col min="12306" max="12306" width="9.875" style="212" customWidth="1"/>
    <col min="12307" max="12307" width="11.75" style="212" bestFit="1" customWidth="1"/>
    <col min="12308" max="12537" width="9.375" style="212"/>
    <col min="12538" max="12538" width="5" style="212" customWidth="1"/>
    <col min="12539" max="12539" width="17.875" style="212" bestFit="1" customWidth="1"/>
    <col min="12540" max="12540" width="9.875" style="212" customWidth="1"/>
    <col min="12541" max="12541" width="8.875" style="212" customWidth="1"/>
    <col min="12542" max="12542" width="7.375" style="212" bestFit="1" customWidth="1"/>
    <col min="12543" max="12543" width="10.125" style="212" bestFit="1" customWidth="1"/>
    <col min="12544" max="12544" width="9.375" style="212"/>
    <col min="12545" max="12545" width="10.125" style="212" bestFit="1" customWidth="1"/>
    <col min="12546" max="12546" width="10.75" style="212" customWidth="1"/>
    <col min="12547" max="12549" width="9.375" style="212"/>
    <col min="12550" max="12551" width="10.75" style="212" customWidth="1"/>
    <col min="12552" max="12556" width="9.375" style="212"/>
    <col min="12557" max="12557" width="1.625" style="212" bestFit="1" customWidth="1"/>
    <col min="12558" max="12558" width="9.375" style="212"/>
    <col min="12559" max="12559" width="8.875" style="212" customWidth="1"/>
    <col min="12560" max="12560" width="13.125" style="212" customWidth="1"/>
    <col min="12561" max="12561" width="9.375" style="212"/>
    <col min="12562" max="12562" width="9.875" style="212" customWidth="1"/>
    <col min="12563" max="12563" width="11.75" style="212" bestFit="1" customWidth="1"/>
    <col min="12564" max="12793" width="9.375" style="212"/>
    <col min="12794" max="12794" width="5" style="212" customWidth="1"/>
    <col min="12795" max="12795" width="17.875" style="212" bestFit="1" customWidth="1"/>
    <col min="12796" max="12796" width="9.875" style="212" customWidth="1"/>
    <col min="12797" max="12797" width="8.875" style="212" customWidth="1"/>
    <col min="12798" max="12798" width="7.375" style="212" bestFit="1" customWidth="1"/>
    <col min="12799" max="12799" width="10.125" style="212" bestFit="1" customWidth="1"/>
    <col min="12800" max="12800" width="9.375" style="212"/>
    <col min="12801" max="12801" width="10.125" style="212" bestFit="1" customWidth="1"/>
    <col min="12802" max="12802" width="10.75" style="212" customWidth="1"/>
    <col min="12803" max="12805" width="9.375" style="212"/>
    <col min="12806" max="12807" width="10.75" style="212" customWidth="1"/>
    <col min="12808" max="12812" width="9.375" style="212"/>
    <col min="12813" max="12813" width="1.625" style="212" bestFit="1" customWidth="1"/>
    <col min="12814" max="12814" width="9.375" style="212"/>
    <col min="12815" max="12815" width="8.875" style="212" customWidth="1"/>
    <col min="12816" max="12816" width="13.125" style="212" customWidth="1"/>
    <col min="12817" max="12817" width="9.375" style="212"/>
    <col min="12818" max="12818" width="9.875" style="212" customWidth="1"/>
    <col min="12819" max="12819" width="11.75" style="212" bestFit="1" customWidth="1"/>
    <col min="12820" max="13049" width="9.375" style="212"/>
    <col min="13050" max="13050" width="5" style="212" customWidth="1"/>
    <col min="13051" max="13051" width="17.875" style="212" bestFit="1" customWidth="1"/>
    <col min="13052" max="13052" width="9.875" style="212" customWidth="1"/>
    <col min="13053" max="13053" width="8.875" style="212" customWidth="1"/>
    <col min="13054" max="13054" width="7.375" style="212" bestFit="1" customWidth="1"/>
    <col min="13055" max="13055" width="10.125" style="212" bestFit="1" customWidth="1"/>
    <col min="13056" max="13056" width="9.375" style="212"/>
    <col min="13057" max="13057" width="10.125" style="212" bestFit="1" customWidth="1"/>
    <col min="13058" max="13058" width="10.75" style="212" customWidth="1"/>
    <col min="13059" max="13061" width="9.375" style="212"/>
    <col min="13062" max="13063" width="10.75" style="212" customWidth="1"/>
    <col min="13064" max="13068" width="9.375" style="212"/>
    <col min="13069" max="13069" width="1.625" style="212" bestFit="1" customWidth="1"/>
    <col min="13070" max="13070" width="9.375" style="212"/>
    <col min="13071" max="13071" width="8.875" style="212" customWidth="1"/>
    <col min="13072" max="13072" width="13.125" style="212" customWidth="1"/>
    <col min="13073" max="13073" width="9.375" style="212"/>
    <col min="13074" max="13074" width="9.875" style="212" customWidth="1"/>
    <col min="13075" max="13075" width="11.75" style="212" bestFit="1" customWidth="1"/>
    <col min="13076" max="13305" width="9.375" style="212"/>
    <col min="13306" max="13306" width="5" style="212" customWidth="1"/>
    <col min="13307" max="13307" width="17.875" style="212" bestFit="1" customWidth="1"/>
    <col min="13308" max="13308" width="9.875" style="212" customWidth="1"/>
    <col min="13309" max="13309" width="8.875" style="212" customWidth="1"/>
    <col min="13310" max="13310" width="7.375" style="212" bestFit="1" customWidth="1"/>
    <col min="13311" max="13311" width="10.125" style="212" bestFit="1" customWidth="1"/>
    <col min="13312" max="13312" width="9.375" style="212"/>
    <col min="13313" max="13313" width="10.125" style="212" bestFit="1" customWidth="1"/>
    <col min="13314" max="13314" width="10.75" style="212" customWidth="1"/>
    <col min="13315" max="13317" width="9.375" style="212"/>
    <col min="13318" max="13319" width="10.75" style="212" customWidth="1"/>
    <col min="13320" max="13324" width="9.375" style="212"/>
    <col min="13325" max="13325" width="1.625" style="212" bestFit="1" customWidth="1"/>
    <col min="13326" max="13326" width="9.375" style="212"/>
    <col min="13327" max="13327" width="8.875" style="212" customWidth="1"/>
    <col min="13328" max="13328" width="13.125" style="212" customWidth="1"/>
    <col min="13329" max="13329" width="9.375" style="212"/>
    <col min="13330" max="13330" width="9.875" style="212" customWidth="1"/>
    <col min="13331" max="13331" width="11.75" style="212" bestFit="1" customWidth="1"/>
    <col min="13332" max="13561" width="9.375" style="212"/>
    <col min="13562" max="13562" width="5" style="212" customWidth="1"/>
    <col min="13563" max="13563" width="17.875" style="212" bestFit="1" customWidth="1"/>
    <col min="13564" max="13564" width="9.875" style="212" customWidth="1"/>
    <col min="13565" max="13565" width="8.875" style="212" customWidth="1"/>
    <col min="13566" max="13566" width="7.375" style="212" bestFit="1" customWidth="1"/>
    <col min="13567" max="13567" width="10.125" style="212" bestFit="1" customWidth="1"/>
    <col min="13568" max="13568" width="9.375" style="212"/>
    <col min="13569" max="13569" width="10.125" style="212" bestFit="1" customWidth="1"/>
    <col min="13570" max="13570" width="10.75" style="212" customWidth="1"/>
    <col min="13571" max="13573" width="9.375" style="212"/>
    <col min="13574" max="13575" width="10.75" style="212" customWidth="1"/>
    <col min="13576" max="13580" width="9.375" style="212"/>
    <col min="13581" max="13581" width="1.625" style="212" bestFit="1" customWidth="1"/>
    <col min="13582" max="13582" width="9.375" style="212"/>
    <col min="13583" max="13583" width="8.875" style="212" customWidth="1"/>
    <col min="13584" max="13584" width="13.125" style="212" customWidth="1"/>
    <col min="13585" max="13585" width="9.375" style="212"/>
    <col min="13586" max="13586" width="9.875" style="212" customWidth="1"/>
    <col min="13587" max="13587" width="11.75" style="212" bestFit="1" customWidth="1"/>
    <col min="13588" max="13817" width="9.375" style="212"/>
    <col min="13818" max="13818" width="5" style="212" customWidth="1"/>
    <col min="13819" max="13819" width="17.875" style="212" bestFit="1" customWidth="1"/>
    <col min="13820" max="13820" width="9.875" style="212" customWidth="1"/>
    <col min="13821" max="13821" width="8.875" style="212" customWidth="1"/>
    <col min="13822" max="13822" width="7.375" style="212" bestFit="1" customWidth="1"/>
    <col min="13823" max="13823" width="10.125" style="212" bestFit="1" customWidth="1"/>
    <col min="13824" max="13824" width="9.375" style="212"/>
    <col min="13825" max="13825" width="10.125" style="212" bestFit="1" customWidth="1"/>
    <col min="13826" max="13826" width="10.75" style="212" customWidth="1"/>
    <col min="13827" max="13829" width="9.375" style="212"/>
    <col min="13830" max="13831" width="10.75" style="212" customWidth="1"/>
    <col min="13832" max="13836" width="9.375" style="212"/>
    <col min="13837" max="13837" width="1.625" style="212" bestFit="1" customWidth="1"/>
    <col min="13838" max="13838" width="9.375" style="212"/>
    <col min="13839" max="13839" width="8.875" style="212" customWidth="1"/>
    <col min="13840" max="13840" width="13.125" style="212" customWidth="1"/>
    <col min="13841" max="13841" width="9.375" style="212"/>
    <col min="13842" max="13842" width="9.875" style="212" customWidth="1"/>
    <col min="13843" max="13843" width="11.75" style="212" bestFit="1" customWidth="1"/>
    <col min="13844" max="14073" width="9.375" style="212"/>
    <col min="14074" max="14074" width="5" style="212" customWidth="1"/>
    <col min="14075" max="14075" width="17.875" style="212" bestFit="1" customWidth="1"/>
    <col min="14076" max="14076" width="9.875" style="212" customWidth="1"/>
    <col min="14077" max="14077" width="8.875" style="212" customWidth="1"/>
    <col min="14078" max="14078" width="7.375" style="212" bestFit="1" customWidth="1"/>
    <col min="14079" max="14079" width="10.125" style="212" bestFit="1" customWidth="1"/>
    <col min="14080" max="14080" width="9.375" style="212"/>
    <col min="14081" max="14081" width="10.125" style="212" bestFit="1" customWidth="1"/>
    <col min="14082" max="14082" width="10.75" style="212" customWidth="1"/>
    <col min="14083" max="14085" width="9.375" style="212"/>
    <col min="14086" max="14087" width="10.75" style="212" customWidth="1"/>
    <col min="14088" max="14092" width="9.375" style="212"/>
    <col min="14093" max="14093" width="1.625" style="212" bestFit="1" customWidth="1"/>
    <col min="14094" max="14094" width="9.375" style="212"/>
    <col min="14095" max="14095" width="8.875" style="212" customWidth="1"/>
    <col min="14096" max="14096" width="13.125" style="212" customWidth="1"/>
    <col min="14097" max="14097" width="9.375" style="212"/>
    <col min="14098" max="14098" width="9.875" style="212" customWidth="1"/>
    <col min="14099" max="14099" width="11.75" style="212" bestFit="1" customWidth="1"/>
    <col min="14100" max="14329" width="9.375" style="212"/>
    <col min="14330" max="14330" width="5" style="212" customWidth="1"/>
    <col min="14331" max="14331" width="17.875" style="212" bestFit="1" customWidth="1"/>
    <col min="14332" max="14332" width="9.875" style="212" customWidth="1"/>
    <col min="14333" max="14333" width="8.875" style="212" customWidth="1"/>
    <col min="14334" max="14334" width="7.375" style="212" bestFit="1" customWidth="1"/>
    <col min="14335" max="14335" width="10.125" style="212" bestFit="1" customWidth="1"/>
    <col min="14336" max="14336" width="9.375" style="212"/>
    <col min="14337" max="14337" width="10.125" style="212" bestFit="1" customWidth="1"/>
    <col min="14338" max="14338" width="10.75" style="212" customWidth="1"/>
    <col min="14339" max="14341" width="9.375" style="212"/>
    <col min="14342" max="14343" width="10.75" style="212" customWidth="1"/>
    <col min="14344" max="14348" width="9.375" style="212"/>
    <col min="14349" max="14349" width="1.625" style="212" bestFit="1" customWidth="1"/>
    <col min="14350" max="14350" width="9.375" style="212"/>
    <col min="14351" max="14351" width="8.875" style="212" customWidth="1"/>
    <col min="14352" max="14352" width="13.125" style="212" customWidth="1"/>
    <col min="14353" max="14353" width="9.375" style="212"/>
    <col min="14354" max="14354" width="9.875" style="212" customWidth="1"/>
    <col min="14355" max="14355" width="11.75" style="212" bestFit="1" customWidth="1"/>
    <col min="14356" max="14585" width="9.375" style="212"/>
    <col min="14586" max="14586" width="5" style="212" customWidth="1"/>
    <col min="14587" max="14587" width="17.875" style="212" bestFit="1" customWidth="1"/>
    <col min="14588" max="14588" width="9.875" style="212" customWidth="1"/>
    <col min="14589" max="14589" width="8.875" style="212" customWidth="1"/>
    <col min="14590" max="14590" width="7.375" style="212" bestFit="1" customWidth="1"/>
    <col min="14591" max="14591" width="10.125" style="212" bestFit="1" customWidth="1"/>
    <col min="14592" max="14592" width="9.375" style="212"/>
    <col min="14593" max="14593" width="10.125" style="212" bestFit="1" customWidth="1"/>
    <col min="14594" max="14594" width="10.75" style="212" customWidth="1"/>
    <col min="14595" max="14597" width="9.375" style="212"/>
    <col min="14598" max="14599" width="10.75" style="212" customWidth="1"/>
    <col min="14600" max="14604" width="9.375" style="212"/>
    <col min="14605" max="14605" width="1.625" style="212" bestFit="1" customWidth="1"/>
    <col min="14606" max="14606" width="9.375" style="212"/>
    <col min="14607" max="14607" width="8.875" style="212" customWidth="1"/>
    <col min="14608" max="14608" width="13.125" style="212" customWidth="1"/>
    <col min="14609" max="14609" width="9.375" style="212"/>
    <col min="14610" max="14610" width="9.875" style="212" customWidth="1"/>
    <col min="14611" max="14611" width="11.75" style="212" bestFit="1" customWidth="1"/>
    <col min="14612" max="14841" width="9.375" style="212"/>
    <col min="14842" max="14842" width="5" style="212" customWidth="1"/>
    <col min="14843" max="14843" width="17.875" style="212" bestFit="1" customWidth="1"/>
    <col min="14844" max="14844" width="9.875" style="212" customWidth="1"/>
    <col min="14845" max="14845" width="8.875" style="212" customWidth="1"/>
    <col min="14846" max="14846" width="7.375" style="212" bestFit="1" customWidth="1"/>
    <col min="14847" max="14847" width="10.125" style="212" bestFit="1" customWidth="1"/>
    <col min="14848" max="14848" width="9.375" style="212"/>
    <col min="14849" max="14849" width="10.125" style="212" bestFit="1" customWidth="1"/>
    <col min="14850" max="14850" width="10.75" style="212" customWidth="1"/>
    <col min="14851" max="14853" width="9.375" style="212"/>
    <col min="14854" max="14855" width="10.75" style="212" customWidth="1"/>
    <col min="14856" max="14860" width="9.375" style="212"/>
    <col min="14861" max="14861" width="1.625" style="212" bestFit="1" customWidth="1"/>
    <col min="14862" max="14862" width="9.375" style="212"/>
    <col min="14863" max="14863" width="8.875" style="212" customWidth="1"/>
    <col min="14864" max="14864" width="13.125" style="212" customWidth="1"/>
    <col min="14865" max="14865" width="9.375" style="212"/>
    <col min="14866" max="14866" width="9.875" style="212" customWidth="1"/>
    <col min="14867" max="14867" width="11.75" style="212" bestFit="1" customWidth="1"/>
    <col min="14868" max="15097" width="9.375" style="212"/>
    <col min="15098" max="15098" width="5" style="212" customWidth="1"/>
    <col min="15099" max="15099" width="17.875" style="212" bestFit="1" customWidth="1"/>
    <col min="15100" max="15100" width="9.875" style="212" customWidth="1"/>
    <col min="15101" max="15101" width="8.875" style="212" customWidth="1"/>
    <col min="15102" max="15102" width="7.375" style="212" bestFit="1" customWidth="1"/>
    <col min="15103" max="15103" width="10.125" style="212" bestFit="1" customWidth="1"/>
    <col min="15104" max="15104" width="9.375" style="212"/>
    <col min="15105" max="15105" width="10.125" style="212" bestFit="1" customWidth="1"/>
    <col min="15106" max="15106" width="10.75" style="212" customWidth="1"/>
    <col min="15107" max="15109" width="9.375" style="212"/>
    <col min="15110" max="15111" width="10.75" style="212" customWidth="1"/>
    <col min="15112" max="15116" width="9.375" style="212"/>
    <col min="15117" max="15117" width="1.625" style="212" bestFit="1" customWidth="1"/>
    <col min="15118" max="15118" width="9.375" style="212"/>
    <col min="15119" max="15119" width="8.875" style="212" customWidth="1"/>
    <col min="15120" max="15120" width="13.125" style="212" customWidth="1"/>
    <col min="15121" max="15121" width="9.375" style="212"/>
    <col min="15122" max="15122" width="9.875" style="212" customWidth="1"/>
    <col min="15123" max="15123" width="11.75" style="212" bestFit="1" customWidth="1"/>
    <col min="15124" max="15353" width="9.375" style="212"/>
    <col min="15354" max="15354" width="5" style="212" customWidth="1"/>
    <col min="15355" max="15355" width="17.875" style="212" bestFit="1" customWidth="1"/>
    <col min="15356" max="15356" width="9.875" style="212" customWidth="1"/>
    <col min="15357" max="15357" width="8.875" style="212" customWidth="1"/>
    <col min="15358" max="15358" width="7.375" style="212" bestFit="1" customWidth="1"/>
    <col min="15359" max="15359" width="10.125" style="212" bestFit="1" customWidth="1"/>
    <col min="15360" max="15360" width="9.375" style="212"/>
    <col min="15361" max="15361" width="10.125" style="212" bestFit="1" customWidth="1"/>
    <col min="15362" max="15362" width="10.75" style="212" customWidth="1"/>
    <col min="15363" max="15365" width="9.375" style="212"/>
    <col min="15366" max="15367" width="10.75" style="212" customWidth="1"/>
    <col min="15368" max="15372" width="9.375" style="212"/>
    <col min="15373" max="15373" width="1.625" style="212" bestFit="1" customWidth="1"/>
    <col min="15374" max="15374" width="9.375" style="212"/>
    <col min="15375" max="15375" width="8.875" style="212" customWidth="1"/>
    <col min="15376" max="15376" width="13.125" style="212" customWidth="1"/>
    <col min="15377" max="15377" width="9.375" style="212"/>
    <col min="15378" max="15378" width="9.875" style="212" customWidth="1"/>
    <col min="15379" max="15379" width="11.75" style="212" bestFit="1" customWidth="1"/>
    <col min="15380" max="15609" width="9.375" style="212"/>
    <col min="15610" max="15610" width="5" style="212" customWidth="1"/>
    <col min="15611" max="15611" width="17.875" style="212" bestFit="1" customWidth="1"/>
    <col min="15612" max="15612" width="9.875" style="212" customWidth="1"/>
    <col min="15613" max="15613" width="8.875" style="212" customWidth="1"/>
    <col min="15614" max="15614" width="7.375" style="212" bestFit="1" customWidth="1"/>
    <col min="15615" max="15615" width="10.125" style="212" bestFit="1" customWidth="1"/>
    <col min="15616" max="15616" width="9.375" style="212"/>
    <col min="15617" max="15617" width="10.125" style="212" bestFit="1" customWidth="1"/>
    <col min="15618" max="15618" width="10.75" style="212" customWidth="1"/>
    <col min="15619" max="15621" width="9.375" style="212"/>
    <col min="15622" max="15623" width="10.75" style="212" customWidth="1"/>
    <col min="15624" max="15628" width="9.375" style="212"/>
    <col min="15629" max="15629" width="1.625" style="212" bestFit="1" customWidth="1"/>
    <col min="15630" max="15630" width="9.375" style="212"/>
    <col min="15631" max="15631" width="8.875" style="212" customWidth="1"/>
    <col min="15632" max="15632" width="13.125" style="212" customWidth="1"/>
    <col min="15633" max="15633" width="9.375" style="212"/>
    <col min="15634" max="15634" width="9.875" style="212" customWidth="1"/>
    <col min="15635" max="15635" width="11.75" style="212" bestFit="1" customWidth="1"/>
    <col min="15636" max="15865" width="9.375" style="212"/>
    <col min="15866" max="15866" width="5" style="212" customWidth="1"/>
    <col min="15867" max="15867" width="17.875" style="212" bestFit="1" customWidth="1"/>
    <col min="15868" max="15868" width="9.875" style="212" customWidth="1"/>
    <col min="15869" max="15869" width="8.875" style="212" customWidth="1"/>
    <col min="15870" max="15870" width="7.375" style="212" bestFit="1" customWidth="1"/>
    <col min="15871" max="15871" width="10.125" style="212" bestFit="1" customWidth="1"/>
    <col min="15872" max="15872" width="9.375" style="212"/>
    <col min="15873" max="15873" width="10.125" style="212" bestFit="1" customWidth="1"/>
    <col min="15874" max="15874" width="10.75" style="212" customWidth="1"/>
    <col min="15875" max="15877" width="9.375" style="212"/>
    <col min="15878" max="15879" width="10.75" style="212" customWidth="1"/>
    <col min="15880" max="15884" width="9.375" style="212"/>
    <col min="15885" max="15885" width="1.625" style="212" bestFit="1" customWidth="1"/>
    <col min="15886" max="15886" width="9.375" style="212"/>
    <col min="15887" max="15887" width="8.875" style="212" customWidth="1"/>
    <col min="15888" max="15888" width="13.125" style="212" customWidth="1"/>
    <col min="15889" max="15889" width="9.375" style="212"/>
    <col min="15890" max="15890" width="9.875" style="212" customWidth="1"/>
    <col min="15891" max="15891" width="11.75" style="212" bestFit="1" customWidth="1"/>
    <col min="15892" max="16121" width="9.375" style="212"/>
    <col min="16122" max="16122" width="5" style="212" customWidth="1"/>
    <col min="16123" max="16123" width="17.875" style="212" bestFit="1" customWidth="1"/>
    <col min="16124" max="16124" width="9.875" style="212" customWidth="1"/>
    <col min="16125" max="16125" width="8.875" style="212" customWidth="1"/>
    <col min="16126" max="16126" width="7.375" style="212" bestFit="1" customWidth="1"/>
    <col min="16127" max="16127" width="10.125" style="212" bestFit="1" customWidth="1"/>
    <col min="16128" max="16128" width="9.375" style="212"/>
    <col min="16129" max="16129" width="10.125" style="212" bestFit="1" customWidth="1"/>
    <col min="16130" max="16130" width="10.75" style="212" customWidth="1"/>
    <col min="16131" max="16133" width="9.375" style="212"/>
    <col min="16134" max="16135" width="10.75" style="212" customWidth="1"/>
    <col min="16136" max="16140" width="9.375" style="212"/>
    <col min="16141" max="16141" width="1.625" style="212" bestFit="1" customWidth="1"/>
    <col min="16142" max="16142" width="9.375" style="212"/>
    <col min="16143" max="16143" width="8.875" style="212" customWidth="1"/>
    <col min="16144" max="16144" width="13.125" style="212" customWidth="1"/>
    <col min="16145" max="16145" width="9.375" style="212"/>
    <col min="16146" max="16146" width="9.875" style="212" customWidth="1"/>
    <col min="16147" max="16147" width="11.75" style="212" bestFit="1" customWidth="1"/>
    <col min="16148" max="16384" width="9.375" style="212"/>
  </cols>
  <sheetData>
    <row r="1" spans="1:22" s="43" customFormat="1" ht="21" x14ac:dyDescent="0.2">
      <c r="A1" s="201" t="s">
        <v>486</v>
      </c>
      <c r="B1" s="42"/>
      <c r="C1" s="42"/>
      <c r="D1" s="207"/>
      <c r="E1" s="207"/>
      <c r="F1" s="207"/>
      <c r="G1" s="207"/>
      <c r="H1" s="208"/>
      <c r="I1" s="208"/>
      <c r="J1" s="208"/>
      <c r="K1" s="208"/>
      <c r="L1" s="208"/>
      <c r="M1" s="208"/>
      <c r="O1" s="208"/>
      <c r="P1" s="209"/>
      <c r="Q1" s="56"/>
      <c r="R1" s="209"/>
      <c r="S1" s="209"/>
      <c r="T1" s="56"/>
      <c r="U1" s="56"/>
      <c r="V1" s="56"/>
    </row>
    <row r="2" spans="1:22" s="53" customFormat="1" ht="21" x14ac:dyDescent="0.35">
      <c r="A2" s="25">
        <f>Paramètres!B5</f>
        <v>2020</v>
      </c>
      <c r="P2" s="211"/>
      <c r="Q2" s="210"/>
      <c r="R2" s="211"/>
      <c r="S2" s="211"/>
      <c r="T2" s="210"/>
      <c r="U2" s="210"/>
      <c r="V2" s="210"/>
    </row>
    <row r="4" spans="1:22" s="224" customFormat="1" ht="120" x14ac:dyDescent="0.2">
      <c r="A4" s="604" t="s">
        <v>46</v>
      </c>
      <c r="B4" s="604" t="s">
        <v>96</v>
      </c>
      <c r="C4" s="604" t="s">
        <v>482</v>
      </c>
      <c r="D4" s="604" t="s">
        <v>303</v>
      </c>
      <c r="E4" s="604" t="s">
        <v>478</v>
      </c>
      <c r="F4" s="604" t="s">
        <v>483</v>
      </c>
      <c r="G4" s="604" t="s">
        <v>450</v>
      </c>
      <c r="H4" s="606" t="s">
        <v>339</v>
      </c>
      <c r="I4" s="227" t="s">
        <v>487</v>
      </c>
      <c r="J4" s="604" t="s">
        <v>525</v>
      </c>
      <c r="K4" s="604" t="s">
        <v>484</v>
      </c>
      <c r="L4" s="604" t="s">
        <v>598</v>
      </c>
      <c r="M4" s="604" t="s">
        <v>536</v>
      </c>
      <c r="N4" s="227" t="s">
        <v>535</v>
      </c>
      <c r="O4" s="604" t="s">
        <v>485</v>
      </c>
      <c r="P4" s="222"/>
      <c r="Q4" s="221"/>
      <c r="R4" s="222"/>
      <c r="S4" s="223"/>
      <c r="T4" s="221"/>
      <c r="U4" s="221"/>
      <c r="V4" s="221"/>
    </row>
    <row r="5" spans="1:22" s="224" customFormat="1" x14ac:dyDescent="0.2">
      <c r="A5" s="605"/>
      <c r="B5" s="605"/>
      <c r="C5" s="605"/>
      <c r="D5" s="605"/>
      <c r="E5" s="605"/>
      <c r="F5" s="605"/>
      <c r="G5" s="605"/>
      <c r="H5" s="607"/>
      <c r="I5" s="436">
        <f>Paramètres!B64</f>
        <v>2</v>
      </c>
      <c r="J5" s="605"/>
      <c r="K5" s="605"/>
      <c r="L5" s="605"/>
      <c r="M5" s="605"/>
      <c r="N5" s="435">
        <f>+N315/M315</f>
        <v>1.1746508357056304</v>
      </c>
      <c r="O5" s="605"/>
      <c r="P5" s="223"/>
      <c r="Q5" s="221"/>
      <c r="R5" s="223"/>
      <c r="S5" s="223"/>
      <c r="T5" s="221"/>
      <c r="U5" s="221"/>
      <c r="V5" s="221"/>
    </row>
    <row r="6" spans="1:22" x14ac:dyDescent="0.25">
      <c r="A6" s="307">
        <f>'A) Base RI'!A7</f>
        <v>5401</v>
      </c>
      <c r="B6" s="225" t="str">
        <f>'A) Base RI'!B7</f>
        <v>Aigle</v>
      </c>
      <c r="C6" s="241">
        <v>1</v>
      </c>
      <c r="D6" s="215">
        <f>'B) D RI'!AA7</f>
        <v>10518</v>
      </c>
      <c r="E6" s="216">
        <f>'B) D RI'!S7</f>
        <v>66</v>
      </c>
      <c r="F6" s="10">
        <f>'B) D RI'!R7</f>
        <v>18791770.93</v>
      </c>
      <c r="G6" s="10">
        <f>'B) D RI'!U7</f>
        <v>284723.80196969694</v>
      </c>
      <c r="H6" s="41">
        <f>'B) D RI'!T7</f>
        <v>16819663.030000001</v>
      </c>
      <c r="I6" s="54">
        <f>+H6/E6*$I$5</f>
        <v>509686.75848484854</v>
      </c>
      <c r="J6" s="86">
        <f>+$I$315/$D$315*D6</f>
        <v>936314.34619197785</v>
      </c>
      <c r="K6" s="54">
        <f t="shared" ref="K6:K69" si="0">IF(C6=1,0,IF(J6&gt;I6,I6,J6))</f>
        <v>0</v>
      </c>
      <c r="L6" s="54">
        <f>+J6-K6</f>
        <v>936314.34619197785</v>
      </c>
      <c r="M6" s="54">
        <f>'D) Ecrêtage'!C5</f>
        <v>284723.80196969694</v>
      </c>
      <c r="N6" s="54">
        <f t="shared" ref="N6:N37" si="1">+$N$5*M6</f>
        <v>334451.05192898895</v>
      </c>
      <c r="O6" s="100">
        <f>+N6+K6</f>
        <v>334451.05192898895</v>
      </c>
      <c r="P6" s="428"/>
      <c r="Q6" s="218"/>
      <c r="T6" s="219"/>
    </row>
    <row r="7" spans="1:22" x14ac:dyDescent="0.25">
      <c r="A7" s="308">
        <f>'A) Base RI'!A8</f>
        <v>5402</v>
      </c>
      <c r="B7" s="226" t="str">
        <f>'A) Base RI'!B8</f>
        <v>Bex</v>
      </c>
      <c r="C7" s="242">
        <v>1</v>
      </c>
      <c r="D7" s="215">
        <f>'B) D RI'!AA8</f>
        <v>7828</v>
      </c>
      <c r="E7" s="216">
        <f>'B) D RI'!S8</f>
        <v>71</v>
      </c>
      <c r="F7" s="10">
        <f>'B) D RI'!R8</f>
        <v>12727403.439999999</v>
      </c>
      <c r="G7" s="10">
        <f>'B) D RI'!U8</f>
        <v>179259.20338028169</v>
      </c>
      <c r="H7" s="41">
        <f>'B) D RI'!T8</f>
        <v>11289216.689999999</v>
      </c>
      <c r="I7" s="10">
        <f t="shared" ref="I7:I70" si="2">+H7/E7*$I$5</f>
        <v>318006.10394366196</v>
      </c>
      <c r="J7" s="31">
        <f t="shared" ref="J7:J37" si="3">+$I$315/$D$315*D7</f>
        <v>696850.03821931954</v>
      </c>
      <c r="K7" s="10">
        <f t="shared" si="0"/>
        <v>0</v>
      </c>
      <c r="L7" s="10">
        <f t="shared" ref="L7:L70" si="4">+J7-K7</f>
        <v>696850.03821931954</v>
      </c>
      <c r="M7" s="10">
        <f>'D) Ecrêtage'!C6</f>
        <v>179259.20338028169</v>
      </c>
      <c r="N7" s="10">
        <f t="shared" si="1"/>
        <v>210566.97305857347</v>
      </c>
      <c r="O7" s="55">
        <f t="shared" ref="O7:O69" si="5">+N7+K7</f>
        <v>210566.97305857347</v>
      </c>
      <c r="P7" s="217"/>
      <c r="Q7" s="218"/>
      <c r="T7" s="219"/>
    </row>
    <row r="8" spans="1:22" x14ac:dyDescent="0.25">
      <c r="A8" s="308">
        <f>'A) Base RI'!A9</f>
        <v>5403</v>
      </c>
      <c r="B8" s="226" t="str">
        <f>'A) Base RI'!B9</f>
        <v>Chessel</v>
      </c>
      <c r="C8" s="242">
        <v>0</v>
      </c>
      <c r="D8" s="215">
        <f>'B) D RI'!AA9</f>
        <v>444</v>
      </c>
      <c r="E8" s="216">
        <f>'B) D RI'!S9</f>
        <v>74</v>
      </c>
      <c r="F8" s="10">
        <f>'B) D RI'!R9</f>
        <v>799032.78000000014</v>
      </c>
      <c r="G8" s="10">
        <f>'B) D RI'!U9</f>
        <v>10797.740270270273</v>
      </c>
      <c r="H8" s="41">
        <f>'B) D RI'!T9</f>
        <v>709235.9800000001</v>
      </c>
      <c r="I8" s="10">
        <f t="shared" si="2"/>
        <v>19168.54</v>
      </c>
      <c r="J8" s="31">
        <f t="shared" si="3"/>
        <v>39524.963843814236</v>
      </c>
      <c r="K8" s="10">
        <f t="shared" si="0"/>
        <v>19168.54</v>
      </c>
      <c r="L8" s="10">
        <f t="shared" si="4"/>
        <v>20356.423843814235</v>
      </c>
      <c r="M8" s="10">
        <f>'D) Ecrêtage'!C7</f>
        <v>10797.740270270273</v>
      </c>
      <c r="N8" s="10">
        <f t="shared" si="1"/>
        <v>12683.574632205316</v>
      </c>
      <c r="O8" s="55">
        <f t="shared" si="5"/>
        <v>31852.114632205317</v>
      </c>
      <c r="P8" s="429"/>
      <c r="Q8" s="218"/>
      <c r="T8" s="219"/>
    </row>
    <row r="9" spans="1:22" x14ac:dyDescent="0.25">
      <c r="A9" s="308">
        <f>'A) Base RI'!A10</f>
        <v>5404</v>
      </c>
      <c r="B9" s="226" t="str">
        <f>'A) Base RI'!B10</f>
        <v>Corbeyrier</v>
      </c>
      <c r="C9" s="242">
        <v>0</v>
      </c>
      <c r="D9" s="215">
        <f>'B) D RI'!AA10</f>
        <v>445</v>
      </c>
      <c r="E9" s="216">
        <f>'B) D RI'!S10</f>
        <v>74</v>
      </c>
      <c r="F9" s="10">
        <f>'B) D RI'!R10</f>
        <v>833822.4</v>
      </c>
      <c r="G9" s="10">
        <f>'B) D RI'!U10</f>
        <v>11267.87027027027</v>
      </c>
      <c r="H9" s="41">
        <f>'B) D RI'!T10</f>
        <v>742332.35</v>
      </c>
      <c r="I9" s="10">
        <f t="shared" si="2"/>
        <v>20063.036486486486</v>
      </c>
      <c r="J9" s="31">
        <f t="shared" si="3"/>
        <v>39613.984032651657</v>
      </c>
      <c r="K9" s="10">
        <f t="shared" si="0"/>
        <v>20063.036486486486</v>
      </c>
      <c r="L9" s="10">
        <f t="shared" si="4"/>
        <v>19550.947546165171</v>
      </c>
      <c r="M9" s="10">
        <f>'D) Ecrêtage'!C8</f>
        <v>11267.87027027027</v>
      </c>
      <c r="N9" s="10">
        <f t="shared" si="1"/>
        <v>13235.8132295956</v>
      </c>
      <c r="O9" s="55">
        <f t="shared" si="5"/>
        <v>33298.849716082084</v>
      </c>
      <c r="P9" s="217"/>
      <c r="Q9" s="218"/>
      <c r="T9" s="219"/>
    </row>
    <row r="10" spans="1:22" x14ac:dyDescent="0.25">
      <c r="A10" s="308">
        <f>'A) Base RI'!A11</f>
        <v>5405</v>
      </c>
      <c r="B10" s="226" t="str">
        <f>'A) Base RI'!B11</f>
        <v>Gryon</v>
      </c>
      <c r="C10" s="242">
        <v>0</v>
      </c>
      <c r="D10" s="215">
        <f>'B) D RI'!AA11</f>
        <v>1378</v>
      </c>
      <c r="E10" s="216">
        <f>'B) D RI'!S11</f>
        <v>73.5</v>
      </c>
      <c r="F10" s="10">
        <f>'B) D RI'!R11</f>
        <v>5011655.8600000013</v>
      </c>
      <c r="G10" s="10">
        <f>'B) D RI'!U11</f>
        <v>68185.794013605453</v>
      </c>
      <c r="H10" s="41">
        <f>'B) D RI'!T11</f>
        <v>4474442.7100000009</v>
      </c>
      <c r="I10" s="10">
        <f t="shared" si="2"/>
        <v>121753.54312925173</v>
      </c>
      <c r="J10" s="31">
        <f t="shared" si="3"/>
        <v>122669.82021796401</v>
      </c>
      <c r="K10" s="10">
        <f t="shared" si="0"/>
        <v>121753.54312925173</v>
      </c>
      <c r="L10" s="10">
        <f t="shared" si="4"/>
        <v>916.27708871227514</v>
      </c>
      <c r="M10" s="10">
        <f>'D) Ecrêtage'!C9</f>
        <v>68185.794013605453</v>
      </c>
      <c r="N10" s="10">
        <f t="shared" si="1"/>
        <v>80094.499921333612</v>
      </c>
      <c r="O10" s="55">
        <f t="shared" si="5"/>
        <v>201848.04305058534</v>
      </c>
      <c r="P10" s="217"/>
      <c r="Q10" s="218"/>
      <c r="T10" s="219"/>
    </row>
    <row r="11" spans="1:22" x14ac:dyDescent="0.25">
      <c r="A11" s="308">
        <f>'A) Base RI'!A12</f>
        <v>5406</v>
      </c>
      <c r="B11" s="226" t="str">
        <f>'A) Base RI'!B12</f>
        <v>Lavey-Morcles</v>
      </c>
      <c r="C11" s="242">
        <v>0</v>
      </c>
      <c r="D11" s="215">
        <f>'B) D RI'!AA12</f>
        <v>944</v>
      </c>
      <c r="E11" s="216">
        <f>'B) D RI'!S12</f>
        <v>71.5</v>
      </c>
      <c r="F11" s="10">
        <f>'B) D RI'!R12</f>
        <v>1561741.9723076925</v>
      </c>
      <c r="G11" s="10">
        <f>'B) D RI'!U12</f>
        <v>21842.545067240455</v>
      </c>
      <c r="H11" s="41">
        <f>'B) D RI'!T12</f>
        <v>1401606.2300000002</v>
      </c>
      <c r="I11" s="10">
        <f t="shared" si="2"/>
        <v>39205.768671328675</v>
      </c>
      <c r="J11" s="31">
        <f t="shared" si="3"/>
        <v>84035.058262523962</v>
      </c>
      <c r="K11" s="10">
        <f t="shared" si="0"/>
        <v>39205.768671328675</v>
      </c>
      <c r="L11" s="10">
        <f t="shared" si="4"/>
        <v>44829.289591195287</v>
      </c>
      <c r="M11" s="10">
        <f>'D) Ecrêtage'!C10</f>
        <v>21842.545067240455</v>
      </c>
      <c r="N11" s="10">
        <f t="shared" si="1"/>
        <v>25657.363817171896</v>
      </c>
      <c r="O11" s="55">
        <f t="shared" si="5"/>
        <v>64863.132488500574</v>
      </c>
      <c r="P11" s="217"/>
      <c r="Q11" s="218"/>
      <c r="T11" s="219"/>
    </row>
    <row r="12" spans="1:22" x14ac:dyDescent="0.25">
      <c r="A12" s="308">
        <f>'A) Base RI'!A13</f>
        <v>5407</v>
      </c>
      <c r="B12" s="226" t="str">
        <f>'A) Base RI'!B13</f>
        <v>Leysin</v>
      </c>
      <c r="C12" s="242">
        <v>0</v>
      </c>
      <c r="D12" s="215">
        <f>'B) D RI'!AA13</f>
        <v>3645</v>
      </c>
      <c r="E12" s="216">
        <f>'B) D RI'!S13</f>
        <v>78</v>
      </c>
      <c r="F12" s="10">
        <f>'B) D RI'!R13</f>
        <v>7084131.6766666668</v>
      </c>
      <c r="G12" s="10">
        <f>'B) D RI'!U13</f>
        <v>90822.200982905983</v>
      </c>
      <c r="H12" s="41">
        <f>'B) D RI'!T13</f>
        <v>6187699.4100000001</v>
      </c>
      <c r="I12" s="10">
        <f t="shared" si="2"/>
        <v>158658.95923076922</v>
      </c>
      <c r="J12" s="31">
        <f t="shared" si="3"/>
        <v>324478.58831239393</v>
      </c>
      <c r="K12" s="10">
        <f t="shared" si="0"/>
        <v>158658.95923076922</v>
      </c>
      <c r="L12" s="10">
        <f t="shared" si="4"/>
        <v>165819.62908162471</v>
      </c>
      <c r="M12" s="10">
        <f>'D) Ecrêtage'!C11</f>
        <v>90822.200982905983</v>
      </c>
      <c r="N12" s="10">
        <f t="shared" si="1"/>
        <v>106684.37428519524</v>
      </c>
      <c r="O12" s="55">
        <f t="shared" si="5"/>
        <v>265343.33351596445</v>
      </c>
      <c r="P12" s="217"/>
      <c r="Q12" s="218"/>
      <c r="T12" s="219"/>
    </row>
    <row r="13" spans="1:22" x14ac:dyDescent="0.25">
      <c r="A13" s="308">
        <f>'A) Base RI'!A14</f>
        <v>5408</v>
      </c>
      <c r="B13" s="226" t="str">
        <f>'A) Base RI'!B14</f>
        <v>Noville</v>
      </c>
      <c r="C13" s="242">
        <v>0</v>
      </c>
      <c r="D13" s="215">
        <f>'B) D RI'!AA14</f>
        <v>1170</v>
      </c>
      <c r="E13" s="216">
        <f>'B) D RI'!S14</f>
        <v>78.5</v>
      </c>
      <c r="F13" s="10">
        <f>'B) D RI'!R14</f>
        <v>3441443.5733333328</v>
      </c>
      <c r="G13" s="10">
        <f>'B) D RI'!U14</f>
        <v>43840.045520169842</v>
      </c>
      <c r="H13" s="41">
        <f>'B) D RI'!T14</f>
        <v>3072148.0399999996</v>
      </c>
      <c r="I13" s="10">
        <f t="shared" si="2"/>
        <v>78271.287643312098</v>
      </c>
      <c r="J13" s="31">
        <f t="shared" si="3"/>
        <v>104153.62093978075</v>
      </c>
      <c r="K13" s="10">
        <f t="shared" si="0"/>
        <v>78271.287643312098</v>
      </c>
      <c r="L13" s="10">
        <f t="shared" si="4"/>
        <v>25882.333296468656</v>
      </c>
      <c r="M13" s="10">
        <f>'D) Ecrêtage'!C12</f>
        <v>43840.045520169842</v>
      </c>
      <c r="N13" s="10">
        <f t="shared" si="1"/>
        <v>51496.746107640385</v>
      </c>
      <c r="O13" s="55">
        <f t="shared" si="5"/>
        <v>129768.03375095248</v>
      </c>
      <c r="P13" s="217"/>
      <c r="Q13" s="218"/>
      <c r="T13" s="219"/>
    </row>
    <row r="14" spans="1:22" x14ac:dyDescent="0.25">
      <c r="A14" s="308">
        <f>'A) Base RI'!A15</f>
        <v>5409</v>
      </c>
      <c r="B14" s="226" t="str">
        <f>'A) Base RI'!B15</f>
        <v>Ollon</v>
      </c>
      <c r="C14" s="242">
        <v>1</v>
      </c>
      <c r="D14" s="215">
        <f>'B) D RI'!AA15</f>
        <v>7634</v>
      </c>
      <c r="E14" s="216">
        <f>'B) D RI'!S15</f>
        <v>68</v>
      </c>
      <c r="F14" s="10">
        <f>'B) D RI'!R15</f>
        <v>26464701.713846147</v>
      </c>
      <c r="G14" s="10">
        <f>'B) D RI'!U15</f>
        <v>389186.78990950214</v>
      </c>
      <c r="H14" s="41">
        <f>'B) D RI'!T15</f>
        <v>23181464.559999995</v>
      </c>
      <c r="I14" s="10">
        <f t="shared" si="2"/>
        <v>681807.78117647045</v>
      </c>
      <c r="J14" s="31">
        <f t="shared" si="3"/>
        <v>679580.12158486014</v>
      </c>
      <c r="K14" s="10">
        <f t="shared" si="0"/>
        <v>0</v>
      </c>
      <c r="L14" s="10">
        <f t="shared" si="4"/>
        <v>679580.12158486014</v>
      </c>
      <c r="M14" s="10">
        <f>'D) Ecrêtage'!C13</f>
        <v>389186.78990950214</v>
      </c>
      <c r="N14" s="10">
        <f t="shared" si="1"/>
        <v>457158.58801278833</v>
      </c>
      <c r="O14" s="55">
        <f t="shared" si="5"/>
        <v>457158.58801278833</v>
      </c>
      <c r="P14" s="217"/>
      <c r="Q14" s="218"/>
      <c r="T14" s="219"/>
    </row>
    <row r="15" spans="1:22" x14ac:dyDescent="0.25">
      <c r="A15" s="308">
        <f>'A) Base RI'!A16</f>
        <v>5410</v>
      </c>
      <c r="B15" s="226" t="str">
        <f>'A) Base RI'!B16</f>
        <v>Ormont-Dessous</v>
      </c>
      <c r="C15" s="242">
        <v>0</v>
      </c>
      <c r="D15" s="215">
        <f>'B) D RI'!AA16</f>
        <v>1180</v>
      </c>
      <c r="E15" s="216">
        <f>'B) D RI'!S16</f>
        <v>77</v>
      </c>
      <c r="F15" s="10">
        <f>'B) D RI'!R16</f>
        <v>3043235.9733333332</v>
      </c>
      <c r="G15" s="10">
        <f>'B) D RI'!U16</f>
        <v>39522.545108225109</v>
      </c>
      <c r="H15" s="41">
        <f>'B) D RI'!T16</f>
        <v>2649350.69</v>
      </c>
      <c r="I15" s="10">
        <f t="shared" si="2"/>
        <v>68814.303636363635</v>
      </c>
      <c r="J15" s="31">
        <f t="shared" si="3"/>
        <v>105043.82282815495</v>
      </c>
      <c r="K15" s="10">
        <f t="shared" si="0"/>
        <v>68814.303636363635</v>
      </c>
      <c r="L15" s="10">
        <f t="shared" si="4"/>
        <v>36229.519191791318</v>
      </c>
      <c r="M15" s="10">
        <f>'D) Ecrêtage'!C14</f>
        <v>39522.545108225109</v>
      </c>
      <c r="N15" s="10">
        <f t="shared" si="1"/>
        <v>46425.190640590103</v>
      </c>
      <c r="O15" s="55">
        <f t="shared" si="5"/>
        <v>115239.49427695374</v>
      </c>
      <c r="P15" s="217"/>
      <c r="Q15" s="218"/>
      <c r="T15" s="219"/>
    </row>
    <row r="16" spans="1:22" s="213" customFormat="1" x14ac:dyDescent="0.25">
      <c r="A16" s="308">
        <f>'A) Base RI'!A17</f>
        <v>5411</v>
      </c>
      <c r="B16" s="226" t="str">
        <f>'A) Base RI'!B17</f>
        <v>Ormont-Dessus</v>
      </c>
      <c r="C16" s="242">
        <v>0</v>
      </c>
      <c r="D16" s="215">
        <f>'B) D RI'!AA17</f>
        <v>1466</v>
      </c>
      <c r="E16" s="216">
        <f>'B) D RI'!S17</f>
        <v>76</v>
      </c>
      <c r="F16" s="10">
        <f>'B) D RI'!R17</f>
        <v>5171753.3000000007</v>
      </c>
      <c r="G16" s="10">
        <f>'B) D RI'!U17</f>
        <v>68049.385526315804</v>
      </c>
      <c r="H16" s="41">
        <f>'B) D RI'!T17</f>
        <v>4337735.8500000006</v>
      </c>
      <c r="I16" s="10">
        <f t="shared" si="2"/>
        <v>114150.94342105265</v>
      </c>
      <c r="J16" s="31">
        <f t="shared" si="3"/>
        <v>130503.59683565692</v>
      </c>
      <c r="K16" s="10">
        <f t="shared" si="0"/>
        <v>114150.94342105265</v>
      </c>
      <c r="L16" s="10">
        <f t="shared" si="4"/>
        <v>16352.653414604269</v>
      </c>
      <c r="M16" s="10">
        <f>'D) Ecrêtage'!C15</f>
        <v>68049.385526315804</v>
      </c>
      <c r="N16" s="10">
        <f t="shared" si="1"/>
        <v>79934.267577741499</v>
      </c>
      <c r="O16" s="55">
        <f t="shared" si="5"/>
        <v>194085.21099879415</v>
      </c>
      <c r="P16" s="217"/>
      <c r="Q16" s="218"/>
      <c r="R16" s="214"/>
      <c r="S16" s="214"/>
      <c r="T16" s="219"/>
    </row>
    <row r="17" spans="1:20" s="213" customFormat="1" x14ac:dyDescent="0.25">
      <c r="A17" s="308">
        <f>'A) Base RI'!A18</f>
        <v>5412</v>
      </c>
      <c r="B17" s="226" t="str">
        <f>'A) Base RI'!B18</f>
        <v>Rennaz</v>
      </c>
      <c r="C17" s="242">
        <v>0</v>
      </c>
      <c r="D17" s="215">
        <f>'B) D RI'!AA18</f>
        <v>889</v>
      </c>
      <c r="E17" s="216">
        <f>'B) D RI'!S18</f>
        <v>69</v>
      </c>
      <c r="F17" s="10">
        <f>'B) D RI'!R18</f>
        <v>1674925.42</v>
      </c>
      <c r="G17" s="10">
        <f>'B) D RI'!U18</f>
        <v>24274.281449275361</v>
      </c>
      <c r="H17" s="41">
        <f>'B) D RI'!T18</f>
        <v>1416477.77</v>
      </c>
      <c r="I17" s="10">
        <f t="shared" si="2"/>
        <v>41057.326666666668</v>
      </c>
      <c r="J17" s="31">
        <f t="shared" si="3"/>
        <v>79138.9478764659</v>
      </c>
      <c r="K17" s="10">
        <f t="shared" si="0"/>
        <v>41057.326666666668</v>
      </c>
      <c r="L17" s="10">
        <f t="shared" si="4"/>
        <v>38081.621209799232</v>
      </c>
      <c r="M17" s="10">
        <f>'D) Ecrêtage'!C16</f>
        <v>24274.281449275361</v>
      </c>
      <c r="N17" s="10">
        <f t="shared" si="1"/>
        <v>28513.804990544984</v>
      </c>
      <c r="O17" s="55">
        <f t="shared" si="5"/>
        <v>69571.131657211648</v>
      </c>
      <c r="P17" s="217"/>
      <c r="Q17" s="218"/>
      <c r="R17" s="214"/>
      <c r="S17" s="214"/>
      <c r="T17" s="219"/>
    </row>
    <row r="18" spans="1:20" s="213" customFormat="1" x14ac:dyDescent="0.25">
      <c r="A18" s="308">
        <f>'A) Base RI'!A19</f>
        <v>5413</v>
      </c>
      <c r="B18" s="226" t="str">
        <f>'A) Base RI'!B19</f>
        <v>Roche</v>
      </c>
      <c r="C18" s="242">
        <v>0</v>
      </c>
      <c r="D18" s="215">
        <f>'B) D RI'!AA19</f>
        <v>1868</v>
      </c>
      <c r="E18" s="216">
        <f>'B) D RI'!S19</f>
        <v>68</v>
      </c>
      <c r="F18" s="10">
        <f>'B) D RI'!R19</f>
        <v>3264507.8483333327</v>
      </c>
      <c r="G18" s="10">
        <f>'B) D RI'!U19</f>
        <v>48007.468357843129</v>
      </c>
      <c r="H18" s="41">
        <f>'B) D RI'!T19</f>
        <v>2931197.3399999994</v>
      </c>
      <c r="I18" s="10">
        <f t="shared" si="2"/>
        <v>86211.686470588218</v>
      </c>
      <c r="J18" s="31">
        <f t="shared" si="3"/>
        <v>166289.71274829953</v>
      </c>
      <c r="K18" s="10">
        <f t="shared" si="0"/>
        <v>86211.686470588218</v>
      </c>
      <c r="L18" s="10">
        <f t="shared" si="4"/>
        <v>80078.026277711309</v>
      </c>
      <c r="M18" s="10">
        <f>'D) Ecrêtage'!C17</f>
        <v>48007.468357843129</v>
      </c>
      <c r="N18" s="10">
        <f t="shared" si="1"/>
        <v>56392.012826652041</v>
      </c>
      <c r="O18" s="55">
        <f t="shared" si="5"/>
        <v>142603.69929724027</v>
      </c>
      <c r="P18" s="217"/>
      <c r="Q18" s="218"/>
      <c r="R18" s="214"/>
      <c r="S18" s="214"/>
      <c r="T18" s="219"/>
    </row>
    <row r="19" spans="1:20" s="213" customFormat="1" x14ac:dyDescent="0.25">
      <c r="A19" s="308">
        <f>'A) Base RI'!A20</f>
        <v>5414</v>
      </c>
      <c r="B19" s="226" t="str">
        <f>'A) Base RI'!B20</f>
        <v>Villeneuve</v>
      </c>
      <c r="C19" s="242">
        <v>0</v>
      </c>
      <c r="D19" s="215">
        <f>'B) D RI'!AA20</f>
        <v>5837</v>
      </c>
      <c r="E19" s="216">
        <f>'B) D RI'!S20</f>
        <v>67.5</v>
      </c>
      <c r="F19" s="10">
        <f>'B) D RI'!R20</f>
        <v>10764134.489999998</v>
      </c>
      <c r="G19" s="10">
        <f>'B) D RI'!U20</f>
        <v>159468.65911111108</v>
      </c>
      <c r="H19" s="41">
        <f>'B) D RI'!T20</f>
        <v>9360798.589999998</v>
      </c>
      <c r="I19" s="10">
        <f t="shared" si="2"/>
        <v>277356.99525925919</v>
      </c>
      <c r="J19" s="31">
        <f t="shared" si="3"/>
        <v>519610.84224401735</v>
      </c>
      <c r="K19" s="10">
        <f t="shared" si="0"/>
        <v>277356.99525925919</v>
      </c>
      <c r="L19" s="10">
        <f t="shared" si="4"/>
        <v>242253.84698475816</v>
      </c>
      <c r="M19" s="10">
        <f>'D) Ecrêtage'!C18</f>
        <v>159468.65911111108</v>
      </c>
      <c r="N19" s="10">
        <f t="shared" si="1"/>
        <v>187319.99369372294</v>
      </c>
      <c r="O19" s="55">
        <f t="shared" si="5"/>
        <v>464676.98895298212</v>
      </c>
      <c r="P19" s="217"/>
      <c r="Q19" s="218"/>
      <c r="R19" s="214"/>
      <c r="S19" s="214"/>
      <c r="T19" s="219"/>
    </row>
    <row r="20" spans="1:20" s="213" customFormat="1" x14ac:dyDescent="0.25">
      <c r="A20" s="308">
        <f>'A) Base RI'!A21</f>
        <v>5415</v>
      </c>
      <c r="B20" s="226" t="str">
        <f>'A) Base RI'!B21</f>
        <v>Yvorne</v>
      </c>
      <c r="C20" s="242">
        <v>0</v>
      </c>
      <c r="D20" s="215">
        <f>'B) D RI'!AA21</f>
        <v>1070</v>
      </c>
      <c r="E20" s="216">
        <f>'B) D RI'!S21</f>
        <v>71.5</v>
      </c>
      <c r="F20" s="10">
        <f>'B) D RI'!R21</f>
        <v>2728083.9366666665</v>
      </c>
      <c r="G20" s="10">
        <f>'B) D RI'!U21</f>
        <v>38155.020093240091</v>
      </c>
      <c r="H20" s="41">
        <f>'B) D RI'!T21</f>
        <v>2477102.9699999997</v>
      </c>
      <c r="I20" s="10">
        <f t="shared" si="2"/>
        <v>69289.593566433556</v>
      </c>
      <c r="J20" s="31">
        <f t="shared" si="3"/>
        <v>95251.602056038813</v>
      </c>
      <c r="K20" s="10">
        <f t="shared" si="0"/>
        <v>69289.593566433556</v>
      </c>
      <c r="L20" s="10">
        <f t="shared" si="4"/>
        <v>25962.008489605258</v>
      </c>
      <c r="M20" s="10">
        <f>'D) Ecrêtage'!C19</f>
        <v>38155.020093240091</v>
      </c>
      <c r="N20" s="10">
        <f t="shared" si="1"/>
        <v>44818.826238889596</v>
      </c>
      <c r="O20" s="55">
        <f t="shared" si="5"/>
        <v>114108.41980532315</v>
      </c>
      <c r="P20" s="217"/>
      <c r="Q20" s="218"/>
      <c r="R20" s="214"/>
      <c r="S20" s="214"/>
      <c r="T20" s="219"/>
    </row>
    <row r="21" spans="1:20" s="213" customFormat="1" x14ac:dyDescent="0.25">
      <c r="A21" s="308">
        <f>'A) Base RI'!A22</f>
        <v>5421</v>
      </c>
      <c r="B21" s="226" t="str">
        <f>'A) Base RI'!B22</f>
        <v>Apples</v>
      </c>
      <c r="C21" s="242">
        <v>0</v>
      </c>
      <c r="D21" s="215">
        <f>'B) D RI'!AA22</f>
        <v>1457</v>
      </c>
      <c r="E21" s="216">
        <f>'B) D RI'!S22</f>
        <v>74</v>
      </c>
      <c r="F21" s="10">
        <f>'B) D RI'!R22</f>
        <v>4907206.5200000005</v>
      </c>
      <c r="G21" s="10">
        <f>'B) D RI'!U22</f>
        <v>66313.601621621623</v>
      </c>
      <c r="H21" s="41">
        <f>'B) D RI'!T22</f>
        <v>4593091.5200000005</v>
      </c>
      <c r="I21" s="10">
        <f t="shared" si="2"/>
        <v>124137.60864864866</v>
      </c>
      <c r="J21" s="31">
        <f t="shared" si="3"/>
        <v>129702.41513612015</v>
      </c>
      <c r="K21" s="10">
        <f t="shared" si="0"/>
        <v>124137.60864864866</v>
      </c>
      <c r="L21" s="10">
        <f t="shared" si="4"/>
        <v>5564.806487471491</v>
      </c>
      <c r="M21" s="10">
        <f>'D) Ecrêtage'!C20</f>
        <v>66313.601621621623</v>
      </c>
      <c r="N21" s="10">
        <f t="shared" si="1"/>
        <v>77895.327563488085</v>
      </c>
      <c r="O21" s="55">
        <f t="shared" si="5"/>
        <v>202032.93621213676</v>
      </c>
      <c r="P21" s="217"/>
      <c r="Q21" s="218"/>
      <c r="R21" s="214"/>
      <c r="S21" s="214"/>
      <c r="T21" s="219"/>
    </row>
    <row r="22" spans="1:20" s="213" customFormat="1" x14ac:dyDescent="0.25">
      <c r="A22" s="308">
        <f>'A) Base RI'!A23</f>
        <v>5422</v>
      </c>
      <c r="B22" s="226" t="str">
        <f>'A) Base RI'!B23</f>
        <v>Aubonne</v>
      </c>
      <c r="C22" s="242">
        <v>0</v>
      </c>
      <c r="D22" s="215">
        <f>'B) D RI'!AA23</f>
        <v>3241</v>
      </c>
      <c r="E22" s="216">
        <f>'B) D RI'!S23</f>
        <v>68.5</v>
      </c>
      <c r="F22" s="10">
        <f>'B) D RI'!R23</f>
        <v>16603591.66</v>
      </c>
      <c r="G22" s="10">
        <f>'B) D RI'!U23</f>
        <v>242388.1994160584</v>
      </c>
      <c r="H22" s="41">
        <f>'B) D RI'!T23</f>
        <v>15426261.48</v>
      </c>
      <c r="I22" s="10">
        <f t="shared" si="2"/>
        <v>450401.79503649636</v>
      </c>
      <c r="J22" s="31">
        <f t="shared" si="3"/>
        <v>288514.43202207645</v>
      </c>
      <c r="K22" s="10">
        <f t="shared" si="0"/>
        <v>288514.43202207645</v>
      </c>
      <c r="L22" s="10">
        <f t="shared" si="4"/>
        <v>0</v>
      </c>
      <c r="M22" s="10">
        <f>'D) Ecrêtage'!C21</f>
        <v>242388.1994160584</v>
      </c>
      <c r="N22" s="10">
        <f t="shared" si="1"/>
        <v>284721.501009256</v>
      </c>
      <c r="O22" s="55">
        <f t="shared" si="5"/>
        <v>573235.93303133245</v>
      </c>
      <c r="P22" s="217"/>
      <c r="Q22" s="218"/>
      <c r="R22" s="214"/>
      <c r="S22" s="214"/>
      <c r="T22" s="219"/>
    </row>
    <row r="23" spans="1:20" s="213" customFormat="1" x14ac:dyDescent="0.25">
      <c r="A23" s="308">
        <f>'A) Base RI'!A24</f>
        <v>5423</v>
      </c>
      <c r="B23" s="226" t="str">
        <f>'A) Base RI'!B24</f>
        <v>Ballens</v>
      </c>
      <c r="C23" s="242">
        <v>0</v>
      </c>
      <c r="D23" s="215">
        <f>'B) D RI'!AA24</f>
        <v>562</v>
      </c>
      <c r="E23" s="216">
        <f>'B) D RI'!S24</f>
        <v>73</v>
      </c>
      <c r="F23" s="10">
        <f>'B) D RI'!R24</f>
        <v>1249376.42</v>
      </c>
      <c r="G23" s="10">
        <f>'B) D RI'!U24</f>
        <v>17114.745479452053</v>
      </c>
      <c r="H23" s="41">
        <f>'B) D RI'!T24</f>
        <v>1164046.0699999998</v>
      </c>
      <c r="I23" s="10">
        <f t="shared" si="2"/>
        <v>31891.673150684928</v>
      </c>
      <c r="J23" s="31">
        <f t="shared" si="3"/>
        <v>50029.346126629731</v>
      </c>
      <c r="K23" s="10">
        <f t="shared" si="0"/>
        <v>31891.673150684928</v>
      </c>
      <c r="L23" s="10">
        <f t="shared" si="4"/>
        <v>18137.672975944803</v>
      </c>
      <c r="M23" s="10">
        <f>'D) Ecrêtage'!C22</f>
        <v>17114.745479452053</v>
      </c>
      <c r="N23" s="10">
        <f t="shared" si="1"/>
        <v>20103.850080327513</v>
      </c>
      <c r="O23" s="55">
        <f t="shared" si="5"/>
        <v>51995.523231012441</v>
      </c>
      <c r="P23" s="217"/>
      <c r="Q23" s="218"/>
      <c r="R23" s="214"/>
      <c r="S23" s="214"/>
      <c r="T23" s="219"/>
    </row>
    <row r="24" spans="1:20" s="213" customFormat="1" x14ac:dyDescent="0.25">
      <c r="A24" s="308">
        <f>'A) Base RI'!A25</f>
        <v>5424</v>
      </c>
      <c r="B24" s="226" t="str">
        <f>'A) Base RI'!B25</f>
        <v>Berolle</v>
      </c>
      <c r="C24" s="242">
        <v>0</v>
      </c>
      <c r="D24" s="215">
        <f>'B) D RI'!AA25</f>
        <v>313</v>
      </c>
      <c r="E24" s="216">
        <f>'B) D RI'!S25</f>
        <v>75.5</v>
      </c>
      <c r="F24" s="10">
        <f>'B) D RI'!R25</f>
        <v>688180.76</v>
      </c>
      <c r="G24" s="10">
        <f>'B) D RI'!U25</f>
        <v>9114.9769536423846</v>
      </c>
      <c r="H24" s="41">
        <f>'B) D RI'!T25</f>
        <v>636991.36</v>
      </c>
      <c r="I24" s="10">
        <f t="shared" si="2"/>
        <v>16873.943311258277</v>
      </c>
      <c r="J24" s="31">
        <f t="shared" si="3"/>
        <v>27863.319106112289</v>
      </c>
      <c r="K24" s="10">
        <f t="shared" si="0"/>
        <v>16873.943311258277</v>
      </c>
      <c r="L24" s="10">
        <f t="shared" si="4"/>
        <v>10989.375794854011</v>
      </c>
      <c r="M24" s="10">
        <f>'D) Ecrêtage'!C23</f>
        <v>9114.9769536423846</v>
      </c>
      <c r="N24" s="10">
        <f t="shared" si="1"/>
        <v>10706.915296033589</v>
      </c>
      <c r="O24" s="55">
        <f t="shared" si="5"/>
        <v>27580.858607291866</v>
      </c>
      <c r="P24" s="217"/>
      <c r="Q24" s="218"/>
      <c r="R24" s="214"/>
      <c r="S24" s="214"/>
      <c r="T24" s="219"/>
    </row>
    <row r="25" spans="1:20" s="213" customFormat="1" x14ac:dyDescent="0.25">
      <c r="A25" s="308">
        <f>'A) Base RI'!A26</f>
        <v>5425</v>
      </c>
      <c r="B25" s="226" t="str">
        <f>'A) Base RI'!B26</f>
        <v>Bière</v>
      </c>
      <c r="C25" s="242">
        <v>0</v>
      </c>
      <c r="D25" s="215">
        <f>'B) D RI'!AA26</f>
        <v>1627</v>
      </c>
      <c r="E25" s="216">
        <f>'B) D RI'!S26</f>
        <v>69</v>
      </c>
      <c r="F25" s="10">
        <f>'B) D RI'!R26</f>
        <v>2774625.8703448279</v>
      </c>
      <c r="G25" s="10">
        <f>'B) D RI'!U26</f>
        <v>40211.969135432286</v>
      </c>
      <c r="H25" s="41">
        <f>'B) D RI'!T26</f>
        <v>2578947.1600000006</v>
      </c>
      <c r="I25" s="10">
        <f t="shared" si="2"/>
        <v>74752.09159420291</v>
      </c>
      <c r="J25" s="31">
        <f t="shared" si="3"/>
        <v>144835.84723848145</v>
      </c>
      <c r="K25" s="10">
        <f t="shared" si="0"/>
        <v>74752.09159420291</v>
      </c>
      <c r="L25" s="10">
        <f t="shared" si="4"/>
        <v>70083.755644278543</v>
      </c>
      <c r="M25" s="10">
        <f>'D) Ecrêtage'!C24</f>
        <v>40211.969135432286</v>
      </c>
      <c r="N25" s="10">
        <f t="shared" si="1"/>
        <v>47235.023150304551</v>
      </c>
      <c r="O25" s="55">
        <f t="shared" si="5"/>
        <v>121987.11474450746</v>
      </c>
      <c r="P25" s="217"/>
      <c r="Q25" s="218"/>
      <c r="R25" s="214"/>
      <c r="S25" s="214"/>
      <c r="T25" s="219"/>
    </row>
    <row r="26" spans="1:20" s="213" customFormat="1" x14ac:dyDescent="0.25">
      <c r="A26" s="308">
        <f>'A) Base RI'!A27</f>
        <v>5426</v>
      </c>
      <c r="B26" s="226" t="str">
        <f>'A) Base RI'!B27</f>
        <v>Bougy-Villars</v>
      </c>
      <c r="C26" s="242">
        <v>0</v>
      </c>
      <c r="D26" s="215">
        <f>'B) D RI'!AA27</f>
        <v>477</v>
      </c>
      <c r="E26" s="216">
        <f>'B) D RI'!S27</f>
        <v>64.5</v>
      </c>
      <c r="F26" s="10">
        <f>'B) D RI'!R27</f>
        <v>3586378.9883333333</v>
      </c>
      <c r="G26" s="10">
        <f>'B) D RI'!U27</f>
        <v>55602.775012919898</v>
      </c>
      <c r="H26" s="41">
        <f>'B) D RI'!T27</f>
        <v>3343861.98</v>
      </c>
      <c r="I26" s="10">
        <f t="shared" si="2"/>
        <v>103685.64279069768</v>
      </c>
      <c r="J26" s="31">
        <f t="shared" si="3"/>
        <v>42462.63007544908</v>
      </c>
      <c r="K26" s="10">
        <f t="shared" si="0"/>
        <v>42462.63007544908</v>
      </c>
      <c r="L26" s="10">
        <f t="shared" si="4"/>
        <v>0</v>
      </c>
      <c r="M26" s="10">
        <f>'D) Ecrêtage'!C25</f>
        <v>55602.775012919898</v>
      </c>
      <c r="N26" s="10">
        <f t="shared" si="1"/>
        <v>65313.846136478503</v>
      </c>
      <c r="O26" s="55">
        <f t="shared" si="5"/>
        <v>107776.47621192758</v>
      </c>
      <c r="P26" s="217"/>
      <c r="Q26" s="218"/>
      <c r="R26" s="214"/>
      <c r="S26" s="214"/>
      <c r="T26" s="219"/>
    </row>
    <row r="27" spans="1:20" s="213" customFormat="1" x14ac:dyDescent="0.25">
      <c r="A27" s="308">
        <f>'A) Base RI'!A28</f>
        <v>5427</v>
      </c>
      <c r="B27" s="226" t="str">
        <f>'A) Base RI'!B28</f>
        <v>Féchy</v>
      </c>
      <c r="C27" s="242">
        <v>0</v>
      </c>
      <c r="D27" s="215">
        <f>'B) D RI'!AA28</f>
        <v>869</v>
      </c>
      <c r="E27" s="216">
        <f>'B) D RI'!S28</f>
        <v>64</v>
      </c>
      <c r="F27" s="10">
        <f>'B) D RI'!R28</f>
        <v>4929281.8107692311</v>
      </c>
      <c r="G27" s="10">
        <f>'B) D RI'!U28</f>
        <v>77020.028293269235</v>
      </c>
      <c r="H27" s="41">
        <f>'B) D RI'!T28</f>
        <v>4567987.33</v>
      </c>
      <c r="I27" s="10">
        <f t="shared" si="2"/>
        <v>142749.6040625</v>
      </c>
      <c r="J27" s="31">
        <f t="shared" si="3"/>
        <v>77358.544099717503</v>
      </c>
      <c r="K27" s="10">
        <f t="shared" si="0"/>
        <v>77358.544099717503</v>
      </c>
      <c r="L27" s="10">
        <f t="shared" si="4"/>
        <v>0</v>
      </c>
      <c r="M27" s="10">
        <f>'D) Ecrêtage'!C26</f>
        <v>77020.028293269235</v>
      </c>
      <c r="N27" s="10">
        <f t="shared" si="1"/>
        <v>90471.640600760016</v>
      </c>
      <c r="O27" s="55">
        <f t="shared" si="5"/>
        <v>167830.18470047752</v>
      </c>
      <c r="P27" s="217"/>
      <c r="Q27" s="218"/>
      <c r="R27" s="214"/>
      <c r="S27" s="214"/>
      <c r="T27" s="219"/>
    </row>
    <row r="28" spans="1:20" s="213" customFormat="1" x14ac:dyDescent="0.25">
      <c r="A28" s="308">
        <f>'A) Base RI'!A29</f>
        <v>5428</v>
      </c>
      <c r="B28" s="226" t="str">
        <f>'A) Base RI'!B29</f>
        <v>Gimel</v>
      </c>
      <c r="C28" s="242">
        <v>0</v>
      </c>
      <c r="D28" s="215">
        <f>'B) D RI'!AA29</f>
        <v>2307</v>
      </c>
      <c r="E28" s="216">
        <f>'B) D RI'!S29</f>
        <v>74.5</v>
      </c>
      <c r="F28" s="10">
        <f>'B) D RI'!R29</f>
        <v>5229395.1116666673</v>
      </c>
      <c r="G28" s="10">
        <f>'B) D RI'!U29</f>
        <v>70193.222975391502</v>
      </c>
      <c r="H28" s="41">
        <f>'B) D RI'!T29</f>
        <v>4832410.32</v>
      </c>
      <c r="I28" s="10">
        <f t="shared" si="2"/>
        <v>129729.13610738255</v>
      </c>
      <c r="J28" s="31">
        <f t="shared" si="3"/>
        <v>205369.57564792669</v>
      </c>
      <c r="K28" s="10">
        <f t="shared" si="0"/>
        <v>129729.13610738255</v>
      </c>
      <c r="L28" s="10">
        <f t="shared" si="4"/>
        <v>75640.439540544132</v>
      </c>
      <c r="M28" s="10">
        <f>'D) Ecrêtage'!C27</f>
        <v>70193.222975391502</v>
      </c>
      <c r="N28" s="10">
        <f t="shared" si="1"/>
        <v>82452.528028915287</v>
      </c>
      <c r="O28" s="55">
        <f t="shared" si="5"/>
        <v>212181.66413629783</v>
      </c>
      <c r="P28" s="217"/>
      <c r="Q28" s="218"/>
      <c r="R28" s="214"/>
      <c r="S28" s="214"/>
      <c r="T28" s="219"/>
    </row>
    <row r="29" spans="1:20" s="213" customFormat="1" x14ac:dyDescent="0.25">
      <c r="A29" s="308">
        <f>'A) Base RI'!A30</f>
        <v>5429</v>
      </c>
      <c r="B29" s="226" t="str">
        <f>'A) Base RI'!B30</f>
        <v>Longirod</v>
      </c>
      <c r="C29" s="242">
        <v>0</v>
      </c>
      <c r="D29" s="215">
        <f>'B) D RI'!AA30</f>
        <v>494</v>
      </c>
      <c r="E29" s="216">
        <f>'B) D RI'!S30</f>
        <v>77.5</v>
      </c>
      <c r="F29" s="10">
        <f>'B) D RI'!R30</f>
        <v>1250909.98</v>
      </c>
      <c r="G29" s="10">
        <f>'B) D RI'!U30</f>
        <v>16140.77393548387</v>
      </c>
      <c r="H29" s="41">
        <f>'B) D RI'!T30</f>
        <v>1145234.78</v>
      </c>
      <c r="I29" s="10">
        <f t="shared" si="2"/>
        <v>29554.445935483873</v>
      </c>
      <c r="J29" s="31">
        <f t="shared" si="3"/>
        <v>43975.973285685213</v>
      </c>
      <c r="K29" s="10">
        <f t="shared" si="0"/>
        <v>29554.445935483873</v>
      </c>
      <c r="L29" s="10">
        <f t="shared" si="4"/>
        <v>14421.527350201341</v>
      </c>
      <c r="M29" s="10">
        <f>'D) Ecrêtage'!C28</f>
        <v>16140.77393548387</v>
      </c>
      <c r="N29" s="10">
        <f t="shared" si="1"/>
        <v>18959.773592251786</v>
      </c>
      <c r="O29" s="55">
        <f t="shared" si="5"/>
        <v>48514.219527735659</v>
      </c>
      <c r="P29" s="217"/>
      <c r="Q29" s="218"/>
      <c r="R29" s="214"/>
      <c r="S29" s="214"/>
      <c r="T29" s="219"/>
    </row>
    <row r="30" spans="1:20" s="213" customFormat="1" x14ac:dyDescent="0.25">
      <c r="A30" s="308">
        <f>'A) Base RI'!A31</f>
        <v>5430</v>
      </c>
      <c r="B30" s="226" t="str">
        <f>'A) Base RI'!B31</f>
        <v>Marchissy</v>
      </c>
      <c r="C30" s="242">
        <v>0</v>
      </c>
      <c r="D30" s="215">
        <f>'B) D RI'!AA31</f>
        <v>481</v>
      </c>
      <c r="E30" s="216">
        <f>'B) D RI'!S31</f>
        <v>77.5</v>
      </c>
      <c r="F30" s="10">
        <f>'B) D RI'!R31</f>
        <v>1150754.9300000002</v>
      </c>
      <c r="G30" s="10">
        <f>'B) D RI'!U31</f>
        <v>14848.450709677421</v>
      </c>
      <c r="H30" s="41">
        <f>'B) D RI'!T31</f>
        <v>1055842.33</v>
      </c>
      <c r="I30" s="10">
        <f t="shared" si="2"/>
        <v>27247.544000000002</v>
      </c>
      <c r="J30" s="31">
        <f t="shared" si="3"/>
        <v>42818.710830798758</v>
      </c>
      <c r="K30" s="10">
        <f t="shared" si="0"/>
        <v>27247.544000000002</v>
      </c>
      <c r="L30" s="10">
        <f t="shared" si="4"/>
        <v>15571.166830798757</v>
      </c>
      <c r="M30" s="10">
        <f>'D) Ecrêtage'!C29</f>
        <v>14848.450709677421</v>
      </c>
      <c r="N30" s="10">
        <f t="shared" si="1"/>
        <v>17441.745035056443</v>
      </c>
      <c r="O30" s="55">
        <f t="shared" si="5"/>
        <v>44689.289035056441</v>
      </c>
      <c r="P30" s="217"/>
      <c r="Q30" s="218"/>
      <c r="R30" s="214"/>
      <c r="S30" s="214"/>
      <c r="T30" s="219"/>
    </row>
    <row r="31" spans="1:20" s="213" customFormat="1" x14ac:dyDescent="0.25">
      <c r="A31" s="308">
        <f>'A) Base RI'!A32</f>
        <v>5431</v>
      </c>
      <c r="B31" s="226" t="str">
        <f>'A) Base RI'!B32</f>
        <v>Mollens</v>
      </c>
      <c r="C31" s="242">
        <v>0</v>
      </c>
      <c r="D31" s="215">
        <f>'B) D RI'!AA32</f>
        <v>330</v>
      </c>
      <c r="E31" s="216">
        <f>'B) D RI'!S32</f>
        <v>74</v>
      </c>
      <c r="F31" s="10">
        <f>'B) D RI'!R32</f>
        <v>690677.13000000012</v>
      </c>
      <c r="G31" s="10">
        <f>'B) D RI'!U32</f>
        <v>9333.4747297297308</v>
      </c>
      <c r="H31" s="41">
        <f>'B) D RI'!T32</f>
        <v>638555.9800000001</v>
      </c>
      <c r="I31" s="10">
        <f t="shared" si="2"/>
        <v>17258.269729729731</v>
      </c>
      <c r="J31" s="31">
        <f t="shared" si="3"/>
        <v>29376.662316348418</v>
      </c>
      <c r="K31" s="10">
        <f t="shared" si="0"/>
        <v>17258.269729729731</v>
      </c>
      <c r="L31" s="10">
        <f t="shared" si="4"/>
        <v>12118.392586618687</v>
      </c>
      <c r="M31" s="10">
        <f>'D) Ecrêtage'!C30</f>
        <v>9333.4747297297308</v>
      </c>
      <c r="N31" s="10">
        <f t="shared" si="1"/>
        <v>10963.573891314412</v>
      </c>
      <c r="O31" s="55">
        <f t="shared" si="5"/>
        <v>28221.843621044143</v>
      </c>
      <c r="P31" s="217"/>
      <c r="Q31" s="218"/>
      <c r="R31" s="214"/>
      <c r="S31" s="214"/>
      <c r="T31" s="219"/>
    </row>
    <row r="32" spans="1:20" s="213" customFormat="1" x14ac:dyDescent="0.25">
      <c r="A32" s="308">
        <f>'A) Base RI'!A33</f>
        <v>5432</v>
      </c>
      <c r="B32" s="226" t="str">
        <f>'A) Base RI'!B33</f>
        <v>Montherod</v>
      </c>
      <c r="C32" s="242">
        <v>0</v>
      </c>
      <c r="D32" s="215">
        <f>'B) D RI'!AA33</f>
        <v>523</v>
      </c>
      <c r="E32" s="216">
        <f>'B) D RI'!S33</f>
        <v>75</v>
      </c>
      <c r="F32" s="10">
        <f>'B) D RI'!R33</f>
        <v>1232213.25</v>
      </c>
      <c r="G32" s="10">
        <f>'B) D RI'!U33</f>
        <v>16429.509999999998</v>
      </c>
      <c r="H32" s="41">
        <f>'B) D RI'!T33</f>
        <v>1131440.45</v>
      </c>
      <c r="I32" s="10">
        <f t="shared" si="2"/>
        <v>30171.745333333332</v>
      </c>
      <c r="J32" s="31">
        <f t="shared" si="3"/>
        <v>46557.558761970373</v>
      </c>
      <c r="K32" s="10">
        <f t="shared" si="0"/>
        <v>30171.745333333332</v>
      </c>
      <c r="L32" s="10">
        <f t="shared" si="4"/>
        <v>16385.81342863704</v>
      </c>
      <c r="M32" s="10">
        <f>'D) Ecrêtage'!C31</f>
        <v>16429.509999999998</v>
      </c>
      <c r="N32" s="10">
        <f t="shared" si="1"/>
        <v>19298.93765173401</v>
      </c>
      <c r="O32" s="55">
        <f t="shared" si="5"/>
        <v>49470.682985067338</v>
      </c>
      <c r="P32" s="217"/>
      <c r="Q32" s="218"/>
      <c r="R32" s="214"/>
      <c r="S32" s="214"/>
      <c r="T32" s="219"/>
    </row>
    <row r="33" spans="1:20" s="213" customFormat="1" x14ac:dyDescent="0.25">
      <c r="A33" s="308">
        <f>'A) Base RI'!A34</f>
        <v>5434</v>
      </c>
      <c r="B33" s="226" t="str">
        <f>'A) Base RI'!B34</f>
        <v>Saint-George</v>
      </c>
      <c r="C33" s="242">
        <v>0</v>
      </c>
      <c r="D33" s="215">
        <f>'B) D RI'!AA34</f>
        <v>1074</v>
      </c>
      <c r="E33" s="216">
        <f>'B) D RI'!S34</f>
        <v>69.5</v>
      </c>
      <c r="F33" s="10">
        <f>'B) D RI'!R34</f>
        <v>2835375.8083333331</v>
      </c>
      <c r="G33" s="10">
        <f>'B) D RI'!U34</f>
        <v>40796.774220623498</v>
      </c>
      <c r="H33" s="41">
        <f>'B) D RI'!T34</f>
        <v>2597942.8999999994</v>
      </c>
      <c r="I33" s="10">
        <f t="shared" si="2"/>
        <v>74760.946762589912</v>
      </c>
      <c r="J33" s="31">
        <f t="shared" si="3"/>
        <v>95607.682811388499</v>
      </c>
      <c r="K33" s="10">
        <f t="shared" si="0"/>
        <v>74760.946762589912</v>
      </c>
      <c r="L33" s="10">
        <f t="shared" si="4"/>
        <v>20846.736048798586</v>
      </c>
      <c r="M33" s="10">
        <f>'D) Ecrêtage'!C32</f>
        <v>40796.774220623498</v>
      </c>
      <c r="N33" s="10">
        <f t="shared" si="1"/>
        <v>47921.964932349314</v>
      </c>
      <c r="O33" s="55">
        <f t="shared" si="5"/>
        <v>122682.91169493922</v>
      </c>
      <c r="P33" s="217"/>
      <c r="Q33" s="218"/>
      <c r="R33" s="214"/>
      <c r="S33" s="214"/>
      <c r="T33" s="219"/>
    </row>
    <row r="34" spans="1:20" s="213" customFormat="1" x14ac:dyDescent="0.25">
      <c r="A34" s="308">
        <f>'A) Base RI'!A35</f>
        <v>5435</v>
      </c>
      <c r="B34" s="226" t="str">
        <f>'A) Base RI'!B35</f>
        <v>Saint-Livres</v>
      </c>
      <c r="C34" s="242">
        <v>0</v>
      </c>
      <c r="D34" s="215">
        <f>'B) D RI'!AA35</f>
        <v>683</v>
      </c>
      <c r="E34" s="216">
        <f>'B) D RI'!S35</f>
        <v>69</v>
      </c>
      <c r="F34" s="10">
        <f>'B) D RI'!R35</f>
        <v>1817909.1999999997</v>
      </c>
      <c r="G34" s="10">
        <f>'B) D RI'!U35</f>
        <v>26346.510144927532</v>
      </c>
      <c r="H34" s="41">
        <f>'B) D RI'!T35</f>
        <v>1692040.2999999998</v>
      </c>
      <c r="I34" s="10">
        <f t="shared" si="2"/>
        <v>49044.646376811586</v>
      </c>
      <c r="J34" s="31">
        <f t="shared" si="3"/>
        <v>60800.78897595749</v>
      </c>
      <c r="K34" s="10">
        <f t="shared" si="0"/>
        <v>49044.646376811586</v>
      </c>
      <c r="L34" s="10">
        <f t="shared" si="4"/>
        <v>11756.142599145904</v>
      </c>
      <c r="M34" s="10">
        <f>'D) Ecrêtage'!C33</f>
        <v>26346.510144927532</v>
      </c>
      <c r="N34" s="10">
        <f t="shared" si="1"/>
        <v>30947.950159665997</v>
      </c>
      <c r="O34" s="55">
        <f t="shared" si="5"/>
        <v>79992.596536477591</v>
      </c>
      <c r="P34" s="217"/>
      <c r="Q34" s="218"/>
      <c r="R34" s="214"/>
      <c r="S34" s="214"/>
      <c r="T34" s="219"/>
    </row>
    <row r="35" spans="1:20" s="213" customFormat="1" x14ac:dyDescent="0.25">
      <c r="A35" s="308">
        <f>'A) Base RI'!A36</f>
        <v>5436</v>
      </c>
      <c r="B35" s="226" t="str">
        <f>'A) Base RI'!B36</f>
        <v>Saint-Oyens</v>
      </c>
      <c r="C35" s="242">
        <v>0</v>
      </c>
      <c r="D35" s="215">
        <f>'B) D RI'!AA36</f>
        <v>461</v>
      </c>
      <c r="E35" s="216">
        <f>'B) D RI'!S36</f>
        <v>81</v>
      </c>
      <c r="F35" s="10">
        <f>'B) D RI'!R36</f>
        <v>1357206.7174999998</v>
      </c>
      <c r="G35" s="10">
        <f>'B) D RI'!U36</f>
        <v>16755.63848765432</v>
      </c>
      <c r="H35" s="41">
        <f>'B) D RI'!T36</f>
        <v>1269860.5299999998</v>
      </c>
      <c r="I35" s="10">
        <f t="shared" si="2"/>
        <v>31354.580987654317</v>
      </c>
      <c r="J35" s="31">
        <f t="shared" si="3"/>
        <v>41038.307054050369</v>
      </c>
      <c r="K35" s="10">
        <f t="shared" si="0"/>
        <v>31354.580987654317</v>
      </c>
      <c r="L35" s="10">
        <f t="shared" si="4"/>
        <v>9683.7260663960515</v>
      </c>
      <c r="M35" s="10">
        <f>'D) Ecrêtage'!C34</f>
        <v>16755.63848765432</v>
      </c>
      <c r="N35" s="10">
        <f t="shared" si="1"/>
        <v>19682.024752304573</v>
      </c>
      <c r="O35" s="55">
        <f t="shared" si="5"/>
        <v>51036.60573995889</v>
      </c>
      <c r="P35" s="217"/>
      <c r="Q35" s="218"/>
      <c r="R35" s="214"/>
      <c r="S35" s="214"/>
      <c r="T35" s="219"/>
    </row>
    <row r="36" spans="1:20" s="213" customFormat="1" x14ac:dyDescent="0.25">
      <c r="A36" s="308">
        <f>'A) Base RI'!A37</f>
        <v>5437</v>
      </c>
      <c r="B36" s="226" t="str">
        <f>'A) Base RI'!B37</f>
        <v>Saubraz</v>
      </c>
      <c r="C36" s="242">
        <v>0</v>
      </c>
      <c r="D36" s="215">
        <f>'B) D RI'!AA37</f>
        <v>423</v>
      </c>
      <c r="E36" s="216">
        <f>'B) D RI'!S37</f>
        <v>80</v>
      </c>
      <c r="F36" s="10">
        <f>'B) D RI'!R37</f>
        <v>1071352.47</v>
      </c>
      <c r="G36" s="10">
        <f>'B) D RI'!U37</f>
        <v>13391.905875</v>
      </c>
      <c r="H36" s="41">
        <f>'B) D RI'!T37</f>
        <v>1001595.07</v>
      </c>
      <c r="I36" s="10">
        <f t="shared" si="2"/>
        <v>25039.876749999999</v>
      </c>
      <c r="J36" s="31">
        <f t="shared" si="3"/>
        <v>37655.539878228432</v>
      </c>
      <c r="K36" s="10">
        <f t="shared" si="0"/>
        <v>25039.876749999999</v>
      </c>
      <c r="L36" s="10">
        <f t="shared" si="4"/>
        <v>12615.663128228432</v>
      </c>
      <c r="M36" s="10">
        <f>'D) Ecrêtage'!C35</f>
        <v>13391.905875</v>
      </c>
      <c r="N36" s="10">
        <f t="shared" si="1"/>
        <v>15730.813427759893</v>
      </c>
      <c r="O36" s="55">
        <f t="shared" si="5"/>
        <v>40770.690177759891</v>
      </c>
      <c r="P36" s="217"/>
      <c r="Q36" s="218"/>
      <c r="R36" s="214"/>
      <c r="S36" s="214"/>
      <c r="T36" s="219"/>
    </row>
    <row r="37" spans="1:20" s="213" customFormat="1" x14ac:dyDescent="0.25">
      <c r="A37" s="308">
        <f>'A) Base RI'!A38</f>
        <v>5451</v>
      </c>
      <c r="B37" s="226" t="str">
        <f>'A) Base RI'!B38</f>
        <v>Avenches</v>
      </c>
      <c r="C37" s="242">
        <v>0</v>
      </c>
      <c r="D37" s="215">
        <f>'B) D RI'!AA38</f>
        <v>4482</v>
      </c>
      <c r="E37" s="216">
        <f>'B) D RI'!S38</f>
        <v>66.5</v>
      </c>
      <c r="F37" s="10">
        <f>'B) D RI'!R38</f>
        <v>8611803.9900000002</v>
      </c>
      <c r="G37" s="10">
        <f>'B) D RI'!U38</f>
        <v>129500.81187969925</v>
      </c>
      <c r="H37" s="41">
        <f>'B) D RI'!T38</f>
        <v>7463259.04</v>
      </c>
      <c r="I37" s="10">
        <f t="shared" si="2"/>
        <v>224458.9184962406</v>
      </c>
      <c r="J37" s="31">
        <f t="shared" si="3"/>
        <v>398988.48636931396</v>
      </c>
      <c r="K37" s="10">
        <f t="shared" si="0"/>
        <v>224458.9184962406</v>
      </c>
      <c r="L37" s="10">
        <f t="shared" si="4"/>
        <v>174529.56787307336</v>
      </c>
      <c r="M37" s="10">
        <f>'D) Ecrêtage'!C36</f>
        <v>129500.81187969925</v>
      </c>
      <c r="N37" s="10">
        <f t="shared" si="1"/>
        <v>152118.23689904637</v>
      </c>
      <c r="O37" s="55">
        <f t="shared" si="5"/>
        <v>376577.15539528697</v>
      </c>
      <c r="P37" s="217"/>
      <c r="Q37" s="218"/>
      <c r="R37" s="214"/>
      <c r="S37" s="214"/>
      <c r="T37" s="219"/>
    </row>
    <row r="38" spans="1:20" s="213" customFormat="1" x14ac:dyDescent="0.25">
      <c r="A38" s="308">
        <f>'A) Base RI'!A39</f>
        <v>5456</v>
      </c>
      <c r="B38" s="226" t="str">
        <f>'A) Base RI'!B39</f>
        <v>Cudrefin</v>
      </c>
      <c r="C38" s="242">
        <v>0</v>
      </c>
      <c r="D38" s="215">
        <f>'B) D RI'!AA39</f>
        <v>1780</v>
      </c>
      <c r="E38" s="216">
        <f>'B) D RI'!S39</f>
        <v>59</v>
      </c>
      <c r="F38" s="10">
        <f>'B) D RI'!R39</f>
        <v>3789389.0633333339</v>
      </c>
      <c r="G38" s="10">
        <f>'B) D RI'!U39</f>
        <v>64226.933276836171</v>
      </c>
      <c r="H38" s="41">
        <f>'B) D RI'!T39</f>
        <v>3455093.6800000006</v>
      </c>
      <c r="I38" s="10">
        <f t="shared" si="2"/>
        <v>117121.81966101697</v>
      </c>
      <c r="J38" s="31">
        <f t="shared" ref="J38:J69" si="6">+$I$315/$D$315*D38</f>
        <v>158455.93613060663</v>
      </c>
      <c r="K38" s="10">
        <f t="shared" si="0"/>
        <v>117121.81966101697</v>
      </c>
      <c r="L38" s="10">
        <f t="shared" si="4"/>
        <v>41334.116469589659</v>
      </c>
      <c r="M38" s="10">
        <f>'D) Ecrêtage'!C37</f>
        <v>64226.933276836171</v>
      </c>
      <c r="N38" s="10">
        <f t="shared" ref="N38:N69" si="7">+$N$5*M38</f>
        <v>75444.220848445373</v>
      </c>
      <c r="O38" s="55">
        <f t="shared" si="5"/>
        <v>192566.04050946236</v>
      </c>
      <c r="P38" s="217"/>
      <c r="Q38" s="218"/>
      <c r="R38" s="214"/>
      <c r="S38" s="214"/>
      <c r="T38" s="219"/>
    </row>
    <row r="39" spans="1:20" s="213" customFormat="1" x14ac:dyDescent="0.25">
      <c r="A39" s="308">
        <f>'A) Base RI'!A40</f>
        <v>5458</v>
      </c>
      <c r="B39" s="226" t="str">
        <f>'A) Base RI'!B40</f>
        <v>Faoug</v>
      </c>
      <c r="C39" s="242">
        <v>0</v>
      </c>
      <c r="D39" s="215">
        <f>'B) D RI'!AA40</f>
        <v>881</v>
      </c>
      <c r="E39" s="216">
        <f>'B) D RI'!S40</f>
        <v>66</v>
      </c>
      <c r="F39" s="10">
        <f>'B) D RI'!R40</f>
        <v>2125094.67</v>
      </c>
      <c r="G39" s="10">
        <f>'B) D RI'!U40</f>
        <v>32198.404090909091</v>
      </c>
      <c r="H39" s="41">
        <f>'B) D RI'!T40</f>
        <v>1898775.6199999999</v>
      </c>
      <c r="I39" s="10">
        <f t="shared" si="2"/>
        <v>57538.655151515151</v>
      </c>
      <c r="J39" s="31">
        <f t="shared" si="6"/>
        <v>78426.786365766544</v>
      </c>
      <c r="K39" s="10">
        <f t="shared" si="0"/>
        <v>57538.655151515151</v>
      </c>
      <c r="L39" s="10">
        <f t="shared" si="4"/>
        <v>20888.131214251393</v>
      </c>
      <c r="M39" s="10">
        <f>'D) Ecrêtage'!C38</f>
        <v>32198.404090909091</v>
      </c>
      <c r="N39" s="10">
        <f t="shared" si="7"/>
        <v>37821.882273773954</v>
      </c>
      <c r="O39" s="55">
        <f t="shared" si="5"/>
        <v>95360.537425289105</v>
      </c>
      <c r="P39" s="217"/>
      <c r="Q39" s="218"/>
      <c r="R39" s="214"/>
      <c r="S39" s="214"/>
      <c r="T39" s="219"/>
    </row>
    <row r="40" spans="1:20" s="213" customFormat="1" x14ac:dyDescent="0.25">
      <c r="A40" s="308">
        <f>'A) Base RI'!A41</f>
        <v>5464</v>
      </c>
      <c r="B40" s="226" t="str">
        <f>'A) Base RI'!B41</f>
        <v>Vully-les-Lacs</v>
      </c>
      <c r="C40" s="242">
        <v>0</v>
      </c>
      <c r="D40" s="215">
        <f>'B) D RI'!AA41</f>
        <v>3360</v>
      </c>
      <c r="E40" s="216">
        <f>'B) D RI'!S41</f>
        <v>67</v>
      </c>
      <c r="F40" s="10">
        <f>'B) D RI'!R41</f>
        <v>7477020.370000001</v>
      </c>
      <c r="G40" s="10">
        <f>'B) D RI'!U41</f>
        <v>111597.31895522389</v>
      </c>
      <c r="H40" s="41">
        <f>'B) D RI'!T41</f>
        <v>6779518.6700000009</v>
      </c>
      <c r="I40" s="10">
        <f t="shared" si="2"/>
        <v>202373.69164179108</v>
      </c>
      <c r="J40" s="31">
        <f t="shared" si="6"/>
        <v>299107.83449372934</v>
      </c>
      <c r="K40" s="10">
        <f t="shared" si="0"/>
        <v>202373.69164179108</v>
      </c>
      <c r="L40" s="10">
        <f t="shared" si="4"/>
        <v>96734.142851938261</v>
      </c>
      <c r="M40" s="10">
        <f>'D) Ecrêtage'!C39</f>
        <v>111597.31895522389</v>
      </c>
      <c r="N40" s="10">
        <f t="shared" si="7"/>
        <v>131087.88397326155</v>
      </c>
      <c r="O40" s="55">
        <f t="shared" si="5"/>
        <v>333461.5756150526</v>
      </c>
      <c r="P40" s="217"/>
      <c r="Q40" s="218"/>
      <c r="R40" s="214"/>
      <c r="S40" s="214"/>
      <c r="T40" s="219"/>
    </row>
    <row r="41" spans="1:20" s="213" customFormat="1" x14ac:dyDescent="0.25">
      <c r="A41" s="308">
        <f>'A) Base RI'!A42</f>
        <v>5471</v>
      </c>
      <c r="B41" s="226" t="str">
        <f>'A) Base RI'!B42</f>
        <v>Bettens</v>
      </c>
      <c r="C41" s="242">
        <v>0</v>
      </c>
      <c r="D41" s="215">
        <f>'B) D RI'!AA42</f>
        <v>636</v>
      </c>
      <c r="E41" s="216">
        <f>'B) D RI'!S42</f>
        <v>70</v>
      </c>
      <c r="F41" s="10">
        <f>'B) D RI'!R42</f>
        <v>1426969.7911111112</v>
      </c>
      <c r="G41" s="10">
        <f>'B) D RI'!U42</f>
        <v>20385.282730158731</v>
      </c>
      <c r="H41" s="41">
        <f>'B) D RI'!T42</f>
        <v>1291201.43</v>
      </c>
      <c r="I41" s="10">
        <f t="shared" si="2"/>
        <v>36891.469428571429</v>
      </c>
      <c r="J41" s="31">
        <f t="shared" si="6"/>
        <v>56616.840100598776</v>
      </c>
      <c r="K41" s="10">
        <f t="shared" si="0"/>
        <v>36891.469428571429</v>
      </c>
      <c r="L41" s="10">
        <f t="shared" si="4"/>
        <v>19725.370672027348</v>
      </c>
      <c r="M41" s="10">
        <f>'D) Ecrêtage'!C40</f>
        <v>20385.282730158731</v>
      </c>
      <c r="N41" s="10">
        <f t="shared" si="7"/>
        <v>23945.589395076509</v>
      </c>
      <c r="O41" s="55">
        <f t="shared" si="5"/>
        <v>60837.058823647938</v>
      </c>
      <c r="P41" s="217"/>
      <c r="Q41" s="218"/>
      <c r="R41" s="214"/>
      <c r="S41" s="214"/>
      <c r="T41" s="219"/>
    </row>
    <row r="42" spans="1:20" s="213" customFormat="1" x14ac:dyDescent="0.25">
      <c r="A42" s="308">
        <f>'A) Base RI'!A43</f>
        <v>5472</v>
      </c>
      <c r="B42" s="226" t="str">
        <f>'A) Base RI'!B43</f>
        <v>Bournens</v>
      </c>
      <c r="C42" s="242">
        <v>0</v>
      </c>
      <c r="D42" s="215">
        <f>'B) D RI'!AA43</f>
        <v>490</v>
      </c>
      <c r="E42" s="216">
        <f>'B) D RI'!S43</f>
        <v>72</v>
      </c>
      <c r="F42" s="10">
        <f>'B) D RI'!R43</f>
        <v>1450307.6199999999</v>
      </c>
      <c r="G42" s="10">
        <f>'B) D RI'!U43</f>
        <v>20143.161388888886</v>
      </c>
      <c r="H42" s="41">
        <f>'B) D RI'!T43</f>
        <v>1357629.72</v>
      </c>
      <c r="I42" s="10">
        <f t="shared" si="2"/>
        <v>37711.936666666668</v>
      </c>
      <c r="J42" s="31">
        <f t="shared" si="6"/>
        <v>43619.892530335535</v>
      </c>
      <c r="K42" s="10">
        <f t="shared" si="0"/>
        <v>37711.936666666668</v>
      </c>
      <c r="L42" s="10">
        <f t="shared" si="4"/>
        <v>5907.9558636688671</v>
      </c>
      <c r="M42" s="10">
        <f>'D) Ecrêtage'!C41</f>
        <v>20143.161388888886</v>
      </c>
      <c r="N42" s="10">
        <f t="shared" si="7"/>
        <v>23661.181359211718</v>
      </c>
      <c r="O42" s="55">
        <f t="shared" si="5"/>
        <v>61373.118025878386</v>
      </c>
      <c r="P42" s="217"/>
      <c r="Q42" s="218"/>
      <c r="R42" s="214"/>
      <c r="S42" s="214"/>
      <c r="T42" s="219"/>
    </row>
    <row r="43" spans="1:20" s="213" customFormat="1" x14ac:dyDescent="0.25">
      <c r="A43" s="308">
        <f>'A) Base RI'!A44</f>
        <v>5473</v>
      </c>
      <c r="B43" s="226" t="str">
        <f>'A) Base RI'!B44</f>
        <v>Boussens</v>
      </c>
      <c r="C43" s="242">
        <v>0</v>
      </c>
      <c r="D43" s="215">
        <f>'B) D RI'!AA44</f>
        <v>999</v>
      </c>
      <c r="E43" s="216">
        <f>'B) D RI'!S44</f>
        <v>67.5</v>
      </c>
      <c r="F43" s="10">
        <f>'B) D RI'!R44</f>
        <v>2549821.9899999998</v>
      </c>
      <c r="G43" s="10">
        <f>'B) D RI'!U44</f>
        <v>37775.140592592586</v>
      </c>
      <c r="H43" s="41">
        <f>'B) D RI'!T44</f>
        <v>2357305.8899999997</v>
      </c>
      <c r="I43" s="10">
        <f t="shared" si="2"/>
        <v>69846.100444444441</v>
      </c>
      <c r="J43" s="31">
        <f t="shared" si="6"/>
        <v>88931.168648582039</v>
      </c>
      <c r="K43" s="10">
        <f t="shared" si="0"/>
        <v>69846.100444444441</v>
      </c>
      <c r="L43" s="10">
        <f t="shared" si="4"/>
        <v>19085.068204137599</v>
      </c>
      <c r="M43" s="10">
        <f>'D) Ecrêtage'!C42</f>
        <v>37775.140592592586</v>
      </c>
      <c r="N43" s="10">
        <f t="shared" si="7"/>
        <v>44372.600465986565</v>
      </c>
      <c r="O43" s="55">
        <f t="shared" si="5"/>
        <v>114218.70091043101</v>
      </c>
      <c r="P43" s="217"/>
      <c r="Q43" s="218"/>
      <c r="R43" s="214"/>
      <c r="S43" s="214"/>
      <c r="T43" s="219"/>
    </row>
    <row r="44" spans="1:20" s="213" customFormat="1" x14ac:dyDescent="0.25">
      <c r="A44" s="308">
        <f>'A) Base RI'!A45</f>
        <v>5474</v>
      </c>
      <c r="B44" s="226" t="str">
        <f>'A) Base RI'!B45</f>
        <v>La Chaux (Cossonay)</v>
      </c>
      <c r="C44" s="242">
        <v>0</v>
      </c>
      <c r="D44" s="215">
        <f>'B) D RI'!AA45</f>
        <v>391</v>
      </c>
      <c r="E44" s="216">
        <f>'B) D RI'!S45</f>
        <v>77</v>
      </c>
      <c r="F44" s="10">
        <f>'B) D RI'!R45</f>
        <v>1015054.1616666665</v>
      </c>
      <c r="G44" s="10">
        <f>'B) D RI'!U45</f>
        <v>13182.521580086577</v>
      </c>
      <c r="H44" s="41">
        <f>'B) D RI'!T45</f>
        <v>942999.86999999988</v>
      </c>
      <c r="I44" s="10">
        <f t="shared" si="2"/>
        <v>24493.503116883112</v>
      </c>
      <c r="J44" s="31">
        <f t="shared" si="6"/>
        <v>34806.893835431008</v>
      </c>
      <c r="K44" s="10">
        <f t="shared" si="0"/>
        <v>24493.503116883112</v>
      </c>
      <c r="L44" s="10">
        <f t="shared" si="4"/>
        <v>10313.390718547897</v>
      </c>
      <c r="M44" s="10">
        <f>'D) Ecrêtage'!C43</f>
        <v>13182.521580086577</v>
      </c>
      <c r="N44" s="10">
        <f t="shared" si="7"/>
        <v>15484.859990756206</v>
      </c>
      <c r="O44" s="55">
        <f t="shared" si="5"/>
        <v>39978.363107639321</v>
      </c>
      <c r="P44" s="217"/>
      <c r="Q44" s="218"/>
      <c r="R44" s="214"/>
      <c r="S44" s="214"/>
      <c r="T44" s="219"/>
    </row>
    <row r="45" spans="1:20" s="213" customFormat="1" x14ac:dyDescent="0.25">
      <c r="A45" s="308">
        <f>'A) Base RI'!A46</f>
        <v>5475</v>
      </c>
      <c r="B45" s="226" t="str">
        <f>'A) Base RI'!B46</f>
        <v>Chavannes-le-Veyron</v>
      </c>
      <c r="C45" s="242">
        <v>0</v>
      </c>
      <c r="D45" s="215">
        <f>'B) D RI'!AA46</f>
        <v>152</v>
      </c>
      <c r="E45" s="216">
        <f>'B) D RI'!S46</f>
        <v>77</v>
      </c>
      <c r="F45" s="10">
        <f>'B) D RI'!R46</f>
        <v>298349.17</v>
      </c>
      <c r="G45" s="10">
        <f>'B) D RI'!U46</f>
        <v>3874.6645454545451</v>
      </c>
      <c r="H45" s="41">
        <f>'B) D RI'!T46</f>
        <v>275560.87</v>
      </c>
      <c r="I45" s="10">
        <f t="shared" si="2"/>
        <v>7157.4251948051951</v>
      </c>
      <c r="J45" s="31">
        <f t="shared" si="6"/>
        <v>13531.068703287758</v>
      </c>
      <c r="K45" s="10">
        <f t="shared" si="0"/>
        <v>7157.4251948051951</v>
      </c>
      <c r="L45" s="10">
        <f t="shared" si="4"/>
        <v>6373.6435084825625</v>
      </c>
      <c r="M45" s="10">
        <f>'D) Ecrêtage'!C44</f>
        <v>3874.6645454545451</v>
      </c>
      <c r="N45" s="10">
        <f t="shared" si="7"/>
        <v>4551.3779463971578</v>
      </c>
      <c r="O45" s="55">
        <f t="shared" si="5"/>
        <v>11708.803141202352</v>
      </c>
      <c r="P45" s="217"/>
      <c r="Q45" s="218"/>
      <c r="R45" s="214"/>
      <c r="S45" s="214"/>
      <c r="T45" s="219"/>
    </row>
    <row r="46" spans="1:20" s="213" customFormat="1" x14ac:dyDescent="0.25">
      <c r="A46" s="308">
        <f>'A) Base RI'!A47</f>
        <v>5476</v>
      </c>
      <c r="B46" s="226" t="str">
        <f>'A) Base RI'!B47</f>
        <v>Chevilly</v>
      </c>
      <c r="C46" s="242">
        <v>0</v>
      </c>
      <c r="D46" s="215">
        <f>'B) D RI'!AA47</f>
        <v>317</v>
      </c>
      <c r="E46" s="216">
        <f>'B) D RI'!S47</f>
        <v>74</v>
      </c>
      <c r="F46" s="10">
        <f>'B) D RI'!R47</f>
        <v>876115.36</v>
      </c>
      <c r="G46" s="10">
        <f>'B) D RI'!U47</f>
        <v>11839.396756756756</v>
      </c>
      <c r="H46" s="41">
        <f>'B) D RI'!T47</f>
        <v>815034.21</v>
      </c>
      <c r="I46" s="10">
        <f t="shared" si="2"/>
        <v>22027.951621621622</v>
      </c>
      <c r="J46" s="31">
        <f t="shared" si="6"/>
        <v>28219.399861461967</v>
      </c>
      <c r="K46" s="10">
        <f t="shared" si="0"/>
        <v>22027.951621621622</v>
      </c>
      <c r="L46" s="10">
        <f t="shared" si="4"/>
        <v>6191.4482398403452</v>
      </c>
      <c r="M46" s="10">
        <f>'D) Ecrêtage'!C45</f>
        <v>11839.396756756756</v>
      </c>
      <c r="N46" s="10">
        <f t="shared" si="7"/>
        <v>13907.157294574854</v>
      </c>
      <c r="O46" s="55">
        <f t="shared" si="5"/>
        <v>35935.108916196477</v>
      </c>
      <c r="P46" s="217"/>
      <c r="Q46" s="218"/>
      <c r="R46" s="214"/>
      <c r="S46" s="214"/>
      <c r="T46" s="219"/>
    </row>
    <row r="47" spans="1:20" s="213" customFormat="1" x14ac:dyDescent="0.25">
      <c r="A47" s="308">
        <f>'A) Base RI'!A48</f>
        <v>5477</v>
      </c>
      <c r="B47" s="226" t="str">
        <f>'A) Base RI'!B48</f>
        <v>Cossonay</v>
      </c>
      <c r="C47" s="242">
        <v>0</v>
      </c>
      <c r="D47" s="215">
        <f>'B) D RI'!AA48</f>
        <v>4222</v>
      </c>
      <c r="E47" s="216">
        <f>'B) D RI'!S48</f>
        <v>69.5</v>
      </c>
      <c r="F47" s="10">
        <f>'B) D RI'!R48</f>
        <v>8281205.2600000007</v>
      </c>
      <c r="G47" s="10">
        <f>'B) D RI'!U48</f>
        <v>119154.03251798562</v>
      </c>
      <c r="H47" s="41">
        <f>'B) D RI'!T48</f>
        <v>7514147.9100000011</v>
      </c>
      <c r="I47" s="10">
        <f t="shared" si="2"/>
        <v>216234.47223021585</v>
      </c>
      <c r="J47" s="31">
        <f t="shared" si="6"/>
        <v>375843.23727158492</v>
      </c>
      <c r="K47" s="10">
        <f t="shared" si="0"/>
        <v>216234.47223021585</v>
      </c>
      <c r="L47" s="10">
        <f t="shared" si="4"/>
        <v>159608.76504136907</v>
      </c>
      <c r="M47" s="10">
        <f>'D) Ecrêtage'!C46</f>
        <v>119154.03251798562</v>
      </c>
      <c r="N47" s="10">
        <f t="shared" si="7"/>
        <v>139964.38387494767</v>
      </c>
      <c r="O47" s="55">
        <f t="shared" si="5"/>
        <v>356198.85610516352</v>
      </c>
      <c r="P47" s="217"/>
      <c r="Q47" s="218"/>
      <c r="R47" s="214"/>
      <c r="S47" s="214"/>
      <c r="T47" s="219"/>
    </row>
    <row r="48" spans="1:20" s="213" customFormat="1" x14ac:dyDescent="0.25">
      <c r="A48" s="308">
        <f>'A) Base RI'!A49</f>
        <v>5478</v>
      </c>
      <c r="B48" s="226" t="str">
        <f>'A) Base RI'!B49</f>
        <v>Cottens</v>
      </c>
      <c r="C48" s="242">
        <v>0</v>
      </c>
      <c r="D48" s="215">
        <f>'B) D RI'!AA49</f>
        <v>491</v>
      </c>
      <c r="E48" s="216">
        <f>'B) D RI'!S49</f>
        <v>74</v>
      </c>
      <c r="F48" s="10">
        <f>'B) D RI'!R49</f>
        <v>1205570.8399999996</v>
      </c>
      <c r="G48" s="10">
        <f>'B) D RI'!U49</f>
        <v>16291.497837837833</v>
      </c>
      <c r="H48" s="41">
        <f>'B) D RI'!T49</f>
        <v>1124770.5899999996</v>
      </c>
      <c r="I48" s="10">
        <f t="shared" si="2"/>
        <v>30399.205135135126</v>
      </c>
      <c r="J48" s="31">
        <f t="shared" si="6"/>
        <v>43708.912719172949</v>
      </c>
      <c r="K48" s="10">
        <f t="shared" si="0"/>
        <v>30399.205135135126</v>
      </c>
      <c r="L48" s="10">
        <f t="shared" si="4"/>
        <v>13309.707584037824</v>
      </c>
      <c r="M48" s="10">
        <f>'D) Ecrêtage'!C47</f>
        <v>16291.497837837833</v>
      </c>
      <c r="N48" s="10">
        <f t="shared" si="7"/>
        <v>19136.821550112683</v>
      </c>
      <c r="O48" s="55">
        <f t="shared" si="5"/>
        <v>49536.026685247809</v>
      </c>
      <c r="P48" s="217"/>
      <c r="Q48" s="218"/>
      <c r="R48" s="214"/>
      <c r="S48" s="214"/>
      <c r="T48" s="219"/>
    </row>
    <row r="49" spans="1:20" s="213" customFormat="1" x14ac:dyDescent="0.25">
      <c r="A49" s="308">
        <f>'A) Base RI'!A50</f>
        <v>5479</v>
      </c>
      <c r="B49" s="226" t="str">
        <f>'A) Base RI'!B50</f>
        <v>Cuarnens</v>
      </c>
      <c r="C49" s="242">
        <v>0</v>
      </c>
      <c r="D49" s="215">
        <f>'B) D RI'!AA50</f>
        <v>527</v>
      </c>
      <c r="E49" s="216">
        <f>'B) D RI'!S50</f>
        <v>77</v>
      </c>
      <c r="F49" s="10">
        <f>'B) D RI'!R50</f>
        <v>1391311.3299999998</v>
      </c>
      <c r="G49" s="10">
        <f>'B) D RI'!U50</f>
        <v>18068.978311688308</v>
      </c>
      <c r="H49" s="41">
        <f>'B) D RI'!T50</f>
        <v>1303573.3299999998</v>
      </c>
      <c r="I49" s="10">
        <f t="shared" si="2"/>
        <v>33859.047532467528</v>
      </c>
      <c r="J49" s="31">
        <f t="shared" si="6"/>
        <v>46913.639517320051</v>
      </c>
      <c r="K49" s="10">
        <f t="shared" si="0"/>
        <v>33859.047532467528</v>
      </c>
      <c r="L49" s="10">
        <f t="shared" si="4"/>
        <v>13054.591984852523</v>
      </c>
      <c r="M49" s="10">
        <f>'D) Ecrêtage'!C48</f>
        <v>18068.978311688308</v>
      </c>
      <c r="N49" s="10">
        <f t="shared" si="7"/>
        <v>21224.740474171584</v>
      </c>
      <c r="O49" s="55">
        <f t="shared" si="5"/>
        <v>55083.788006639108</v>
      </c>
      <c r="P49" s="217"/>
      <c r="Q49" s="218"/>
      <c r="R49" s="214"/>
      <c r="S49" s="214"/>
      <c r="T49" s="219"/>
    </row>
    <row r="50" spans="1:20" s="213" customFormat="1" x14ac:dyDescent="0.25">
      <c r="A50" s="308">
        <f>'A) Base RI'!A51</f>
        <v>5480</v>
      </c>
      <c r="B50" s="226" t="str">
        <f>'A) Base RI'!B51</f>
        <v>Daillens</v>
      </c>
      <c r="C50" s="242">
        <v>0</v>
      </c>
      <c r="D50" s="215">
        <f>'B) D RI'!AA51</f>
        <v>1048</v>
      </c>
      <c r="E50" s="216">
        <f>'B) D RI'!S51</f>
        <v>66</v>
      </c>
      <c r="F50" s="10">
        <f>'B) D RI'!R51</f>
        <v>2704511.1100000003</v>
      </c>
      <c r="G50" s="10">
        <f>'B) D RI'!U51</f>
        <v>40977.441060606063</v>
      </c>
      <c r="H50" s="41">
        <f>'B) D RI'!T51</f>
        <v>2386281.7100000004</v>
      </c>
      <c r="I50" s="10">
        <f t="shared" si="2"/>
        <v>72311.566969696985</v>
      </c>
      <c r="J50" s="31">
        <f t="shared" si="6"/>
        <v>93293.157901615588</v>
      </c>
      <c r="K50" s="10">
        <f t="shared" si="0"/>
        <v>72311.566969696985</v>
      </c>
      <c r="L50" s="10">
        <f t="shared" si="4"/>
        <v>20981.590931918603</v>
      </c>
      <c r="M50" s="10">
        <f>'D) Ecrêtage'!C49</f>
        <v>40977.441060606063</v>
      </c>
      <c r="N50" s="10">
        <f t="shared" si="7"/>
        <v>48134.185386919125</v>
      </c>
      <c r="O50" s="55">
        <f t="shared" si="5"/>
        <v>120445.75235661611</v>
      </c>
      <c r="P50" s="217"/>
      <c r="Q50" s="218"/>
      <c r="R50" s="214"/>
      <c r="S50" s="214"/>
      <c r="T50" s="219"/>
    </row>
    <row r="51" spans="1:20" s="213" customFormat="1" x14ac:dyDescent="0.25">
      <c r="A51" s="308">
        <f>'A) Base RI'!A52</f>
        <v>5481</v>
      </c>
      <c r="B51" s="226" t="str">
        <f>'A) Base RI'!B52</f>
        <v>Dizy</v>
      </c>
      <c r="C51" s="242">
        <v>0</v>
      </c>
      <c r="D51" s="215">
        <f>'B) D RI'!AA52</f>
        <v>224</v>
      </c>
      <c r="E51" s="216">
        <f>'B) D RI'!S52</f>
        <v>75</v>
      </c>
      <c r="F51" s="10">
        <f>'B) D RI'!R52</f>
        <v>609312.54</v>
      </c>
      <c r="G51" s="10">
        <f>'B) D RI'!U52</f>
        <v>8124.1672000000008</v>
      </c>
      <c r="H51" s="41">
        <f>'B) D RI'!T52</f>
        <v>570146.49</v>
      </c>
      <c r="I51" s="10">
        <f t="shared" si="2"/>
        <v>15203.9064</v>
      </c>
      <c r="J51" s="31">
        <f t="shared" si="6"/>
        <v>19940.522299581957</v>
      </c>
      <c r="K51" s="10">
        <f t="shared" si="0"/>
        <v>15203.9064</v>
      </c>
      <c r="L51" s="10">
        <f t="shared" si="4"/>
        <v>4736.6158995819569</v>
      </c>
      <c r="M51" s="10">
        <f>'D) Ecrêtage'!C50</f>
        <v>8124.1672000000008</v>
      </c>
      <c r="N51" s="10">
        <f t="shared" si="7"/>
        <v>9543.0597908922718</v>
      </c>
      <c r="O51" s="55">
        <f t="shared" si="5"/>
        <v>24746.966190892272</v>
      </c>
      <c r="P51" s="217"/>
      <c r="Q51" s="218"/>
      <c r="R51" s="214"/>
      <c r="S51" s="214"/>
      <c r="T51" s="219"/>
    </row>
    <row r="52" spans="1:20" s="213" customFormat="1" x14ac:dyDescent="0.25">
      <c r="A52" s="308">
        <f>'A) Base RI'!A53</f>
        <v>5482</v>
      </c>
      <c r="B52" s="226" t="str">
        <f>'A) Base RI'!B53</f>
        <v>Eclépens</v>
      </c>
      <c r="C52" s="242">
        <v>0</v>
      </c>
      <c r="D52" s="215">
        <f>'B) D RI'!AA53</f>
        <v>1220</v>
      </c>
      <c r="E52" s="216">
        <f>'B) D RI'!S53</f>
        <v>46</v>
      </c>
      <c r="F52" s="10">
        <f>'B) D RI'!R53</f>
        <v>3261948.79</v>
      </c>
      <c r="G52" s="10">
        <f>'B) D RI'!U53</f>
        <v>70911.930217391302</v>
      </c>
      <c r="H52" s="41">
        <f>'B) D RI'!T53</f>
        <v>2793749.64</v>
      </c>
      <c r="I52" s="10">
        <f t="shared" si="2"/>
        <v>121467.37565217391</v>
      </c>
      <c r="J52" s="31">
        <f t="shared" si="6"/>
        <v>108604.63038165173</v>
      </c>
      <c r="K52" s="10">
        <f t="shared" si="0"/>
        <v>108604.63038165173</v>
      </c>
      <c r="L52" s="10">
        <f t="shared" si="4"/>
        <v>0</v>
      </c>
      <c r="M52" s="10">
        <f>'D) Ecrêtage'!C51</f>
        <v>70911.930217391302</v>
      </c>
      <c r="N52" s="10">
        <f t="shared" si="7"/>
        <v>83296.758091358046</v>
      </c>
      <c r="O52" s="55">
        <f t="shared" si="5"/>
        <v>191901.38847300978</v>
      </c>
      <c r="P52" s="217"/>
      <c r="Q52" s="218"/>
      <c r="R52" s="214"/>
      <c r="S52" s="214"/>
      <c r="T52" s="219"/>
    </row>
    <row r="53" spans="1:20" s="213" customFormat="1" x14ac:dyDescent="0.25">
      <c r="A53" s="308">
        <f>'A) Base RI'!A54</f>
        <v>5483</v>
      </c>
      <c r="B53" s="226" t="str">
        <f>'A) Base RI'!B54</f>
        <v>Ferreyres</v>
      </c>
      <c r="C53" s="242">
        <v>0</v>
      </c>
      <c r="D53" s="215">
        <f>'B) D RI'!AA54</f>
        <v>319</v>
      </c>
      <c r="E53" s="216">
        <f>'B) D RI'!S54</f>
        <v>76</v>
      </c>
      <c r="F53" s="10">
        <f>'B) D RI'!R54</f>
        <v>822343.94000000006</v>
      </c>
      <c r="G53" s="10">
        <f>'B) D RI'!U54</f>
        <v>10820.315000000001</v>
      </c>
      <c r="H53" s="41">
        <f>'B) D RI'!T54</f>
        <v>764768.29</v>
      </c>
      <c r="I53" s="10">
        <f t="shared" si="2"/>
        <v>20125.481315789475</v>
      </c>
      <c r="J53" s="31">
        <f t="shared" si="6"/>
        <v>28397.440239136806</v>
      </c>
      <c r="K53" s="10">
        <f t="shared" si="0"/>
        <v>20125.481315789475</v>
      </c>
      <c r="L53" s="10">
        <f t="shared" si="4"/>
        <v>8271.9589233473307</v>
      </c>
      <c r="M53" s="10">
        <f>'D) Ecrêtage'!C52</f>
        <v>10820.315000000001</v>
      </c>
      <c r="N53" s="10">
        <f t="shared" si="7"/>
        <v>12710.092057348169</v>
      </c>
      <c r="O53" s="55">
        <f t="shared" si="5"/>
        <v>32835.573373137646</v>
      </c>
      <c r="P53" s="217"/>
      <c r="Q53" s="218"/>
      <c r="R53" s="214"/>
      <c r="S53" s="214"/>
      <c r="T53" s="219"/>
    </row>
    <row r="54" spans="1:20" s="213" customFormat="1" x14ac:dyDescent="0.25">
      <c r="A54" s="308">
        <f>'A) Base RI'!A55</f>
        <v>5484</v>
      </c>
      <c r="B54" s="226" t="str">
        <f>'A) Base RI'!B55</f>
        <v>Gollion</v>
      </c>
      <c r="C54" s="242">
        <v>0</v>
      </c>
      <c r="D54" s="215">
        <f>'B) D RI'!AA55</f>
        <v>996</v>
      </c>
      <c r="E54" s="216">
        <f>'B) D RI'!S55</f>
        <v>74</v>
      </c>
      <c r="F54" s="10">
        <f>'B) D RI'!R55</f>
        <v>2589776.9300000002</v>
      </c>
      <c r="G54" s="10">
        <f>'B) D RI'!U55</f>
        <v>34996.98554054054</v>
      </c>
      <c r="H54" s="41">
        <f>'B) D RI'!T55</f>
        <v>2398528.9300000002</v>
      </c>
      <c r="I54" s="10">
        <f t="shared" si="2"/>
        <v>64825.10621621622</v>
      </c>
      <c r="J54" s="31">
        <f t="shared" si="6"/>
        <v>88664.108082069783</v>
      </c>
      <c r="K54" s="10">
        <f t="shared" si="0"/>
        <v>64825.10621621622</v>
      </c>
      <c r="L54" s="10">
        <f t="shared" si="4"/>
        <v>23839.001865853563</v>
      </c>
      <c r="M54" s="10">
        <f>'D) Ecrêtage'!C53</f>
        <v>34996.98554054054</v>
      </c>
      <c r="N54" s="10">
        <f t="shared" si="7"/>
        <v>41109.238312373811</v>
      </c>
      <c r="O54" s="55">
        <f t="shared" si="5"/>
        <v>105934.34452859004</v>
      </c>
      <c r="P54" s="217"/>
      <c r="Q54" s="218"/>
      <c r="R54" s="214"/>
      <c r="S54" s="214"/>
      <c r="T54" s="219"/>
    </row>
    <row r="55" spans="1:20" s="213" customFormat="1" x14ac:dyDescent="0.25">
      <c r="A55" s="308">
        <f>'A) Base RI'!A56</f>
        <v>5485</v>
      </c>
      <c r="B55" s="226" t="str">
        <f>'A) Base RI'!B56</f>
        <v>Grancy</v>
      </c>
      <c r="C55" s="242">
        <v>0</v>
      </c>
      <c r="D55" s="215">
        <f>'B) D RI'!AA56</f>
        <v>406</v>
      </c>
      <c r="E55" s="216">
        <f>'B) D RI'!S56</f>
        <v>70</v>
      </c>
      <c r="F55" s="10">
        <f>'B) D RI'!R56</f>
        <v>1017964.6900000001</v>
      </c>
      <c r="G55" s="10">
        <f>'B) D RI'!U56</f>
        <v>14542.352714285715</v>
      </c>
      <c r="H55" s="41">
        <f>'B) D RI'!T56</f>
        <v>941448.84000000008</v>
      </c>
      <c r="I55" s="10">
        <f t="shared" si="2"/>
        <v>26898.538285714287</v>
      </c>
      <c r="J55" s="31">
        <f t="shared" si="6"/>
        <v>36142.196667992299</v>
      </c>
      <c r="K55" s="10">
        <f t="shared" si="0"/>
        <v>26898.538285714287</v>
      </c>
      <c r="L55" s="10">
        <f t="shared" si="4"/>
        <v>9243.6583822780121</v>
      </c>
      <c r="M55" s="10">
        <f>'D) Ecrêtage'!C54</f>
        <v>14542.352714285715</v>
      </c>
      <c r="N55" s="10">
        <f t="shared" si="7"/>
        <v>17082.186768961757</v>
      </c>
      <c r="O55" s="55">
        <f t="shared" si="5"/>
        <v>43980.725054676048</v>
      </c>
      <c r="P55" s="217"/>
      <c r="Q55" s="218"/>
      <c r="R55" s="214"/>
      <c r="S55" s="214"/>
      <c r="T55" s="219"/>
    </row>
    <row r="56" spans="1:20" s="213" customFormat="1" x14ac:dyDescent="0.25">
      <c r="A56" s="308">
        <f>'A) Base RI'!A57</f>
        <v>5486</v>
      </c>
      <c r="B56" s="226" t="str">
        <f>'A) Base RI'!B57</f>
        <v>L'Isle</v>
      </c>
      <c r="C56" s="242">
        <v>0</v>
      </c>
      <c r="D56" s="215">
        <f>'B) D RI'!AA57</f>
        <v>1065</v>
      </c>
      <c r="E56" s="216">
        <f>'B) D RI'!S57</f>
        <v>75</v>
      </c>
      <c r="F56" s="10">
        <f>'B) D RI'!R57</f>
        <v>2809467.03</v>
      </c>
      <c r="G56" s="10">
        <f>'B) D RI'!U57</f>
        <v>37459.560399999995</v>
      </c>
      <c r="H56" s="41">
        <f>'B) D RI'!T57</f>
        <v>2606815.9300000002</v>
      </c>
      <c r="I56" s="10">
        <f t="shared" si="2"/>
        <v>69515.091466666665</v>
      </c>
      <c r="J56" s="31">
        <f t="shared" si="6"/>
        <v>94806.501111851714</v>
      </c>
      <c r="K56" s="10">
        <f t="shared" si="0"/>
        <v>69515.091466666665</v>
      </c>
      <c r="L56" s="10">
        <f t="shared" si="4"/>
        <v>25291.409645185049</v>
      </c>
      <c r="M56" s="10">
        <f>'D) Ecrêtage'!C55</f>
        <v>37459.560399999995</v>
      </c>
      <c r="N56" s="10">
        <f t="shared" si="7"/>
        <v>44001.903929025531</v>
      </c>
      <c r="O56" s="55">
        <f t="shared" si="5"/>
        <v>113516.9953956922</v>
      </c>
      <c r="P56" s="217"/>
      <c r="Q56" s="218"/>
      <c r="R56" s="214"/>
      <c r="S56" s="214"/>
      <c r="T56" s="219"/>
    </row>
    <row r="57" spans="1:20" s="213" customFormat="1" x14ac:dyDescent="0.25">
      <c r="A57" s="308">
        <f>'A) Base RI'!A58</f>
        <v>5487</v>
      </c>
      <c r="B57" s="226" t="str">
        <f>'A) Base RI'!B58</f>
        <v>Lussery-Villars</v>
      </c>
      <c r="C57" s="242">
        <v>0</v>
      </c>
      <c r="D57" s="215">
        <f>'B) D RI'!AA58</f>
        <v>459</v>
      </c>
      <c r="E57" s="216">
        <f>'B) D RI'!S58</f>
        <v>75</v>
      </c>
      <c r="F57" s="10">
        <f>'B) D RI'!R58</f>
        <v>966739.91</v>
      </c>
      <c r="G57" s="10">
        <f>'B) D RI'!U58</f>
        <v>12889.865466666668</v>
      </c>
      <c r="H57" s="41">
        <f>'B) D RI'!T58</f>
        <v>886733.11</v>
      </c>
      <c r="I57" s="10">
        <f t="shared" si="2"/>
        <v>23646.216266666666</v>
      </c>
      <c r="J57" s="31">
        <f t="shared" si="6"/>
        <v>40860.266676375526</v>
      </c>
      <c r="K57" s="10">
        <f t="shared" si="0"/>
        <v>23646.216266666666</v>
      </c>
      <c r="L57" s="10">
        <f t="shared" si="4"/>
        <v>17214.05040970886</v>
      </c>
      <c r="M57" s="10">
        <f>'D) Ecrêtage'!C56</f>
        <v>12889.865466666668</v>
      </c>
      <c r="N57" s="10">
        <f t="shared" si="7"/>
        <v>15141.091242553148</v>
      </c>
      <c r="O57" s="55">
        <f t="shared" si="5"/>
        <v>38787.307509219812</v>
      </c>
      <c r="P57" s="217"/>
      <c r="Q57" s="218"/>
      <c r="R57" s="214"/>
      <c r="S57" s="214"/>
      <c r="T57" s="219"/>
    </row>
    <row r="58" spans="1:20" s="213" customFormat="1" x14ac:dyDescent="0.25">
      <c r="A58" s="308">
        <f>'A) Base RI'!A59</f>
        <v>5488</v>
      </c>
      <c r="B58" s="226" t="str">
        <f>'A) Base RI'!B59</f>
        <v>Mauraz</v>
      </c>
      <c r="C58" s="242">
        <v>0</v>
      </c>
      <c r="D58" s="215">
        <f>'B) D RI'!AA59</f>
        <v>58</v>
      </c>
      <c r="E58" s="216">
        <f>'B) D RI'!S59</f>
        <v>77</v>
      </c>
      <c r="F58" s="10">
        <f>'B) D RI'!R59</f>
        <v>125676.56000000003</v>
      </c>
      <c r="G58" s="10">
        <f>'B) D RI'!U59</f>
        <v>1632.1631168831173</v>
      </c>
      <c r="H58" s="41">
        <f>'B) D RI'!T59</f>
        <v>117250.56000000003</v>
      </c>
      <c r="I58" s="10">
        <f t="shared" si="2"/>
        <v>3045.4690909090914</v>
      </c>
      <c r="J58" s="31">
        <f t="shared" si="6"/>
        <v>5163.1709525703282</v>
      </c>
      <c r="K58" s="10">
        <f t="shared" si="0"/>
        <v>3045.4690909090914</v>
      </c>
      <c r="L58" s="10">
        <f t="shared" si="4"/>
        <v>2117.7018616612368</v>
      </c>
      <c r="M58" s="10">
        <f>'D) Ecrêtage'!C57</f>
        <v>1632.1631168831173</v>
      </c>
      <c r="N58" s="10">
        <f t="shared" si="7"/>
        <v>1917.2217692546603</v>
      </c>
      <c r="O58" s="55">
        <f t="shared" si="5"/>
        <v>4962.6908601637515</v>
      </c>
      <c r="P58" s="217"/>
      <c r="Q58" s="218"/>
      <c r="R58" s="214"/>
      <c r="S58" s="214"/>
      <c r="T58" s="219"/>
    </row>
    <row r="59" spans="1:20" s="213" customFormat="1" x14ac:dyDescent="0.25">
      <c r="A59" s="308">
        <f>'A) Base RI'!A60</f>
        <v>5489</v>
      </c>
      <c r="B59" s="226" t="str">
        <f>'A) Base RI'!B60</f>
        <v>Mex</v>
      </c>
      <c r="C59" s="242">
        <v>0</v>
      </c>
      <c r="D59" s="215">
        <f>'B) D RI'!AA60</f>
        <v>791</v>
      </c>
      <c r="E59" s="216">
        <f>'B) D RI'!S60</f>
        <v>59.5</v>
      </c>
      <c r="F59" s="10">
        <f>'B) D RI'!R60</f>
        <v>3482011.8499999992</v>
      </c>
      <c r="G59" s="10">
        <f>'B) D RI'!U60</f>
        <v>58521.207563025193</v>
      </c>
      <c r="H59" s="41">
        <f>'B) D RI'!T60</f>
        <v>3182074.7999999993</v>
      </c>
      <c r="I59" s="10">
        <f t="shared" si="2"/>
        <v>106960.49747899157</v>
      </c>
      <c r="J59" s="31">
        <f t="shared" si="6"/>
        <v>70414.969370398787</v>
      </c>
      <c r="K59" s="10">
        <f t="shared" si="0"/>
        <v>70414.969370398787</v>
      </c>
      <c r="L59" s="10">
        <f t="shared" si="4"/>
        <v>0</v>
      </c>
      <c r="M59" s="10">
        <f>'D) Ecrêtage'!C58</f>
        <v>58521.207563025193</v>
      </c>
      <c r="N59" s="10">
        <f t="shared" si="7"/>
        <v>68741.985370410199</v>
      </c>
      <c r="O59" s="55">
        <f t="shared" si="5"/>
        <v>139156.95474080899</v>
      </c>
      <c r="P59" s="217"/>
      <c r="Q59" s="218"/>
      <c r="R59" s="214"/>
      <c r="S59" s="214"/>
      <c r="T59" s="219"/>
    </row>
    <row r="60" spans="1:20" s="213" customFormat="1" x14ac:dyDescent="0.25">
      <c r="A60" s="308">
        <f>'A) Base RI'!A61</f>
        <v>5490</v>
      </c>
      <c r="B60" s="226" t="str">
        <f>'A) Base RI'!B61</f>
        <v>Moiry</v>
      </c>
      <c r="C60" s="242">
        <v>0</v>
      </c>
      <c r="D60" s="215">
        <f>'B) D RI'!AA61</f>
        <v>311</v>
      </c>
      <c r="E60" s="216">
        <f>'B) D RI'!S61</f>
        <v>77.5</v>
      </c>
      <c r="F60" s="10">
        <f>'B) D RI'!R61</f>
        <v>670832.97</v>
      </c>
      <c r="G60" s="10">
        <f>'B) D RI'!U61</f>
        <v>8655.909290322581</v>
      </c>
      <c r="H60" s="41">
        <f>'B) D RI'!T61</f>
        <v>624732.72</v>
      </c>
      <c r="I60" s="10">
        <f t="shared" si="2"/>
        <v>16122.134709677419</v>
      </c>
      <c r="J60" s="31">
        <f t="shared" si="6"/>
        <v>27685.27872843745</v>
      </c>
      <c r="K60" s="10">
        <f t="shared" si="0"/>
        <v>16122.134709677419</v>
      </c>
      <c r="L60" s="10">
        <f t="shared" si="4"/>
        <v>11563.144018760031</v>
      </c>
      <c r="M60" s="10">
        <f>'D) Ecrêtage'!C59</f>
        <v>8655.909290322581</v>
      </c>
      <c r="N60" s="10">
        <f t="shared" si="7"/>
        <v>10167.67108166955</v>
      </c>
      <c r="O60" s="55">
        <f t="shared" si="5"/>
        <v>26289.805791346967</v>
      </c>
      <c r="P60" s="217"/>
      <c r="Q60" s="218"/>
      <c r="R60" s="214"/>
      <c r="S60" s="214"/>
      <c r="T60" s="219"/>
    </row>
    <row r="61" spans="1:20" s="213" customFormat="1" x14ac:dyDescent="0.25">
      <c r="A61" s="308">
        <f>'A) Base RI'!A62</f>
        <v>5491</v>
      </c>
      <c r="B61" s="226" t="str">
        <f>'A) Base RI'!B62</f>
        <v>Mont-la-Ville</v>
      </c>
      <c r="C61" s="242">
        <v>0</v>
      </c>
      <c r="D61" s="215">
        <f>'B) D RI'!AA62</f>
        <v>490</v>
      </c>
      <c r="E61" s="216">
        <f>'B) D RI'!S62</f>
        <v>76</v>
      </c>
      <c r="F61" s="10">
        <f>'B) D RI'!R62</f>
        <v>1088569.6399999999</v>
      </c>
      <c r="G61" s="10">
        <f>'B) D RI'!U62</f>
        <v>14323.284736842104</v>
      </c>
      <c r="H61" s="41">
        <f>'B) D RI'!T62</f>
        <v>995691.78999999992</v>
      </c>
      <c r="I61" s="10">
        <f t="shared" si="2"/>
        <v>26202.415526315788</v>
      </c>
      <c r="J61" s="31">
        <f t="shared" si="6"/>
        <v>43619.892530335535</v>
      </c>
      <c r="K61" s="10">
        <f t="shared" si="0"/>
        <v>26202.415526315788</v>
      </c>
      <c r="L61" s="10">
        <f t="shared" si="4"/>
        <v>17417.477004019747</v>
      </c>
      <c r="M61" s="10">
        <f>'D) Ecrêtage'!C60</f>
        <v>14323.284736842104</v>
      </c>
      <c r="N61" s="10">
        <f t="shared" si="7"/>
        <v>16824.85838618128</v>
      </c>
      <c r="O61" s="55">
        <f t="shared" si="5"/>
        <v>43027.273912497069</v>
      </c>
      <c r="P61" s="217"/>
      <c r="Q61" s="218"/>
      <c r="R61" s="214"/>
      <c r="S61" s="214"/>
      <c r="T61" s="219"/>
    </row>
    <row r="62" spans="1:20" s="213" customFormat="1" x14ac:dyDescent="0.25">
      <c r="A62" s="308">
        <f>'A) Base RI'!A63</f>
        <v>5492</v>
      </c>
      <c r="B62" s="226" t="str">
        <f>'A) Base RI'!B63</f>
        <v>Montricher</v>
      </c>
      <c r="C62" s="242">
        <v>0</v>
      </c>
      <c r="D62" s="215">
        <f>'B) D RI'!AA63</f>
        <v>964</v>
      </c>
      <c r="E62" s="216">
        <f>'B) D RI'!S63</f>
        <v>64</v>
      </c>
      <c r="F62" s="10">
        <f>'B) D RI'!R63</f>
        <v>10057917.883333335</v>
      </c>
      <c r="G62" s="10">
        <f>'B) D RI'!U63</f>
        <v>157154.96692708335</v>
      </c>
      <c r="H62" s="41">
        <f>'B) D RI'!T63</f>
        <v>9808717.6000000015</v>
      </c>
      <c r="I62" s="10">
        <f t="shared" si="2"/>
        <v>306522.42500000005</v>
      </c>
      <c r="J62" s="31">
        <f t="shared" si="6"/>
        <v>85815.462039272359</v>
      </c>
      <c r="K62" s="10">
        <f t="shared" si="0"/>
        <v>85815.462039272359</v>
      </c>
      <c r="L62" s="10">
        <f t="shared" si="4"/>
        <v>0</v>
      </c>
      <c r="M62" s="10">
        <f>'D) Ecrêtage'!C61</f>
        <v>157154.96692708335</v>
      </c>
      <c r="N62" s="10">
        <f t="shared" si="7"/>
        <v>184602.21323618919</v>
      </c>
      <c r="O62" s="55">
        <f t="shared" si="5"/>
        <v>270417.67527546152</v>
      </c>
      <c r="P62" s="217"/>
      <c r="Q62" s="218"/>
      <c r="R62" s="214"/>
      <c r="S62" s="214"/>
      <c r="T62" s="219"/>
    </row>
    <row r="63" spans="1:20" s="213" customFormat="1" x14ac:dyDescent="0.25">
      <c r="A63" s="308">
        <f>'A) Base RI'!A64</f>
        <v>5493</v>
      </c>
      <c r="B63" s="226" t="str">
        <f>'A) Base RI'!B64</f>
        <v>Orny</v>
      </c>
      <c r="C63" s="242">
        <v>0</v>
      </c>
      <c r="D63" s="215">
        <f>'B) D RI'!AA64</f>
        <v>462</v>
      </c>
      <c r="E63" s="216">
        <f>'B) D RI'!S64</f>
        <v>73</v>
      </c>
      <c r="F63" s="10">
        <f>'B) D RI'!R64</f>
        <v>940606.29384615365</v>
      </c>
      <c r="G63" s="10">
        <f>'B) D RI'!U64</f>
        <v>12885.017723919913</v>
      </c>
      <c r="H63" s="41">
        <f>'B) D RI'!T64</f>
        <v>879660.2899999998</v>
      </c>
      <c r="I63" s="10">
        <f t="shared" si="2"/>
        <v>24100.281917808214</v>
      </c>
      <c r="J63" s="31">
        <f t="shared" si="6"/>
        <v>41127.32724288779</v>
      </c>
      <c r="K63" s="10">
        <f t="shared" si="0"/>
        <v>24100.281917808214</v>
      </c>
      <c r="L63" s="10">
        <f t="shared" si="4"/>
        <v>17027.045325079576</v>
      </c>
      <c r="M63" s="10">
        <f>'D) Ecrêtage'!C62</f>
        <v>12885.017723919913</v>
      </c>
      <c r="N63" s="10">
        <f t="shared" si="7"/>
        <v>15135.396837484386</v>
      </c>
      <c r="O63" s="55">
        <f t="shared" si="5"/>
        <v>39235.678755292596</v>
      </c>
      <c r="P63" s="217"/>
      <c r="Q63" s="218"/>
      <c r="R63" s="214"/>
      <c r="S63" s="214"/>
      <c r="T63" s="219"/>
    </row>
    <row r="64" spans="1:20" s="213" customFormat="1" x14ac:dyDescent="0.25">
      <c r="A64" s="308">
        <f>'A) Base RI'!A65</f>
        <v>5494</v>
      </c>
      <c r="B64" s="226" t="str">
        <f>'A) Base RI'!B65</f>
        <v>Pampigny</v>
      </c>
      <c r="C64" s="242">
        <v>0</v>
      </c>
      <c r="D64" s="215">
        <f>'B) D RI'!AA65</f>
        <v>1128</v>
      </c>
      <c r="E64" s="216">
        <f>'B) D RI'!S65</f>
        <v>73</v>
      </c>
      <c r="F64" s="10">
        <f>'B) D RI'!R65</f>
        <v>2672374.7600000007</v>
      </c>
      <c r="G64" s="10">
        <f>'B) D RI'!U65</f>
        <v>36607.87342465754</v>
      </c>
      <c r="H64" s="41">
        <f>'B) D RI'!T65</f>
        <v>2450092.3100000005</v>
      </c>
      <c r="I64" s="10">
        <f t="shared" si="2"/>
        <v>67125.816712328786</v>
      </c>
      <c r="J64" s="31">
        <f t="shared" si="6"/>
        <v>100414.77300860915</v>
      </c>
      <c r="K64" s="10">
        <f t="shared" si="0"/>
        <v>67125.816712328786</v>
      </c>
      <c r="L64" s="10">
        <f t="shared" si="4"/>
        <v>33288.956296280361</v>
      </c>
      <c r="M64" s="10">
        <f>'D) Ecrêtage'!C63</f>
        <v>36607.87342465754</v>
      </c>
      <c r="N64" s="10">
        <f t="shared" si="7"/>
        <v>43001.469111679922</v>
      </c>
      <c r="O64" s="55">
        <f t="shared" si="5"/>
        <v>110127.28582400871</v>
      </c>
      <c r="P64" s="217"/>
      <c r="Q64" s="218"/>
      <c r="R64" s="214"/>
      <c r="S64" s="214"/>
      <c r="T64" s="219"/>
    </row>
    <row r="65" spans="1:20" s="213" customFormat="1" x14ac:dyDescent="0.25">
      <c r="A65" s="308">
        <f>'A) Base RI'!A66</f>
        <v>5495</v>
      </c>
      <c r="B65" s="226" t="str">
        <f>'A) Base RI'!B66</f>
        <v>Penthalaz</v>
      </c>
      <c r="C65" s="242">
        <v>0</v>
      </c>
      <c r="D65" s="215">
        <f>'B) D RI'!AA66</f>
        <v>3207</v>
      </c>
      <c r="E65" s="216">
        <f>'B) D RI'!S66</f>
        <v>74</v>
      </c>
      <c r="F65" s="10">
        <f>'B) D RI'!R66</f>
        <v>6908748.9799999995</v>
      </c>
      <c r="G65" s="10">
        <f>'B) D RI'!U66</f>
        <v>93361.472702702697</v>
      </c>
      <c r="H65" s="41">
        <f>'B) D RI'!T66</f>
        <v>6357072.1799999997</v>
      </c>
      <c r="I65" s="10">
        <f t="shared" si="2"/>
        <v>171812.76162162161</v>
      </c>
      <c r="J65" s="31">
        <f t="shared" si="6"/>
        <v>285487.74560160417</v>
      </c>
      <c r="K65" s="10">
        <f t="shared" si="0"/>
        <v>171812.76162162161</v>
      </c>
      <c r="L65" s="10">
        <f t="shared" si="4"/>
        <v>113674.98397998256</v>
      </c>
      <c r="M65" s="10">
        <f>'D) Ecrêtage'!C64</f>
        <v>93361.472702702697</v>
      </c>
      <c r="N65" s="10">
        <f t="shared" si="7"/>
        <v>109667.13193293812</v>
      </c>
      <c r="O65" s="55">
        <f t="shared" si="5"/>
        <v>281479.89355455973</v>
      </c>
      <c r="P65" s="217"/>
      <c r="Q65" s="218"/>
      <c r="R65" s="214"/>
      <c r="S65" s="214"/>
      <c r="T65" s="219"/>
    </row>
    <row r="66" spans="1:20" s="213" customFormat="1" x14ac:dyDescent="0.25">
      <c r="A66" s="308">
        <f>'A) Base RI'!A67</f>
        <v>5496</v>
      </c>
      <c r="B66" s="226" t="str">
        <f>'A) Base RI'!B67</f>
        <v>Penthaz</v>
      </c>
      <c r="C66" s="242">
        <v>0</v>
      </c>
      <c r="D66" s="215">
        <f>'B) D RI'!AA67</f>
        <v>1855</v>
      </c>
      <c r="E66" s="216">
        <f>'B) D RI'!S67</f>
        <v>69.5</v>
      </c>
      <c r="F66" s="10">
        <f>'B) D RI'!R67</f>
        <v>4179112.7800000003</v>
      </c>
      <c r="G66" s="10">
        <f>'B) D RI'!U67</f>
        <v>60131.11913669065</v>
      </c>
      <c r="H66" s="41">
        <f>'B) D RI'!T67</f>
        <v>3821002.48</v>
      </c>
      <c r="I66" s="10">
        <f t="shared" si="2"/>
        <v>109956.90589928058</v>
      </c>
      <c r="J66" s="31">
        <f t="shared" si="6"/>
        <v>165132.4502934131</v>
      </c>
      <c r="K66" s="10">
        <f t="shared" si="0"/>
        <v>109956.90589928058</v>
      </c>
      <c r="L66" s="10">
        <f t="shared" si="4"/>
        <v>55175.544394132521</v>
      </c>
      <c r="M66" s="10">
        <f>'D) Ecrêtage'!C65</f>
        <v>60131.11913669065</v>
      </c>
      <c r="N66" s="10">
        <f t="shared" si="7"/>
        <v>70633.069345828495</v>
      </c>
      <c r="O66" s="55">
        <f t="shared" si="5"/>
        <v>180589.97524510906</v>
      </c>
      <c r="P66" s="217"/>
      <c r="Q66" s="218"/>
      <c r="R66" s="214"/>
      <c r="S66" s="214"/>
      <c r="T66" s="219"/>
    </row>
    <row r="67" spans="1:20" s="213" customFormat="1" x14ac:dyDescent="0.25">
      <c r="A67" s="308">
        <f>'A) Base RI'!A68</f>
        <v>5497</v>
      </c>
      <c r="B67" s="226" t="str">
        <f>'A) Base RI'!B68</f>
        <v>Pompaples</v>
      </c>
      <c r="C67" s="242">
        <v>0</v>
      </c>
      <c r="D67" s="215">
        <f>'B) D RI'!AA68</f>
        <v>847</v>
      </c>
      <c r="E67" s="216">
        <f>'B) D RI'!S68</f>
        <v>66</v>
      </c>
      <c r="F67" s="10">
        <f>'B) D RI'!R68</f>
        <v>1346201.08</v>
      </c>
      <c r="G67" s="10">
        <f>'B) D RI'!U68</f>
        <v>20396.986060606061</v>
      </c>
      <c r="H67" s="41">
        <f>'B) D RI'!T68</f>
        <v>1194494.8799999999</v>
      </c>
      <c r="I67" s="10">
        <f t="shared" si="2"/>
        <v>36196.814545454545</v>
      </c>
      <c r="J67" s="31">
        <f t="shared" si="6"/>
        <v>75400.099945294278</v>
      </c>
      <c r="K67" s="10">
        <f t="shared" si="0"/>
        <v>36196.814545454545</v>
      </c>
      <c r="L67" s="10">
        <f t="shared" si="4"/>
        <v>39203.285399839733</v>
      </c>
      <c r="M67" s="10">
        <f>'D) Ecrêtage'!C66</f>
        <v>20396.986060606061</v>
      </c>
      <c r="N67" s="10">
        <f t="shared" si="7"/>
        <v>23959.336721967004</v>
      </c>
      <c r="O67" s="55">
        <f t="shared" si="5"/>
        <v>60156.151267421548</v>
      </c>
      <c r="P67" s="217"/>
      <c r="Q67" s="218"/>
      <c r="R67" s="214"/>
      <c r="S67" s="214"/>
      <c r="T67" s="219"/>
    </row>
    <row r="68" spans="1:20" s="213" customFormat="1" x14ac:dyDescent="0.25">
      <c r="A68" s="308">
        <f>'A) Base RI'!A69</f>
        <v>5498</v>
      </c>
      <c r="B68" s="226" t="str">
        <f>'A) Base RI'!B69</f>
        <v>La Sarraz</v>
      </c>
      <c r="C68" s="242">
        <v>0</v>
      </c>
      <c r="D68" s="215">
        <f>'B) D RI'!AA69</f>
        <v>2598</v>
      </c>
      <c r="E68" s="216">
        <f>'B) D RI'!S69</f>
        <v>66</v>
      </c>
      <c r="F68" s="10">
        <f>'B) D RI'!R69</f>
        <v>5115543.9700000007</v>
      </c>
      <c r="G68" s="10">
        <f>'B) D RI'!U69</f>
        <v>77508.241969696974</v>
      </c>
      <c r="H68" s="41">
        <f>'B) D RI'!T69</f>
        <v>4695060.9700000007</v>
      </c>
      <c r="I68" s="10">
        <f t="shared" si="2"/>
        <v>142274.57484848486</v>
      </c>
      <c r="J68" s="31">
        <f t="shared" si="6"/>
        <v>231274.45059961575</v>
      </c>
      <c r="K68" s="10">
        <f t="shared" si="0"/>
        <v>142274.57484848486</v>
      </c>
      <c r="L68" s="10">
        <f t="shared" si="4"/>
        <v>88999.875751130894</v>
      </c>
      <c r="M68" s="10">
        <f>'D) Ecrêtage'!C67</f>
        <v>77508.241969696974</v>
      </c>
      <c r="N68" s="10">
        <f t="shared" si="7"/>
        <v>91045.121203778777</v>
      </c>
      <c r="O68" s="55">
        <f t="shared" si="5"/>
        <v>233319.69605226364</v>
      </c>
      <c r="P68" s="217"/>
      <c r="Q68" s="218"/>
      <c r="R68" s="214"/>
      <c r="S68" s="214"/>
      <c r="T68" s="219"/>
    </row>
    <row r="69" spans="1:20" s="213" customFormat="1" x14ac:dyDescent="0.25">
      <c r="A69" s="308">
        <f>'A) Base RI'!A70</f>
        <v>5499</v>
      </c>
      <c r="B69" s="226" t="str">
        <f>'A) Base RI'!B70</f>
        <v>Senarclens</v>
      </c>
      <c r="C69" s="242">
        <v>0</v>
      </c>
      <c r="D69" s="215">
        <f>'B) D RI'!AA70</f>
        <v>496</v>
      </c>
      <c r="E69" s="216">
        <f>'B) D RI'!S70</f>
        <v>68.5</v>
      </c>
      <c r="F69" s="10">
        <f>'B) D RI'!R70</f>
        <v>1346329.6500000001</v>
      </c>
      <c r="G69" s="10">
        <f>'B) D RI'!U70</f>
        <v>19654.447445255475</v>
      </c>
      <c r="H69" s="41">
        <f>'B) D RI'!T70</f>
        <v>1247014.8500000001</v>
      </c>
      <c r="I69" s="10">
        <f t="shared" si="2"/>
        <v>36409.192700729931</v>
      </c>
      <c r="J69" s="31">
        <f t="shared" si="6"/>
        <v>44154.013663360049</v>
      </c>
      <c r="K69" s="10">
        <f t="shared" si="0"/>
        <v>36409.192700729931</v>
      </c>
      <c r="L69" s="10">
        <f t="shared" si="4"/>
        <v>7744.8209626301177</v>
      </c>
      <c r="M69" s="10">
        <f>'D) Ecrêtage'!C68</f>
        <v>19654.447445255475</v>
      </c>
      <c r="N69" s="10">
        <f t="shared" si="7"/>
        <v>23087.113116901735</v>
      </c>
      <c r="O69" s="55">
        <f t="shared" si="5"/>
        <v>59496.30581763167</v>
      </c>
      <c r="P69" s="217"/>
      <c r="Q69" s="218"/>
      <c r="R69" s="214"/>
      <c r="S69" s="214"/>
      <c r="T69" s="219"/>
    </row>
    <row r="70" spans="1:20" s="213" customFormat="1" x14ac:dyDescent="0.25">
      <c r="A70" s="308">
        <f>'A) Base RI'!A71</f>
        <v>5500</v>
      </c>
      <c r="B70" s="226" t="str">
        <f>'A) Base RI'!B71</f>
        <v>Sévery</v>
      </c>
      <c r="C70" s="242">
        <v>0</v>
      </c>
      <c r="D70" s="215">
        <f>'B) D RI'!AA71</f>
        <v>214</v>
      </c>
      <c r="E70" s="216">
        <f>'B) D RI'!S71</f>
        <v>73</v>
      </c>
      <c r="F70" s="10">
        <f>'B) D RI'!R71</f>
        <v>548678.23</v>
      </c>
      <c r="G70" s="10">
        <f>'B) D RI'!U71</f>
        <v>7516.1401369863015</v>
      </c>
      <c r="H70" s="41">
        <f>'B) D RI'!T71</f>
        <v>505291.28</v>
      </c>
      <c r="I70" s="10">
        <f t="shared" si="2"/>
        <v>13843.596712328768</v>
      </c>
      <c r="J70" s="31">
        <f t="shared" ref="J70:J101" si="8">+$I$315/$D$315*D70</f>
        <v>19050.320411207762</v>
      </c>
      <c r="K70" s="10">
        <f t="shared" ref="K70:K133" si="9">IF(C70=1,0,IF(J70&gt;I70,I70,J70))</f>
        <v>13843.596712328768</v>
      </c>
      <c r="L70" s="10">
        <f t="shared" si="4"/>
        <v>5206.7236988789937</v>
      </c>
      <c r="M70" s="10">
        <f>'D) Ecrêtage'!C69</f>
        <v>7516.1401369863015</v>
      </c>
      <c r="N70" s="10">
        <f t="shared" ref="N70:N133" si="10">+$N$5*M70</f>
        <v>8828.8402931915916</v>
      </c>
      <c r="O70" s="55">
        <f t="shared" ref="O70:O133" si="11">+N70+K70</f>
        <v>22672.437005520362</v>
      </c>
      <c r="P70" s="217"/>
      <c r="Q70" s="218"/>
      <c r="R70" s="214"/>
      <c r="S70" s="214"/>
      <c r="T70" s="219"/>
    </row>
    <row r="71" spans="1:20" s="213" customFormat="1" x14ac:dyDescent="0.25">
      <c r="A71" s="308">
        <f>'A) Base RI'!A72</f>
        <v>5501</v>
      </c>
      <c r="B71" s="226" t="str">
        <f>'A) Base RI'!B72</f>
        <v>Sullens</v>
      </c>
      <c r="C71" s="242">
        <v>0</v>
      </c>
      <c r="D71" s="215">
        <f>'B) D RI'!AA72</f>
        <v>1041</v>
      </c>
      <c r="E71" s="216">
        <f>'B) D RI'!S72</f>
        <v>68.5</v>
      </c>
      <c r="F71" s="10">
        <f>'B) D RI'!R72</f>
        <v>2871598.1900000004</v>
      </c>
      <c r="G71" s="10">
        <f>'B) D RI'!U72</f>
        <v>41921.141459854021</v>
      </c>
      <c r="H71" s="41">
        <f>'B) D RI'!T72</f>
        <v>2644789.2400000002</v>
      </c>
      <c r="I71" s="10">
        <f t="shared" ref="I71:I134" si="12">+H71/E71*$I$5</f>
        <v>77220.123795620442</v>
      </c>
      <c r="J71" s="31">
        <f t="shared" si="8"/>
        <v>92670.016579753647</v>
      </c>
      <c r="K71" s="10">
        <f t="shared" si="9"/>
        <v>77220.123795620442</v>
      </c>
      <c r="L71" s="10">
        <f t="shared" ref="L71:L134" si="13">+J71-K71</f>
        <v>15449.892784133204</v>
      </c>
      <c r="M71" s="10">
        <f>'D) Ecrêtage'!C70</f>
        <v>41921.141459854021</v>
      </c>
      <c r="N71" s="10">
        <f t="shared" si="10"/>
        <v>49242.703849551479</v>
      </c>
      <c r="O71" s="55">
        <f t="shared" si="11"/>
        <v>126462.82764517193</v>
      </c>
      <c r="P71" s="217"/>
      <c r="Q71" s="218"/>
      <c r="R71" s="214"/>
      <c r="S71" s="214"/>
      <c r="T71" s="219"/>
    </row>
    <row r="72" spans="1:20" s="213" customFormat="1" x14ac:dyDescent="0.25">
      <c r="A72" s="308">
        <f>'A) Base RI'!A73</f>
        <v>5503</v>
      </c>
      <c r="B72" s="226" t="str">
        <f>'A) Base RI'!B73</f>
        <v>Vufflens-la-Ville</v>
      </c>
      <c r="C72" s="242">
        <v>0</v>
      </c>
      <c r="D72" s="215">
        <f>'B) D RI'!AA73</f>
        <v>1349</v>
      </c>
      <c r="E72" s="216">
        <f>'B) D RI'!S73</f>
        <v>67</v>
      </c>
      <c r="F72" s="10">
        <f>'B) D RI'!R73</f>
        <v>4467418.1166666662</v>
      </c>
      <c r="G72" s="10">
        <f>'B) D RI'!U73</f>
        <v>66677.882338308453</v>
      </c>
      <c r="H72" s="41">
        <f>'B) D RI'!T73</f>
        <v>4061553.4</v>
      </c>
      <c r="I72" s="10">
        <f t="shared" si="12"/>
        <v>121240.4</v>
      </c>
      <c r="J72" s="31">
        <f t="shared" si="8"/>
        <v>120088.23474167884</v>
      </c>
      <c r="K72" s="10">
        <f t="shared" si="9"/>
        <v>120088.23474167884</v>
      </c>
      <c r="L72" s="10">
        <f t="shared" si="13"/>
        <v>0</v>
      </c>
      <c r="M72" s="10">
        <f>'D) Ecrêtage'!C71</f>
        <v>66677.882338308453</v>
      </c>
      <c r="N72" s="10">
        <f t="shared" si="10"/>
        <v>78323.230211775721</v>
      </c>
      <c r="O72" s="55">
        <f t="shared" si="11"/>
        <v>198411.46495345456</v>
      </c>
      <c r="P72" s="217"/>
      <c r="Q72" s="218"/>
      <c r="R72" s="214"/>
      <c r="S72" s="214"/>
      <c r="T72" s="219"/>
    </row>
    <row r="73" spans="1:20" s="213" customFormat="1" x14ac:dyDescent="0.25">
      <c r="A73" s="308">
        <f>'A) Base RI'!A74</f>
        <v>5511</v>
      </c>
      <c r="B73" s="226" t="str">
        <f>'A) Base RI'!B74</f>
        <v>Assens</v>
      </c>
      <c r="C73" s="242">
        <v>0</v>
      </c>
      <c r="D73" s="215">
        <f>'B) D RI'!AA74</f>
        <v>1141</v>
      </c>
      <c r="E73" s="216">
        <f>'B) D RI'!S74</f>
        <v>70</v>
      </c>
      <c r="F73" s="10">
        <f>'B) D RI'!R74</f>
        <v>3113231.9799999995</v>
      </c>
      <c r="G73" s="10">
        <f>'B) D RI'!U74</f>
        <v>44474.742571428564</v>
      </c>
      <c r="H73" s="41">
        <f>'B) D RI'!T74</f>
        <v>2854935.63</v>
      </c>
      <c r="I73" s="10">
        <f t="shared" si="12"/>
        <v>81569.589428571431</v>
      </c>
      <c r="J73" s="31">
        <f t="shared" si="8"/>
        <v>101572.0354634956</v>
      </c>
      <c r="K73" s="10">
        <f t="shared" si="9"/>
        <v>81569.589428571431</v>
      </c>
      <c r="L73" s="10">
        <f t="shared" si="13"/>
        <v>20002.446034924171</v>
      </c>
      <c r="M73" s="10">
        <f>'D) Ecrêtage'!C72</f>
        <v>44474.742571428564</v>
      </c>
      <c r="N73" s="10">
        <f t="shared" si="10"/>
        <v>52242.293529321345</v>
      </c>
      <c r="O73" s="55">
        <f t="shared" si="11"/>
        <v>133811.88295789278</v>
      </c>
      <c r="P73" s="217"/>
      <c r="Q73" s="218"/>
      <c r="R73" s="214"/>
      <c r="S73" s="214"/>
      <c r="T73" s="219"/>
    </row>
    <row r="74" spans="1:20" s="213" customFormat="1" x14ac:dyDescent="0.25">
      <c r="A74" s="308">
        <f>'A) Base RI'!A75</f>
        <v>5512</v>
      </c>
      <c r="B74" s="226" t="str">
        <f>'A) Base RI'!B75</f>
        <v>Bercher</v>
      </c>
      <c r="C74" s="242">
        <v>0</v>
      </c>
      <c r="D74" s="215">
        <f>'B) D RI'!AA75</f>
        <v>1323</v>
      </c>
      <c r="E74" s="216">
        <f>'B) D RI'!S75</f>
        <v>79</v>
      </c>
      <c r="F74" s="10">
        <f>'B) D RI'!R75</f>
        <v>3184765.14</v>
      </c>
      <c r="G74" s="10">
        <f>'B) D RI'!U75</f>
        <v>40313.482784810127</v>
      </c>
      <c r="H74" s="41">
        <f>'B) D RI'!T75</f>
        <v>2914212.39</v>
      </c>
      <c r="I74" s="10">
        <f t="shared" si="12"/>
        <v>73777.528860759499</v>
      </c>
      <c r="J74" s="31">
        <f t="shared" si="8"/>
        <v>117773.70983190594</v>
      </c>
      <c r="K74" s="10">
        <f t="shared" si="9"/>
        <v>73777.528860759499</v>
      </c>
      <c r="L74" s="10">
        <f t="shared" si="13"/>
        <v>43996.180971146445</v>
      </c>
      <c r="M74" s="10">
        <f>'D) Ecrêtage'!C73</f>
        <v>40313.482784810127</v>
      </c>
      <c r="N74" s="10">
        <f t="shared" si="10"/>
        <v>47354.26624338176</v>
      </c>
      <c r="O74" s="55">
        <f t="shared" si="11"/>
        <v>121131.79510414126</v>
      </c>
      <c r="P74" s="217"/>
      <c r="Q74" s="218"/>
      <c r="R74" s="214"/>
      <c r="S74" s="214"/>
      <c r="T74" s="219"/>
    </row>
    <row r="75" spans="1:20" s="213" customFormat="1" x14ac:dyDescent="0.25">
      <c r="A75" s="308">
        <f>'A) Base RI'!A76</f>
        <v>5513</v>
      </c>
      <c r="B75" s="226" t="str">
        <f>'A) Base RI'!B76</f>
        <v>Bioley-Orjulaz</v>
      </c>
      <c r="C75" s="242">
        <v>0</v>
      </c>
      <c r="D75" s="215">
        <f>'B) D RI'!AA76</f>
        <v>525</v>
      </c>
      <c r="E75" s="216">
        <f>'B) D RI'!S76</f>
        <v>68</v>
      </c>
      <c r="F75" s="10">
        <f>'B) D RI'!R76</f>
        <v>1539857.44</v>
      </c>
      <c r="G75" s="10">
        <f>'B) D RI'!U76</f>
        <v>22644.962352941177</v>
      </c>
      <c r="H75" s="41">
        <f>'B) D RI'!T76</f>
        <v>1409815.5899999999</v>
      </c>
      <c r="I75" s="10">
        <f t="shared" si="12"/>
        <v>41465.164411764701</v>
      </c>
      <c r="J75" s="31">
        <f t="shared" si="8"/>
        <v>46735.599139645215</v>
      </c>
      <c r="K75" s="10">
        <f t="shared" si="9"/>
        <v>41465.164411764701</v>
      </c>
      <c r="L75" s="10">
        <f t="shared" si="13"/>
        <v>5270.4347278805144</v>
      </c>
      <c r="M75" s="10">
        <f>'D) Ecrêtage'!C74</f>
        <v>22644.962352941177</v>
      </c>
      <c r="N75" s="10">
        <f t="shared" si="10"/>
        <v>26599.923952404893</v>
      </c>
      <c r="O75" s="55">
        <f t="shared" si="11"/>
        <v>68065.088364169598</v>
      </c>
      <c r="P75" s="217"/>
      <c r="Q75" s="218"/>
      <c r="R75" s="214"/>
      <c r="S75" s="214"/>
      <c r="T75" s="219"/>
    </row>
    <row r="76" spans="1:20" s="213" customFormat="1" x14ac:dyDescent="0.25">
      <c r="A76" s="308">
        <f>'A) Base RI'!A77</f>
        <v>5514</v>
      </c>
      <c r="B76" s="226" t="str">
        <f>'A) Base RI'!B77</f>
        <v>Bottens</v>
      </c>
      <c r="C76" s="242">
        <v>0</v>
      </c>
      <c r="D76" s="215">
        <f>'B) D RI'!AA77</f>
        <v>1330</v>
      </c>
      <c r="E76" s="216">
        <f>'B) D RI'!S77</f>
        <v>72.5</v>
      </c>
      <c r="F76" s="10">
        <f>'B) D RI'!R77</f>
        <v>3203801.74</v>
      </c>
      <c r="G76" s="10">
        <f>'B) D RI'!U77</f>
        <v>44190.368827586208</v>
      </c>
      <c r="H76" s="41">
        <f>'B) D RI'!T77</f>
        <v>2957883.74</v>
      </c>
      <c r="I76" s="10">
        <f t="shared" si="12"/>
        <v>81596.792827586207</v>
      </c>
      <c r="J76" s="31">
        <f t="shared" si="8"/>
        <v>118396.85115376787</v>
      </c>
      <c r="K76" s="10">
        <f t="shared" si="9"/>
        <v>81596.792827586207</v>
      </c>
      <c r="L76" s="10">
        <f t="shared" si="13"/>
        <v>36800.058326181665</v>
      </c>
      <c r="M76" s="10">
        <f>'D) Ecrêtage'!C75</f>
        <v>44190.368827586208</v>
      </c>
      <c r="N76" s="10">
        <f t="shared" si="10"/>
        <v>51908.253673464176</v>
      </c>
      <c r="O76" s="55">
        <f t="shared" si="11"/>
        <v>133505.04650105038</v>
      </c>
      <c r="P76" s="217"/>
      <c r="Q76" s="218"/>
      <c r="R76" s="214"/>
      <c r="S76" s="214"/>
      <c r="T76" s="219"/>
    </row>
    <row r="77" spans="1:20" s="213" customFormat="1" x14ac:dyDescent="0.25">
      <c r="A77" s="308">
        <f>'A) Base RI'!A78</f>
        <v>5515</v>
      </c>
      <c r="B77" s="226" t="str">
        <f>'A) Base RI'!B78</f>
        <v>Bretigny-sur-Morrens</v>
      </c>
      <c r="C77" s="242">
        <v>0</v>
      </c>
      <c r="D77" s="215">
        <f>'B) D RI'!AA78</f>
        <v>859</v>
      </c>
      <c r="E77" s="216">
        <f>'B) D RI'!S78</f>
        <v>81</v>
      </c>
      <c r="F77" s="10">
        <f>'B) D RI'!R78</f>
        <v>2396505.1300000008</v>
      </c>
      <c r="G77" s="10">
        <f>'B) D RI'!U78</f>
        <v>29586.483086419765</v>
      </c>
      <c r="H77" s="41">
        <f>'B) D RI'!T78</f>
        <v>2218242.1300000008</v>
      </c>
      <c r="I77" s="10">
        <f t="shared" si="12"/>
        <v>54771.410617283967</v>
      </c>
      <c r="J77" s="31">
        <f t="shared" si="8"/>
        <v>76468.342211343304</v>
      </c>
      <c r="K77" s="10">
        <f t="shared" si="9"/>
        <v>54771.410617283967</v>
      </c>
      <c r="L77" s="10">
        <f t="shared" si="13"/>
        <v>21696.931594059337</v>
      </c>
      <c r="M77" s="10">
        <f>'D) Ecrêtage'!C76</f>
        <v>29586.483086419765</v>
      </c>
      <c r="N77" s="10">
        <f t="shared" si="10"/>
        <v>34753.787083053474</v>
      </c>
      <c r="O77" s="55">
        <f t="shared" si="11"/>
        <v>89525.197700337449</v>
      </c>
      <c r="P77" s="217"/>
      <c r="Q77" s="218"/>
      <c r="R77" s="214"/>
      <c r="S77" s="214"/>
      <c r="T77" s="219"/>
    </row>
    <row r="78" spans="1:20" s="213" customFormat="1" x14ac:dyDescent="0.25">
      <c r="A78" s="308">
        <f>'A) Base RI'!A79</f>
        <v>5516</v>
      </c>
      <c r="B78" s="226" t="str">
        <f>'A) Base RI'!B79</f>
        <v>Cugy</v>
      </c>
      <c r="C78" s="242">
        <v>0</v>
      </c>
      <c r="D78" s="215">
        <f>'B) D RI'!AA79</f>
        <v>2760</v>
      </c>
      <c r="E78" s="216">
        <f>'B) D RI'!S79</f>
        <v>78</v>
      </c>
      <c r="F78" s="10">
        <f>'B) D RI'!R79</f>
        <v>8350856.5283333333</v>
      </c>
      <c r="G78" s="10">
        <f>'B) D RI'!U79</f>
        <v>107062.26318376069</v>
      </c>
      <c r="H78" s="41">
        <f>'B) D RI'!T79</f>
        <v>7725230.9700000007</v>
      </c>
      <c r="I78" s="10">
        <f t="shared" si="12"/>
        <v>198082.84538461542</v>
      </c>
      <c r="J78" s="31">
        <f t="shared" si="8"/>
        <v>245695.7211912777</v>
      </c>
      <c r="K78" s="10">
        <f t="shared" si="9"/>
        <v>198082.84538461542</v>
      </c>
      <c r="L78" s="10">
        <f t="shared" si="13"/>
        <v>47612.875806662283</v>
      </c>
      <c r="M78" s="10">
        <f>'D) Ecrêtage'!C77</f>
        <v>107062.26318376069</v>
      </c>
      <c r="N78" s="10">
        <f t="shared" si="10"/>
        <v>125760.77692134064</v>
      </c>
      <c r="O78" s="55">
        <f t="shared" si="11"/>
        <v>323843.62230595609</v>
      </c>
      <c r="P78" s="217"/>
      <c r="Q78" s="218"/>
      <c r="R78" s="214"/>
      <c r="S78" s="214"/>
      <c r="T78" s="219"/>
    </row>
    <row r="79" spans="1:20" s="213" customFormat="1" x14ac:dyDescent="0.25">
      <c r="A79" s="308">
        <f>'A) Base RI'!A80</f>
        <v>5518</v>
      </c>
      <c r="B79" s="226" t="str">
        <f>'A) Base RI'!B80</f>
        <v>Echallens</v>
      </c>
      <c r="C79" s="242">
        <v>0</v>
      </c>
      <c r="D79" s="215">
        <f>'B) D RI'!AA80</f>
        <v>5731</v>
      </c>
      <c r="E79" s="216">
        <f>'B) D RI'!S80</f>
        <v>72.5</v>
      </c>
      <c r="F79" s="10">
        <f>'B) D RI'!R80</f>
        <v>12959815.300000001</v>
      </c>
      <c r="G79" s="10">
        <f>'B) D RI'!U80</f>
        <v>178756.07310344829</v>
      </c>
      <c r="H79" s="41">
        <f>'B) D RI'!T80</f>
        <v>11829824.000000002</v>
      </c>
      <c r="I79" s="10">
        <f t="shared" si="12"/>
        <v>326339.97241379315</v>
      </c>
      <c r="J79" s="31">
        <f t="shared" si="8"/>
        <v>510174.70222725091</v>
      </c>
      <c r="K79" s="10">
        <f t="shared" si="9"/>
        <v>326339.97241379315</v>
      </c>
      <c r="L79" s="10">
        <f t="shared" si="13"/>
        <v>183834.72981345776</v>
      </c>
      <c r="M79" s="10">
        <f>'D) Ecrêtage'!C78</f>
        <v>178756.07310344829</v>
      </c>
      <c r="N79" s="10">
        <f t="shared" si="10"/>
        <v>209975.9706584223</v>
      </c>
      <c r="O79" s="55">
        <f>+N79+K79</f>
        <v>536315.94307221542</v>
      </c>
      <c r="P79" s="217"/>
      <c r="Q79" s="218"/>
      <c r="R79" s="214"/>
      <c r="S79" s="214"/>
      <c r="T79" s="219"/>
    </row>
    <row r="80" spans="1:20" s="213" customFormat="1" x14ac:dyDescent="0.25">
      <c r="A80" s="308">
        <f>'A) Base RI'!A81</f>
        <v>5520</v>
      </c>
      <c r="B80" s="226" t="str">
        <f>'A) Base RI'!B81</f>
        <v>Essertines-sur-Yverdon</v>
      </c>
      <c r="C80" s="242">
        <v>0</v>
      </c>
      <c r="D80" s="215">
        <f>'B) D RI'!AA81</f>
        <v>1036</v>
      </c>
      <c r="E80" s="216">
        <f>'B) D RI'!S81</f>
        <v>73</v>
      </c>
      <c r="F80" s="10">
        <f>'B) D RI'!R81</f>
        <v>2170567.89</v>
      </c>
      <c r="G80" s="10">
        <f>'B) D RI'!U81</f>
        <v>29733.806712328769</v>
      </c>
      <c r="H80" s="41">
        <f>'B) D RI'!T81</f>
        <v>1976450.1400000004</v>
      </c>
      <c r="I80" s="10">
        <f t="shared" si="12"/>
        <v>54149.318904109597</v>
      </c>
      <c r="J80" s="31">
        <f t="shared" si="8"/>
        <v>92224.915635566547</v>
      </c>
      <c r="K80" s="10">
        <f t="shared" si="9"/>
        <v>54149.318904109597</v>
      </c>
      <c r="L80" s="10">
        <f t="shared" si="13"/>
        <v>38075.59673145695</v>
      </c>
      <c r="M80" s="10">
        <f>'D) Ecrêtage'!C79</f>
        <v>29733.806712328769</v>
      </c>
      <c r="N80" s="10">
        <f t="shared" si="10"/>
        <v>34926.840903346674</v>
      </c>
      <c r="O80" s="55">
        <f t="shared" si="11"/>
        <v>89076.159807456279</v>
      </c>
      <c r="P80" s="217"/>
      <c r="Q80" s="218"/>
      <c r="R80" s="214"/>
      <c r="S80" s="214"/>
      <c r="T80" s="219"/>
    </row>
    <row r="81" spans="1:20" s="213" customFormat="1" x14ac:dyDescent="0.25">
      <c r="A81" s="308">
        <f>'A) Base RI'!A82</f>
        <v>5521</v>
      </c>
      <c r="B81" s="226" t="str">
        <f>'A) Base RI'!B82</f>
        <v>Etagnières</v>
      </c>
      <c r="C81" s="242">
        <v>0</v>
      </c>
      <c r="D81" s="215">
        <f>'B) D RI'!AA82</f>
        <v>1148</v>
      </c>
      <c r="E81" s="216">
        <f>'B) D RI'!S82</f>
        <v>73</v>
      </c>
      <c r="F81" s="10">
        <f>'B) D RI'!R82</f>
        <v>3416203.97</v>
      </c>
      <c r="G81" s="10">
        <f>'B) D RI'!U82</f>
        <v>46797.314657534247</v>
      </c>
      <c r="H81" s="41">
        <f>'B) D RI'!T82</f>
        <v>3136085.77</v>
      </c>
      <c r="I81" s="10">
        <f t="shared" si="12"/>
        <v>85920.158082191774</v>
      </c>
      <c r="J81" s="31">
        <f t="shared" si="8"/>
        <v>102195.17678535753</v>
      </c>
      <c r="K81" s="10">
        <f t="shared" si="9"/>
        <v>85920.158082191774</v>
      </c>
      <c r="L81" s="10">
        <f t="shared" si="13"/>
        <v>16275.018703165755</v>
      </c>
      <c r="M81" s="10">
        <f>'D) Ecrêtage'!C80</f>
        <v>46797.314657534247</v>
      </c>
      <c r="N81" s="10">
        <f t="shared" si="10"/>
        <v>54970.504771251952</v>
      </c>
      <c r="O81" s="55">
        <f t="shared" si="11"/>
        <v>140890.66285344373</v>
      </c>
      <c r="P81" s="217"/>
      <c r="Q81" s="218"/>
      <c r="R81" s="214"/>
      <c r="S81" s="214"/>
      <c r="T81" s="219"/>
    </row>
    <row r="82" spans="1:20" s="213" customFormat="1" x14ac:dyDescent="0.25">
      <c r="A82" s="308">
        <f>'A) Base RI'!A83</f>
        <v>5522</v>
      </c>
      <c r="B82" s="226" t="str">
        <f>'A) Base RI'!B83</f>
        <v>Fey</v>
      </c>
      <c r="C82" s="242">
        <v>0</v>
      </c>
      <c r="D82" s="215">
        <f>'B) D RI'!AA83</f>
        <v>749</v>
      </c>
      <c r="E82" s="216">
        <f>'B) D RI'!S83</f>
        <v>75</v>
      </c>
      <c r="F82" s="10">
        <f>'B) D RI'!R83</f>
        <v>1779520.5699999998</v>
      </c>
      <c r="G82" s="10">
        <f>'B) D RI'!U83</f>
        <v>23726.940933333331</v>
      </c>
      <c r="H82" s="41">
        <f>'B) D RI'!T83</f>
        <v>1638023.19</v>
      </c>
      <c r="I82" s="10">
        <f t="shared" si="12"/>
        <v>43680.618399999999</v>
      </c>
      <c r="J82" s="31">
        <f t="shared" si="8"/>
        <v>66676.121439227165</v>
      </c>
      <c r="K82" s="10">
        <f t="shared" si="9"/>
        <v>43680.618399999999</v>
      </c>
      <c r="L82" s="10">
        <f t="shared" si="13"/>
        <v>22995.503039227166</v>
      </c>
      <c r="M82" s="10">
        <f>'D) Ecrêtage'!C81</f>
        <v>23726.940933333331</v>
      </c>
      <c r="N82" s="10">
        <f t="shared" si="10"/>
        <v>27870.870996078131</v>
      </c>
      <c r="O82" s="55">
        <f t="shared" si="11"/>
        <v>71551.489396078134</v>
      </c>
      <c r="P82" s="217"/>
      <c r="Q82" s="218"/>
      <c r="R82" s="214"/>
      <c r="S82" s="214"/>
      <c r="T82" s="219"/>
    </row>
    <row r="83" spans="1:20" s="213" customFormat="1" x14ac:dyDescent="0.25">
      <c r="A83" s="308">
        <f>'A) Base RI'!A84</f>
        <v>5523</v>
      </c>
      <c r="B83" s="226" t="str">
        <f>'A) Base RI'!B84</f>
        <v>Froideville</v>
      </c>
      <c r="C83" s="242">
        <v>0</v>
      </c>
      <c r="D83" s="215">
        <f>'B) D RI'!AA84</f>
        <v>2694</v>
      </c>
      <c r="E83" s="216">
        <f>'B) D RI'!S84</f>
        <v>72</v>
      </c>
      <c r="F83" s="10">
        <f>'B) D RI'!R84</f>
        <v>6182556.9699999997</v>
      </c>
      <c r="G83" s="10">
        <f>'B) D RI'!U84</f>
        <v>85868.846805555557</v>
      </c>
      <c r="H83" s="41">
        <f>'B) D RI'!T84</f>
        <v>5642025.5199999996</v>
      </c>
      <c r="I83" s="10">
        <f t="shared" si="12"/>
        <v>156722.9311111111</v>
      </c>
      <c r="J83" s="31">
        <f t="shared" si="8"/>
        <v>239820.38872800799</v>
      </c>
      <c r="K83" s="10">
        <f t="shared" si="9"/>
        <v>156722.9311111111</v>
      </c>
      <c r="L83" s="10">
        <f t="shared" si="13"/>
        <v>83097.457616896892</v>
      </c>
      <c r="M83" s="10">
        <f>'D) Ecrêtage'!C82</f>
        <v>85868.846805555557</v>
      </c>
      <c r="N83" s="10">
        <f t="shared" si="10"/>
        <v>100865.91266122459</v>
      </c>
      <c r="O83" s="55">
        <f t="shared" si="11"/>
        <v>257588.84377233568</v>
      </c>
      <c r="P83" s="217"/>
      <c r="Q83" s="218"/>
      <c r="R83" s="214"/>
      <c r="S83" s="214"/>
      <c r="T83" s="219"/>
    </row>
    <row r="84" spans="1:20" s="213" customFormat="1" x14ac:dyDescent="0.25">
      <c r="A84" s="308">
        <f>'A) Base RI'!A85</f>
        <v>5527</v>
      </c>
      <c r="B84" s="226" t="str">
        <f>'A) Base RI'!B85</f>
        <v>Morrens</v>
      </c>
      <c r="C84" s="242">
        <v>0</v>
      </c>
      <c r="D84" s="215">
        <f>'B) D RI'!AA85</f>
        <v>1153</v>
      </c>
      <c r="E84" s="216">
        <f>'B) D RI'!S85</f>
        <v>74</v>
      </c>
      <c r="F84" s="10">
        <f>'B) D RI'!R85</f>
        <v>3001751.14</v>
      </c>
      <c r="G84" s="10">
        <f>'B) D RI'!U85</f>
        <v>40564.204594594594</v>
      </c>
      <c r="H84" s="41">
        <f>'B) D RI'!T85</f>
        <v>2761225.19</v>
      </c>
      <c r="I84" s="10">
        <f t="shared" si="12"/>
        <v>74627.707837837836</v>
      </c>
      <c r="J84" s="31">
        <f t="shared" si="8"/>
        <v>102640.27772954463</v>
      </c>
      <c r="K84" s="10">
        <f t="shared" si="9"/>
        <v>74627.707837837836</v>
      </c>
      <c r="L84" s="10">
        <f t="shared" si="13"/>
        <v>28012.569891706793</v>
      </c>
      <c r="M84" s="10">
        <f>'D) Ecrêtage'!C83</f>
        <v>40564.204594594594</v>
      </c>
      <c r="N84" s="10">
        <f t="shared" si="10"/>
        <v>47648.776826774716</v>
      </c>
      <c r="O84" s="55">
        <f t="shared" si="11"/>
        <v>122276.48466461255</v>
      </c>
      <c r="P84" s="217"/>
      <c r="Q84" s="218"/>
      <c r="R84" s="214"/>
      <c r="S84" s="214"/>
      <c r="T84" s="219"/>
    </row>
    <row r="85" spans="1:20" s="213" customFormat="1" x14ac:dyDescent="0.25">
      <c r="A85" s="308">
        <f>'A) Base RI'!A86</f>
        <v>5529</v>
      </c>
      <c r="B85" s="226" t="str">
        <f>'A) Base RI'!B86</f>
        <v>Oulens-sous-Echallens</v>
      </c>
      <c r="C85" s="242">
        <v>0</v>
      </c>
      <c r="D85" s="215">
        <f>'B) D RI'!AA86</f>
        <v>618</v>
      </c>
      <c r="E85" s="216">
        <f>'B) D RI'!S86</f>
        <v>70</v>
      </c>
      <c r="F85" s="10">
        <f>'B) D RI'!R86</f>
        <v>1414087.18</v>
      </c>
      <c r="G85" s="10">
        <f>'B) D RI'!U86</f>
        <v>20201.245428571427</v>
      </c>
      <c r="H85" s="41">
        <f>'B) D RI'!T86</f>
        <v>1290765.8299999998</v>
      </c>
      <c r="I85" s="10">
        <f t="shared" si="12"/>
        <v>36879.023714285708</v>
      </c>
      <c r="J85" s="31">
        <f t="shared" si="8"/>
        <v>55014.476701525222</v>
      </c>
      <c r="K85" s="10">
        <f t="shared" si="9"/>
        <v>36879.023714285708</v>
      </c>
      <c r="L85" s="10">
        <f t="shared" si="13"/>
        <v>18135.452987239514</v>
      </c>
      <c r="M85" s="10">
        <f>'D) Ecrêtage'!C84</f>
        <v>20201.245428571427</v>
      </c>
      <c r="N85" s="10">
        <f t="shared" si="10"/>
        <v>23729.409824965973</v>
      </c>
      <c r="O85" s="55">
        <f t="shared" si="11"/>
        <v>60608.43353925168</v>
      </c>
      <c r="P85" s="217"/>
      <c r="Q85" s="218"/>
      <c r="R85" s="214"/>
      <c r="S85" s="214"/>
      <c r="T85" s="219"/>
    </row>
    <row r="86" spans="1:20" s="213" customFormat="1" x14ac:dyDescent="0.25">
      <c r="A86" s="308">
        <f>'A) Base RI'!A87</f>
        <v>5530</v>
      </c>
      <c r="B86" s="226" t="str">
        <f>'A) Base RI'!B87</f>
        <v>Pailly</v>
      </c>
      <c r="C86" s="242">
        <v>0</v>
      </c>
      <c r="D86" s="215">
        <f>'B) D RI'!AA87</f>
        <v>567</v>
      </c>
      <c r="E86" s="216">
        <f>'B) D RI'!S87</f>
        <v>76</v>
      </c>
      <c r="F86" s="10">
        <f>'B) D RI'!R87</f>
        <v>1390952.7216666664</v>
      </c>
      <c r="G86" s="10">
        <f>'B) D RI'!U87</f>
        <v>18302.009495614031</v>
      </c>
      <c r="H86" s="41">
        <f>'B) D RI'!T87</f>
        <v>1284934.1799999997</v>
      </c>
      <c r="I86" s="10">
        <f t="shared" si="12"/>
        <v>33814.057368421047</v>
      </c>
      <c r="J86" s="31">
        <f t="shared" si="8"/>
        <v>50474.44707081683</v>
      </c>
      <c r="K86" s="10">
        <f t="shared" si="9"/>
        <v>33814.057368421047</v>
      </c>
      <c r="L86" s="10">
        <f t="shared" si="13"/>
        <v>16660.389702395783</v>
      </c>
      <c r="M86" s="10">
        <f>'D) Ecrêtage'!C85</f>
        <v>18302.009495614031</v>
      </c>
      <c r="N86" s="10">
        <f t="shared" si="10"/>
        <v>21498.470749115404</v>
      </c>
      <c r="O86" s="55">
        <f t="shared" si="11"/>
        <v>55312.528117536451</v>
      </c>
      <c r="P86" s="217"/>
      <c r="Q86" s="218"/>
      <c r="R86" s="214"/>
      <c r="S86" s="214"/>
      <c r="T86" s="219"/>
    </row>
    <row r="87" spans="1:20" s="213" customFormat="1" x14ac:dyDescent="0.25">
      <c r="A87" s="308">
        <f>'A) Base RI'!A88</f>
        <v>5531</v>
      </c>
      <c r="B87" s="226" t="str">
        <f>'A) Base RI'!B88</f>
        <v>Penthéréaz</v>
      </c>
      <c r="C87" s="242">
        <v>0</v>
      </c>
      <c r="D87" s="215">
        <f>'B) D RI'!AA88</f>
        <v>419</v>
      </c>
      <c r="E87" s="216">
        <f>'B) D RI'!S88</f>
        <v>74</v>
      </c>
      <c r="F87" s="10">
        <f>'B) D RI'!R88</f>
        <v>1024386.6400000001</v>
      </c>
      <c r="G87" s="10">
        <f>'B) D RI'!U88</f>
        <v>13843.062702702704</v>
      </c>
      <c r="H87" s="41">
        <f>'B) D RI'!T88</f>
        <v>946635.59000000008</v>
      </c>
      <c r="I87" s="10">
        <f t="shared" si="12"/>
        <v>25584.745675675676</v>
      </c>
      <c r="J87" s="31">
        <f t="shared" si="8"/>
        <v>37299.459122878754</v>
      </c>
      <c r="K87" s="10">
        <f t="shared" si="9"/>
        <v>25584.745675675676</v>
      </c>
      <c r="L87" s="10">
        <f t="shared" si="13"/>
        <v>11714.713447203078</v>
      </c>
      <c r="M87" s="10">
        <f>'D) Ecrêtage'!C86</f>
        <v>13843.062702702704</v>
      </c>
      <c r="N87" s="10">
        <f t="shared" si="10"/>
        <v>16260.765172455174</v>
      </c>
      <c r="O87" s="55">
        <f t="shared" si="11"/>
        <v>41845.510848130849</v>
      </c>
      <c r="P87" s="217"/>
      <c r="Q87" s="218"/>
      <c r="R87" s="214"/>
      <c r="S87" s="214"/>
      <c r="T87" s="219"/>
    </row>
    <row r="88" spans="1:20" s="213" customFormat="1" x14ac:dyDescent="0.25">
      <c r="A88" s="308">
        <f>'A) Base RI'!A89</f>
        <v>5533</v>
      </c>
      <c r="B88" s="226" t="str">
        <f>'A) Base RI'!B89</f>
        <v>Poliez-Pittet</v>
      </c>
      <c r="C88" s="242">
        <v>0</v>
      </c>
      <c r="D88" s="215">
        <f>'B) D RI'!AA89</f>
        <v>829</v>
      </c>
      <c r="E88" s="216">
        <f>'B) D RI'!S89</f>
        <v>73</v>
      </c>
      <c r="F88" s="10">
        <f>'B) D RI'!R89</f>
        <v>1984882.2599999998</v>
      </c>
      <c r="G88" s="10">
        <f>'B) D RI'!U89</f>
        <v>27190.167945205478</v>
      </c>
      <c r="H88" s="41">
        <f>'B) D RI'!T89</f>
        <v>1831340.16</v>
      </c>
      <c r="I88" s="10">
        <f t="shared" si="12"/>
        <v>50173.703013698629</v>
      </c>
      <c r="J88" s="31">
        <f t="shared" si="8"/>
        <v>73797.736546220724</v>
      </c>
      <c r="K88" s="10">
        <f t="shared" si="9"/>
        <v>50173.703013698629</v>
      </c>
      <c r="L88" s="10">
        <f t="shared" si="13"/>
        <v>23624.033532522095</v>
      </c>
      <c r="M88" s="10">
        <f>'D) Ecrêtage'!C87</f>
        <v>27190.167945205478</v>
      </c>
      <c r="N88" s="10">
        <f t="shared" si="10"/>
        <v>31938.953499812058</v>
      </c>
      <c r="O88" s="55">
        <f t="shared" si="11"/>
        <v>82112.656513510679</v>
      </c>
      <c r="P88" s="217"/>
      <c r="Q88" s="218"/>
      <c r="R88" s="214"/>
      <c r="S88" s="214"/>
      <c r="T88" s="219"/>
    </row>
    <row r="89" spans="1:20" s="213" customFormat="1" x14ac:dyDescent="0.25">
      <c r="A89" s="308">
        <f>'A) Base RI'!A90</f>
        <v>5534</v>
      </c>
      <c r="B89" s="226" t="str">
        <f>'A) Base RI'!B90</f>
        <v>Rueyres</v>
      </c>
      <c r="C89" s="242">
        <v>0</v>
      </c>
      <c r="D89" s="215">
        <f>'B) D RI'!AA90</f>
        <v>266</v>
      </c>
      <c r="E89" s="216">
        <f>'B) D RI'!S90</f>
        <v>73</v>
      </c>
      <c r="F89" s="10">
        <f>'B) D RI'!R90</f>
        <v>712140.63833333331</v>
      </c>
      <c r="G89" s="10">
        <f>'B) D RI'!U90</f>
        <v>9755.351210045661</v>
      </c>
      <c r="H89" s="41">
        <f>'B) D RI'!T90</f>
        <v>632298.92999999993</v>
      </c>
      <c r="I89" s="10">
        <f t="shared" si="12"/>
        <v>17323.258356164381</v>
      </c>
      <c r="J89" s="31">
        <f t="shared" si="8"/>
        <v>23679.370230753575</v>
      </c>
      <c r="K89" s="10">
        <f t="shared" si="9"/>
        <v>17323.258356164381</v>
      </c>
      <c r="L89" s="10">
        <f t="shared" si="13"/>
        <v>6356.1118745891945</v>
      </c>
      <c r="M89" s="10">
        <f>'D) Ecrêtage'!C88</f>
        <v>9755.351210045661</v>
      </c>
      <c r="N89" s="10">
        <f t="shared" si="10"/>
        <v>11459.13145148207</v>
      </c>
      <c r="O89" s="55">
        <f t="shared" si="11"/>
        <v>28782.38980764645</v>
      </c>
      <c r="P89" s="217"/>
      <c r="Q89" s="218"/>
      <c r="R89" s="214"/>
      <c r="S89" s="214"/>
      <c r="T89" s="219"/>
    </row>
    <row r="90" spans="1:20" s="213" customFormat="1" x14ac:dyDescent="0.25">
      <c r="A90" s="308">
        <f>'A) Base RI'!A91</f>
        <v>5535</v>
      </c>
      <c r="B90" s="226" t="str">
        <f>'A) Base RI'!B91</f>
        <v>Saint-Barthélemy</v>
      </c>
      <c r="C90" s="242">
        <v>0</v>
      </c>
      <c r="D90" s="215">
        <f>'B) D RI'!AA91</f>
        <v>784</v>
      </c>
      <c r="E90" s="216">
        <f>'B) D RI'!S91</f>
        <v>75</v>
      </c>
      <c r="F90" s="10">
        <f>'B) D RI'!R91</f>
        <v>1687263.7600000002</v>
      </c>
      <c r="G90" s="10">
        <f>'B) D RI'!U91</f>
        <v>22496.850133333337</v>
      </c>
      <c r="H90" s="41">
        <f>'B) D RI'!T91</f>
        <v>1540917.5600000003</v>
      </c>
      <c r="I90" s="10">
        <f t="shared" si="12"/>
        <v>41091.134933333342</v>
      </c>
      <c r="J90" s="31">
        <f t="shared" si="8"/>
        <v>69791.828048536845</v>
      </c>
      <c r="K90" s="10">
        <f t="shared" si="9"/>
        <v>41091.134933333342</v>
      </c>
      <c r="L90" s="10">
        <f t="shared" si="13"/>
        <v>28700.693115203503</v>
      </c>
      <c r="M90" s="10">
        <f>'D) Ecrêtage'!C89</f>
        <v>22496.850133333337</v>
      </c>
      <c r="N90" s="10">
        <f t="shared" si="10"/>
        <v>26425.94380986433</v>
      </c>
      <c r="O90" s="55">
        <f t="shared" si="11"/>
        <v>67517.078743197664</v>
      </c>
      <c r="P90" s="217"/>
      <c r="Q90" s="218"/>
      <c r="R90" s="214"/>
      <c r="S90" s="214"/>
      <c r="T90" s="219"/>
    </row>
    <row r="91" spans="1:20" s="213" customFormat="1" x14ac:dyDescent="0.25">
      <c r="A91" s="308">
        <f>'A) Base RI'!A92</f>
        <v>5537</v>
      </c>
      <c r="B91" s="226" t="str">
        <f>'A) Base RI'!B92</f>
        <v>Villars-le-Terroir</v>
      </c>
      <c r="C91" s="242">
        <v>0</v>
      </c>
      <c r="D91" s="215">
        <f>'B) D RI'!AA92</f>
        <v>1281</v>
      </c>
      <c r="E91" s="216">
        <f>'B) D RI'!S92</f>
        <v>73</v>
      </c>
      <c r="F91" s="10">
        <f>'B) D RI'!R92</f>
        <v>2771318.71</v>
      </c>
      <c r="G91" s="10">
        <f>'B) D RI'!U92</f>
        <v>37963.269999999997</v>
      </c>
      <c r="H91" s="41">
        <f>'B) D RI'!T92</f>
        <v>2535341.06</v>
      </c>
      <c r="I91" s="10">
        <f t="shared" si="12"/>
        <v>69461.398904109592</v>
      </c>
      <c r="J91" s="31">
        <f t="shared" si="8"/>
        <v>114034.86190073432</v>
      </c>
      <c r="K91" s="10">
        <f t="shared" si="9"/>
        <v>69461.398904109592</v>
      </c>
      <c r="L91" s="10">
        <f t="shared" si="13"/>
        <v>44573.46299662473</v>
      </c>
      <c r="M91" s="10">
        <f>'D) Ecrêtage'!C90</f>
        <v>37963.269999999997</v>
      </c>
      <c r="N91" s="10">
        <f t="shared" si="10"/>
        <v>44593.586831618486</v>
      </c>
      <c r="O91" s="55">
        <f t="shared" si="11"/>
        <v>114054.98573572809</v>
      </c>
      <c r="P91" s="217"/>
      <c r="Q91" s="218"/>
      <c r="R91" s="214"/>
      <c r="S91" s="214"/>
      <c r="T91" s="219"/>
    </row>
    <row r="92" spans="1:20" s="213" customFormat="1" x14ac:dyDescent="0.25">
      <c r="A92" s="308">
        <f>'A) Base RI'!A93</f>
        <v>5539</v>
      </c>
      <c r="B92" s="226" t="str">
        <f>'A) Base RI'!B93</f>
        <v>Vuarrens</v>
      </c>
      <c r="C92" s="242">
        <v>0</v>
      </c>
      <c r="D92" s="215">
        <f>'B) D RI'!AA93</f>
        <v>1060</v>
      </c>
      <c r="E92" s="216">
        <f>'B) D RI'!S93</f>
        <v>73.5</v>
      </c>
      <c r="F92" s="10">
        <f>'B) D RI'!R93</f>
        <v>2643178.7274999996</v>
      </c>
      <c r="G92" s="10">
        <f>'B) D RI'!U93</f>
        <v>35961.61534013605</v>
      </c>
      <c r="H92" s="41">
        <f>'B) D RI'!T93</f>
        <v>2450963.6399999997</v>
      </c>
      <c r="I92" s="10">
        <f t="shared" si="12"/>
        <v>66692.888163265292</v>
      </c>
      <c r="J92" s="31">
        <f t="shared" si="8"/>
        <v>94361.400167664615</v>
      </c>
      <c r="K92" s="10">
        <f t="shared" si="9"/>
        <v>66692.888163265292</v>
      </c>
      <c r="L92" s="10">
        <f t="shared" si="13"/>
        <v>27668.512004399323</v>
      </c>
      <c r="M92" s="10">
        <f>'D) Ecrêtage'!C91</f>
        <v>35961.61534013605</v>
      </c>
      <c r="N92" s="10">
        <f t="shared" si="10"/>
        <v>42242.341512615232</v>
      </c>
      <c r="O92" s="55">
        <f t="shared" si="11"/>
        <v>108935.22967588052</v>
      </c>
      <c r="P92" s="217"/>
      <c r="Q92" s="218"/>
      <c r="R92" s="214"/>
      <c r="S92" s="214"/>
      <c r="T92" s="219"/>
    </row>
    <row r="93" spans="1:20" s="213" customFormat="1" x14ac:dyDescent="0.25">
      <c r="A93" s="308">
        <f>'A) Base RI'!A94</f>
        <v>5540</v>
      </c>
      <c r="B93" s="226" t="str">
        <f>'A) Base RI'!B94</f>
        <v>Montilliez</v>
      </c>
      <c r="C93" s="242">
        <v>0</v>
      </c>
      <c r="D93" s="215">
        <f>'B) D RI'!AA94</f>
        <v>1857</v>
      </c>
      <c r="E93" s="216">
        <f>'B) D RI'!S94</f>
        <v>72.5</v>
      </c>
      <c r="F93" s="10">
        <f>'B) D RI'!R94</f>
        <v>4803599.7699999996</v>
      </c>
      <c r="G93" s="10">
        <f>'B) D RI'!U94</f>
        <v>66256.548551724132</v>
      </c>
      <c r="H93" s="41">
        <f>'B) D RI'!T94</f>
        <v>4439478.67</v>
      </c>
      <c r="I93" s="10">
        <f t="shared" si="12"/>
        <v>122468.37710344828</v>
      </c>
      <c r="J93" s="31">
        <f t="shared" si="8"/>
        <v>165310.49067108793</v>
      </c>
      <c r="K93" s="10">
        <f t="shared" si="9"/>
        <v>122468.37710344828</v>
      </c>
      <c r="L93" s="10">
        <f t="shared" si="13"/>
        <v>42842.113567639652</v>
      </c>
      <c r="M93" s="10">
        <f>'D) Ecrêtage'!C92</f>
        <v>66256.548551724132</v>
      </c>
      <c r="N93" s="10">
        <f t="shared" si="10"/>
        <v>77828.310127253426</v>
      </c>
      <c r="O93" s="55">
        <f t="shared" si="11"/>
        <v>200296.6872307017</v>
      </c>
      <c r="P93" s="217"/>
      <c r="Q93" s="218"/>
      <c r="R93" s="214"/>
      <c r="S93" s="214"/>
      <c r="T93" s="219"/>
    </row>
    <row r="94" spans="1:20" s="213" customFormat="1" x14ac:dyDescent="0.25">
      <c r="A94" s="308">
        <f>'A) Base RI'!A95</f>
        <v>5541</v>
      </c>
      <c r="B94" s="226" t="str">
        <f>'A) Base RI'!B95</f>
        <v>Goumoëns</v>
      </c>
      <c r="C94" s="242">
        <v>0</v>
      </c>
      <c r="D94" s="215">
        <f>'B) D RI'!AA95</f>
        <v>1153</v>
      </c>
      <c r="E94" s="216">
        <f>'B) D RI'!S95</f>
        <v>75.5</v>
      </c>
      <c r="F94" s="10">
        <f>'B) D RI'!R95</f>
        <v>2793395.15</v>
      </c>
      <c r="G94" s="10">
        <f>'B) D RI'!U95</f>
        <v>36998.611258278142</v>
      </c>
      <c r="H94" s="41">
        <f>'B) D RI'!T95</f>
        <v>2582265.65</v>
      </c>
      <c r="I94" s="10">
        <f t="shared" si="12"/>
        <v>68404.388079470198</v>
      </c>
      <c r="J94" s="31">
        <f t="shared" si="8"/>
        <v>102640.27772954463</v>
      </c>
      <c r="K94" s="10">
        <f t="shared" si="9"/>
        <v>68404.388079470198</v>
      </c>
      <c r="L94" s="10">
        <f t="shared" si="13"/>
        <v>34235.88965007443</v>
      </c>
      <c r="M94" s="10">
        <f>'D) Ecrêtage'!C93</f>
        <v>36998.611258278142</v>
      </c>
      <c r="N94" s="10">
        <f t="shared" si="10"/>
        <v>43460.449634484168</v>
      </c>
      <c r="O94" s="55">
        <f t="shared" si="11"/>
        <v>111864.83771395436</v>
      </c>
      <c r="P94" s="217"/>
      <c r="Q94" s="218"/>
      <c r="R94" s="214"/>
      <c r="S94" s="214"/>
      <c r="T94" s="219"/>
    </row>
    <row r="95" spans="1:20" s="213" customFormat="1" x14ac:dyDescent="0.25">
      <c r="A95" s="308">
        <f>'A) Base RI'!A96</f>
        <v>5551</v>
      </c>
      <c r="B95" s="226" t="str">
        <f>'A) Base RI'!B96</f>
        <v>Bonvillars</v>
      </c>
      <c r="C95" s="242">
        <v>0</v>
      </c>
      <c r="D95" s="215">
        <f>'B) D RI'!AA96</f>
        <v>489</v>
      </c>
      <c r="E95" s="216">
        <f>'B) D RI'!S96</f>
        <v>55</v>
      </c>
      <c r="F95" s="10">
        <f>'B) D RI'!R96</f>
        <v>1053614.9099999999</v>
      </c>
      <c r="G95" s="10">
        <f>'B) D RI'!U96</f>
        <v>19156.634727272725</v>
      </c>
      <c r="H95" s="41">
        <f>'B) D RI'!T96</f>
        <v>923510.90999999992</v>
      </c>
      <c r="I95" s="10">
        <f t="shared" si="12"/>
        <v>33582.214909090908</v>
      </c>
      <c r="J95" s="31">
        <f t="shared" si="8"/>
        <v>43530.872341498114</v>
      </c>
      <c r="K95" s="10">
        <f t="shared" si="9"/>
        <v>33582.214909090908</v>
      </c>
      <c r="L95" s="10">
        <f t="shared" si="13"/>
        <v>9948.6574324072062</v>
      </c>
      <c r="M95" s="10">
        <f>'D) Ecrêtage'!C94</f>
        <v>19156.634727272725</v>
      </c>
      <c r="N95" s="10">
        <f t="shared" si="10"/>
        <v>22502.356991698409</v>
      </c>
      <c r="O95" s="55">
        <f t="shared" si="11"/>
        <v>56084.57190078932</v>
      </c>
      <c r="P95" s="217"/>
      <c r="Q95" s="218"/>
      <c r="R95" s="214"/>
      <c r="S95" s="214"/>
      <c r="T95" s="219"/>
    </row>
    <row r="96" spans="1:20" s="213" customFormat="1" x14ac:dyDescent="0.25">
      <c r="A96" s="308">
        <f>'A) Base RI'!A97</f>
        <v>5552</v>
      </c>
      <c r="B96" s="226" t="str">
        <f>'A) Base RI'!B97</f>
        <v>Bullet</v>
      </c>
      <c r="C96" s="242">
        <v>0</v>
      </c>
      <c r="D96" s="215">
        <f>'B) D RI'!AA97</f>
        <v>657</v>
      </c>
      <c r="E96" s="216">
        <f>'B) D RI'!S97</f>
        <v>71.5</v>
      </c>
      <c r="F96" s="10">
        <f>'B) D RI'!R97</f>
        <v>1255283.8500000001</v>
      </c>
      <c r="G96" s="10">
        <f>'B) D RI'!U97</f>
        <v>17556.417482517485</v>
      </c>
      <c r="H96" s="41">
        <f>'B) D RI'!T97</f>
        <v>1133258.3</v>
      </c>
      <c r="I96" s="10">
        <f t="shared" si="12"/>
        <v>31699.532867132868</v>
      </c>
      <c r="J96" s="31">
        <f t="shared" si="8"/>
        <v>58486.26406618458</v>
      </c>
      <c r="K96" s="10">
        <f t="shared" si="9"/>
        <v>31699.532867132868</v>
      </c>
      <c r="L96" s="10">
        <f t="shared" si="13"/>
        <v>26786.731199051712</v>
      </c>
      <c r="M96" s="10">
        <f>'D) Ecrêtage'!C95</f>
        <v>17556.417482517485</v>
      </c>
      <c r="N96" s="10">
        <f t="shared" si="10"/>
        <v>20622.660467836104</v>
      </c>
      <c r="O96" s="55">
        <f t="shared" si="11"/>
        <v>52322.193334968972</v>
      </c>
      <c r="P96" s="217"/>
      <c r="Q96" s="218"/>
      <c r="R96" s="214"/>
      <c r="S96" s="214"/>
      <c r="T96" s="219"/>
    </row>
    <row r="97" spans="1:20" s="213" customFormat="1" x14ac:dyDescent="0.25">
      <c r="A97" s="308">
        <f>'A) Base RI'!A98</f>
        <v>5553</v>
      </c>
      <c r="B97" s="226" t="str">
        <f>'A) Base RI'!B98</f>
        <v>Champagne</v>
      </c>
      <c r="C97" s="242">
        <v>0</v>
      </c>
      <c r="D97" s="215">
        <f>'B) D RI'!AA98</f>
        <v>1061</v>
      </c>
      <c r="E97" s="216">
        <f>'B) D RI'!S98</f>
        <v>65</v>
      </c>
      <c r="F97" s="10">
        <f>'B) D RI'!R98</f>
        <v>2514289.5599999996</v>
      </c>
      <c r="G97" s="10">
        <f>'B) D RI'!U98</f>
        <v>38681.377846153839</v>
      </c>
      <c r="H97" s="41">
        <f>'B) D RI'!T98</f>
        <v>2254921.3099999996</v>
      </c>
      <c r="I97" s="10">
        <f t="shared" si="12"/>
        <v>69382.19415384614</v>
      </c>
      <c r="J97" s="31">
        <f t="shared" si="8"/>
        <v>94450.420356502043</v>
      </c>
      <c r="K97" s="10">
        <f t="shared" si="9"/>
        <v>69382.19415384614</v>
      </c>
      <c r="L97" s="10">
        <f t="shared" si="13"/>
        <v>25068.226202655904</v>
      </c>
      <c r="M97" s="10">
        <f>'D) Ecrêtage'!C96</f>
        <v>38681.377846153839</v>
      </c>
      <c r="N97" s="10">
        <f t="shared" si="10"/>
        <v>45437.112813229869</v>
      </c>
      <c r="O97" s="55">
        <f t="shared" si="11"/>
        <v>114819.306967076</v>
      </c>
      <c r="P97" s="217"/>
      <c r="Q97" s="218"/>
      <c r="R97" s="214"/>
      <c r="S97" s="214"/>
      <c r="T97" s="219"/>
    </row>
    <row r="98" spans="1:20" s="213" customFormat="1" x14ac:dyDescent="0.25">
      <c r="A98" s="308">
        <f>'A) Base RI'!A99</f>
        <v>5554</v>
      </c>
      <c r="B98" s="226" t="str">
        <f>'A) Base RI'!B99</f>
        <v>Concise</v>
      </c>
      <c r="C98" s="242">
        <v>0</v>
      </c>
      <c r="D98" s="215">
        <f>'B) D RI'!AA99</f>
        <v>1001</v>
      </c>
      <c r="E98" s="216">
        <f>'B) D RI'!S99</f>
        <v>75</v>
      </c>
      <c r="F98" s="10">
        <f>'B) D RI'!R99</f>
        <v>2424590.3300000005</v>
      </c>
      <c r="G98" s="10">
        <f>'B) D RI'!U99</f>
        <v>32327.871066666674</v>
      </c>
      <c r="H98" s="41">
        <f>'B) D RI'!T99</f>
        <v>2253603.1800000002</v>
      </c>
      <c r="I98" s="10">
        <f t="shared" si="12"/>
        <v>60096.084800000004</v>
      </c>
      <c r="J98" s="31">
        <f t="shared" si="8"/>
        <v>89109.209026256867</v>
      </c>
      <c r="K98" s="10">
        <f t="shared" si="9"/>
        <v>60096.084800000004</v>
      </c>
      <c r="L98" s="10">
        <f t="shared" si="13"/>
        <v>29013.124226256863</v>
      </c>
      <c r="M98" s="10">
        <f>'D) Ecrêtage'!C97</f>
        <v>32327.871066666674</v>
      </c>
      <c r="N98" s="10">
        <f t="shared" si="10"/>
        <v>37973.960765043877</v>
      </c>
      <c r="O98" s="55">
        <f t="shared" si="11"/>
        <v>98070.045565043882</v>
      </c>
      <c r="P98" s="217"/>
      <c r="Q98" s="218"/>
      <c r="R98" s="214"/>
      <c r="S98" s="214"/>
      <c r="T98" s="219"/>
    </row>
    <row r="99" spans="1:20" s="213" customFormat="1" x14ac:dyDescent="0.25">
      <c r="A99" s="308">
        <f>'A) Base RI'!A100</f>
        <v>5555</v>
      </c>
      <c r="B99" s="226" t="str">
        <f>'A) Base RI'!B100</f>
        <v>Corcelles-près-Concise</v>
      </c>
      <c r="C99" s="242">
        <v>0</v>
      </c>
      <c r="D99" s="215">
        <f>'B) D RI'!AA100</f>
        <v>419</v>
      </c>
      <c r="E99" s="216">
        <f>'B) D RI'!S100</f>
        <v>69</v>
      </c>
      <c r="F99" s="10">
        <f>'B) D RI'!R100</f>
        <v>938367.54000000027</v>
      </c>
      <c r="G99" s="10">
        <f>'B) D RI'!U100</f>
        <v>13599.529565217395</v>
      </c>
      <c r="H99" s="41">
        <f>'B) D RI'!T100</f>
        <v>844201.24000000022</v>
      </c>
      <c r="I99" s="10">
        <f t="shared" si="12"/>
        <v>24469.601159420297</v>
      </c>
      <c r="J99" s="31">
        <f t="shared" si="8"/>
        <v>37299.459122878754</v>
      </c>
      <c r="K99" s="10">
        <f t="shared" si="9"/>
        <v>24469.601159420297</v>
      </c>
      <c r="L99" s="10">
        <f t="shared" si="13"/>
        <v>12829.857963458457</v>
      </c>
      <c r="M99" s="10">
        <f>'D) Ecrêtage'!C98</f>
        <v>13599.529565217395</v>
      </c>
      <c r="N99" s="10">
        <f t="shared" si="10"/>
        <v>15974.698768986043</v>
      </c>
      <c r="O99" s="55">
        <f t="shared" si="11"/>
        <v>40444.299928406341</v>
      </c>
      <c r="P99" s="217"/>
      <c r="Q99" s="218"/>
      <c r="R99" s="214"/>
      <c r="S99" s="214"/>
      <c r="T99" s="219"/>
    </row>
    <row r="100" spans="1:20" s="213" customFormat="1" x14ac:dyDescent="0.25">
      <c r="A100" s="308">
        <f>'A) Base RI'!A101</f>
        <v>5556</v>
      </c>
      <c r="B100" s="226" t="str">
        <f>'A) Base RI'!B101</f>
        <v>Fiez</v>
      </c>
      <c r="C100" s="242">
        <v>0</v>
      </c>
      <c r="D100" s="215">
        <f>'B) D RI'!AA101</f>
        <v>451</v>
      </c>
      <c r="E100" s="216">
        <f>'B) D RI'!S101</f>
        <v>69</v>
      </c>
      <c r="F100" s="10">
        <f>'B) D RI'!R101</f>
        <v>953333.5149999999</v>
      </c>
      <c r="G100" s="10">
        <f>'B) D RI'!U101</f>
        <v>13816.427753623188</v>
      </c>
      <c r="H100" s="41">
        <f>'B) D RI'!T101</f>
        <v>876894.48999999987</v>
      </c>
      <c r="I100" s="10">
        <f t="shared" si="12"/>
        <v>25417.231594202894</v>
      </c>
      <c r="J100" s="31">
        <f t="shared" si="8"/>
        <v>40148.10516567617</v>
      </c>
      <c r="K100" s="10">
        <f t="shared" si="9"/>
        <v>25417.231594202894</v>
      </c>
      <c r="L100" s="10">
        <f t="shared" si="13"/>
        <v>14730.873571473276</v>
      </c>
      <c r="M100" s="10">
        <f>'D) Ecrêtage'!C99</f>
        <v>13816.427753623188</v>
      </c>
      <c r="N100" s="10">
        <f t="shared" si="10"/>
        <v>16229.478407259943</v>
      </c>
      <c r="O100" s="55">
        <f t="shared" si="11"/>
        <v>41646.710001462838</v>
      </c>
      <c r="P100" s="217"/>
      <c r="Q100" s="218"/>
      <c r="R100" s="214"/>
      <c r="S100" s="214"/>
      <c r="T100" s="219"/>
    </row>
    <row r="101" spans="1:20" s="213" customFormat="1" x14ac:dyDescent="0.25">
      <c r="A101" s="308">
        <f>'A) Base RI'!A102</f>
        <v>5557</v>
      </c>
      <c r="B101" s="226" t="str">
        <f>'A) Base RI'!B102</f>
        <v>Fontaines-sur-Grandson</v>
      </c>
      <c r="C101" s="242">
        <v>0</v>
      </c>
      <c r="D101" s="215">
        <f>'B) D RI'!AA102</f>
        <v>219</v>
      </c>
      <c r="E101" s="216">
        <f>'B) D RI'!S102</f>
        <v>69</v>
      </c>
      <c r="F101" s="10">
        <f>'B) D RI'!R102</f>
        <v>405742.59999999986</v>
      </c>
      <c r="G101" s="10">
        <f>'B) D RI'!U102</f>
        <v>5880.3275362318818</v>
      </c>
      <c r="H101" s="41">
        <f>'B) D RI'!T102</f>
        <v>366875.34999999986</v>
      </c>
      <c r="I101" s="10">
        <f t="shared" si="12"/>
        <v>10634.068115942026</v>
      </c>
      <c r="J101" s="31">
        <f t="shared" si="8"/>
        <v>19495.421355394861</v>
      </c>
      <c r="K101" s="10">
        <f t="shared" si="9"/>
        <v>10634.068115942026</v>
      </c>
      <c r="L101" s="10">
        <f t="shared" si="13"/>
        <v>8861.3532394528356</v>
      </c>
      <c r="M101" s="10">
        <f>'D) Ecrêtage'!C100</f>
        <v>5880.3275362318818</v>
      </c>
      <c r="N101" s="10">
        <f t="shared" si="10"/>
        <v>6907.3316546576107</v>
      </c>
      <c r="O101" s="55">
        <f t="shared" si="11"/>
        <v>17541.399770599637</v>
      </c>
      <c r="P101" s="217"/>
      <c r="Q101" s="218"/>
      <c r="R101" s="214"/>
      <c r="S101" s="214"/>
      <c r="T101" s="219"/>
    </row>
    <row r="102" spans="1:20" s="213" customFormat="1" x14ac:dyDescent="0.25">
      <c r="A102" s="308">
        <f>'A) Base RI'!A103</f>
        <v>5559</v>
      </c>
      <c r="B102" s="226" t="str">
        <f>'A) Base RI'!B103</f>
        <v>Giez</v>
      </c>
      <c r="C102" s="242">
        <v>0</v>
      </c>
      <c r="D102" s="215">
        <f>'B) D RI'!AA103</f>
        <v>414</v>
      </c>
      <c r="E102" s="216">
        <f>'B) D RI'!S103</f>
        <v>66</v>
      </c>
      <c r="F102" s="10">
        <f>'B) D RI'!R103</f>
        <v>1115242.8300000003</v>
      </c>
      <c r="G102" s="10">
        <f>'B) D RI'!U103</f>
        <v>16897.618636363641</v>
      </c>
      <c r="H102" s="41">
        <f>'B) D RI'!T103</f>
        <v>1022138.2300000002</v>
      </c>
      <c r="I102" s="10">
        <f t="shared" si="12"/>
        <v>30973.885757575765</v>
      </c>
      <c r="J102" s="31">
        <f t="shared" ref="J102:J133" si="14">+$I$315/$D$315*D102</f>
        <v>36854.358178691655</v>
      </c>
      <c r="K102" s="10">
        <f t="shared" si="9"/>
        <v>30973.885757575765</v>
      </c>
      <c r="L102" s="10">
        <f t="shared" si="13"/>
        <v>5880.47242111589</v>
      </c>
      <c r="M102" s="10">
        <f>'D) Ecrêtage'!C101</f>
        <v>16897.618636363641</v>
      </c>
      <c r="N102" s="10">
        <f t="shared" si="10"/>
        <v>19848.801852639586</v>
      </c>
      <c r="O102" s="55">
        <f t="shared" si="11"/>
        <v>50822.687610215347</v>
      </c>
      <c r="P102" s="217"/>
      <c r="Q102" s="218"/>
      <c r="R102" s="214"/>
      <c r="S102" s="214"/>
      <c r="T102" s="219"/>
    </row>
    <row r="103" spans="1:20" s="213" customFormat="1" x14ac:dyDescent="0.25">
      <c r="A103" s="308">
        <f>'A) Base RI'!A104</f>
        <v>5560</v>
      </c>
      <c r="B103" s="226" t="str">
        <f>'A) Base RI'!B104</f>
        <v>Grandevent</v>
      </c>
      <c r="C103" s="242">
        <v>0</v>
      </c>
      <c r="D103" s="215">
        <f>'B) D RI'!AA104</f>
        <v>226</v>
      </c>
      <c r="E103" s="216">
        <f>'B) D RI'!S104</f>
        <v>68</v>
      </c>
      <c r="F103" s="10">
        <f>'B) D RI'!R104</f>
        <v>419416.91000000003</v>
      </c>
      <c r="G103" s="10">
        <f>'B) D RI'!U104</f>
        <v>6167.8957352941179</v>
      </c>
      <c r="H103" s="41">
        <f>'B) D RI'!T104</f>
        <v>376064.96</v>
      </c>
      <c r="I103" s="10">
        <f t="shared" si="12"/>
        <v>11060.73411764706</v>
      </c>
      <c r="J103" s="31">
        <f t="shared" si="14"/>
        <v>20118.562677256796</v>
      </c>
      <c r="K103" s="10">
        <f t="shared" si="9"/>
        <v>11060.73411764706</v>
      </c>
      <c r="L103" s="10">
        <f t="shared" si="13"/>
        <v>9057.8285596097357</v>
      </c>
      <c r="M103" s="10">
        <f>'D) Ecrêtage'!C102</f>
        <v>6167.8957352941179</v>
      </c>
      <c r="N103" s="10">
        <f t="shared" si="10"/>
        <v>7245.1238800084293</v>
      </c>
      <c r="O103" s="55">
        <f t="shared" si="11"/>
        <v>18305.85799765549</v>
      </c>
      <c r="P103" s="217"/>
      <c r="Q103" s="218"/>
      <c r="R103" s="214"/>
      <c r="S103" s="214"/>
      <c r="T103" s="219"/>
    </row>
    <row r="104" spans="1:20" s="213" customFormat="1" x14ac:dyDescent="0.25">
      <c r="A104" s="308">
        <f>'A) Base RI'!A105</f>
        <v>5561</v>
      </c>
      <c r="B104" s="226" t="str">
        <f>'A) Base RI'!B105</f>
        <v>Grandson</v>
      </c>
      <c r="C104" s="242">
        <v>0</v>
      </c>
      <c r="D104" s="215">
        <f>'B) D RI'!AA105</f>
        <v>3356</v>
      </c>
      <c r="E104" s="216">
        <f>'B) D RI'!S105</f>
        <v>69</v>
      </c>
      <c r="F104" s="10">
        <f>'B) D RI'!R105</f>
        <v>7917965.2699999996</v>
      </c>
      <c r="G104" s="10">
        <f>'B) D RI'!U105</f>
        <v>114753.11985507245</v>
      </c>
      <c r="H104" s="41">
        <f>'B) D RI'!T105</f>
        <v>7252796.0699999994</v>
      </c>
      <c r="I104" s="10">
        <f t="shared" si="12"/>
        <v>210225.97304347824</v>
      </c>
      <c r="J104" s="31">
        <f t="shared" si="14"/>
        <v>298751.75373837969</v>
      </c>
      <c r="K104" s="10">
        <f t="shared" si="9"/>
        <v>210225.97304347824</v>
      </c>
      <c r="L104" s="10">
        <f t="shared" si="13"/>
        <v>88525.780694901448</v>
      </c>
      <c r="M104" s="10">
        <f>'D) Ecrêtage'!C103</f>
        <v>114753.11985507245</v>
      </c>
      <c r="N104" s="10">
        <f t="shared" si="10"/>
        <v>134794.84813758923</v>
      </c>
      <c r="O104" s="55">
        <f t="shared" si="11"/>
        <v>345020.8211810675</v>
      </c>
      <c r="P104" s="217"/>
      <c r="Q104" s="218"/>
      <c r="R104" s="214"/>
      <c r="S104" s="214"/>
      <c r="T104" s="219"/>
    </row>
    <row r="105" spans="1:20" s="213" customFormat="1" x14ac:dyDescent="0.25">
      <c r="A105" s="308">
        <f>'A) Base RI'!A106</f>
        <v>5562</v>
      </c>
      <c r="B105" s="226" t="str">
        <f>'A) Base RI'!B106</f>
        <v>Mauborget</v>
      </c>
      <c r="C105" s="242">
        <v>0</v>
      </c>
      <c r="D105" s="215">
        <f>'B) D RI'!AA106</f>
        <v>128</v>
      </c>
      <c r="E105" s="216">
        <f>'B) D RI'!S106</f>
        <v>70</v>
      </c>
      <c r="F105" s="10">
        <f>'B) D RI'!R106</f>
        <v>422601.02</v>
      </c>
      <c r="G105" s="10">
        <f>'B) D RI'!U106</f>
        <v>6037.1574285714287</v>
      </c>
      <c r="H105" s="41">
        <f>'B) D RI'!T106</f>
        <v>389287.52</v>
      </c>
      <c r="I105" s="10">
        <f t="shared" si="12"/>
        <v>11122.500571428573</v>
      </c>
      <c r="J105" s="31">
        <f t="shared" si="14"/>
        <v>11394.58417118969</v>
      </c>
      <c r="K105" s="10">
        <f t="shared" si="9"/>
        <v>11122.500571428573</v>
      </c>
      <c r="L105" s="10">
        <f t="shared" si="13"/>
        <v>272.08359976111751</v>
      </c>
      <c r="M105" s="10">
        <f>'D) Ecrêtage'!C104</f>
        <v>6037.1574285714287</v>
      </c>
      <c r="N105" s="10">
        <f t="shared" si="10"/>
        <v>7091.5520187578841</v>
      </c>
      <c r="O105" s="55">
        <f t="shared" si="11"/>
        <v>18214.052590186457</v>
      </c>
      <c r="P105" s="217"/>
      <c r="Q105" s="218"/>
      <c r="R105" s="214"/>
      <c r="S105" s="214"/>
      <c r="T105" s="219"/>
    </row>
    <row r="106" spans="1:20" s="213" customFormat="1" x14ac:dyDescent="0.25">
      <c r="A106" s="308">
        <f>'A) Base RI'!A107</f>
        <v>5563</v>
      </c>
      <c r="B106" s="226" t="str">
        <f>'A) Base RI'!B107</f>
        <v>Mutrux</v>
      </c>
      <c r="C106" s="242">
        <v>0</v>
      </c>
      <c r="D106" s="215">
        <f>'B) D RI'!AA107</f>
        <v>149</v>
      </c>
      <c r="E106" s="216">
        <f>'B) D RI'!S107</f>
        <v>80</v>
      </c>
      <c r="F106" s="10">
        <f>'B) D RI'!R107</f>
        <v>325886.59999999998</v>
      </c>
      <c r="G106" s="10">
        <f>'B) D RI'!U107</f>
        <v>4073.5824999999995</v>
      </c>
      <c r="H106" s="41">
        <f>'B) D RI'!T107</f>
        <v>303528.05</v>
      </c>
      <c r="I106" s="10">
        <f t="shared" si="12"/>
        <v>7588.2012500000001</v>
      </c>
      <c r="J106" s="31">
        <f t="shared" si="14"/>
        <v>13264.008136775499</v>
      </c>
      <c r="K106" s="10">
        <f t="shared" si="9"/>
        <v>7588.2012500000001</v>
      </c>
      <c r="L106" s="10">
        <f t="shared" si="13"/>
        <v>5675.8068867754992</v>
      </c>
      <c r="M106" s="10">
        <f>'D) Ecrêtage'!C105</f>
        <v>4073.5824999999995</v>
      </c>
      <c r="N106" s="10">
        <f t="shared" si="10"/>
        <v>4785.037087940831</v>
      </c>
      <c r="O106" s="55">
        <f t="shared" si="11"/>
        <v>12373.238337940831</v>
      </c>
      <c r="P106" s="217"/>
      <c r="Q106" s="218"/>
      <c r="R106" s="214"/>
      <c r="S106" s="214"/>
      <c r="T106" s="219"/>
    </row>
    <row r="107" spans="1:20" s="213" customFormat="1" x14ac:dyDescent="0.25">
      <c r="A107" s="308">
        <f>'A) Base RI'!A108</f>
        <v>5564</v>
      </c>
      <c r="B107" s="226" t="str">
        <f>'A) Base RI'!B108</f>
        <v>Novalles</v>
      </c>
      <c r="C107" s="242">
        <v>0</v>
      </c>
      <c r="D107" s="215">
        <f>'B) D RI'!AA108</f>
        <v>99</v>
      </c>
      <c r="E107" s="216">
        <f>'B) D RI'!S108</f>
        <v>76</v>
      </c>
      <c r="F107" s="10">
        <f>'B) D RI'!R108</f>
        <v>158954.33749999999</v>
      </c>
      <c r="G107" s="10">
        <f>'B) D RI'!U108</f>
        <v>2091.5044407894734</v>
      </c>
      <c r="H107" s="41">
        <f>'B) D RI'!T108</f>
        <v>145271.9</v>
      </c>
      <c r="I107" s="10">
        <f t="shared" si="12"/>
        <v>3822.9447368421052</v>
      </c>
      <c r="J107" s="31">
        <f t="shared" si="14"/>
        <v>8812.9986949045251</v>
      </c>
      <c r="K107" s="10">
        <f t="shared" si="9"/>
        <v>3822.9447368421052</v>
      </c>
      <c r="L107" s="10">
        <f t="shared" si="13"/>
        <v>4990.05395806242</v>
      </c>
      <c r="M107" s="10">
        <f>'D) Ecrêtage'!C106</f>
        <v>2091.5044407894734</v>
      </c>
      <c r="N107" s="10">
        <f t="shared" si="10"/>
        <v>2456.7874392553922</v>
      </c>
      <c r="O107" s="55">
        <f t="shared" si="11"/>
        <v>6279.7321760974974</v>
      </c>
      <c r="P107" s="217"/>
      <c r="Q107" s="218"/>
      <c r="R107" s="214"/>
      <c r="S107" s="214"/>
      <c r="T107" s="219"/>
    </row>
    <row r="108" spans="1:20" s="213" customFormat="1" x14ac:dyDescent="0.25">
      <c r="A108" s="308">
        <f>'A) Base RI'!A109</f>
        <v>5565</v>
      </c>
      <c r="B108" s="226" t="str">
        <f>'A) Base RI'!B109</f>
        <v>Onnens</v>
      </c>
      <c r="C108" s="242">
        <v>0</v>
      </c>
      <c r="D108" s="215">
        <f>'B) D RI'!AA109</f>
        <v>505</v>
      </c>
      <c r="E108" s="216">
        <f>'B) D RI'!S109</f>
        <v>63.5</v>
      </c>
      <c r="F108" s="10">
        <f>'B) D RI'!R109</f>
        <v>1250351.9600000002</v>
      </c>
      <c r="G108" s="10">
        <f>'B) D RI'!U109</f>
        <v>19690.582047244097</v>
      </c>
      <c r="H108" s="41">
        <f>'B) D RI'!T109</f>
        <v>1093918.5100000002</v>
      </c>
      <c r="I108" s="10">
        <f t="shared" si="12"/>
        <v>34454.126299212607</v>
      </c>
      <c r="J108" s="31">
        <f t="shared" si="14"/>
        <v>44955.195362896826</v>
      </c>
      <c r="K108" s="10">
        <f t="shared" si="9"/>
        <v>34454.126299212607</v>
      </c>
      <c r="L108" s="10">
        <f t="shared" si="13"/>
        <v>10501.069063684219</v>
      </c>
      <c r="M108" s="10">
        <f>'D) Ecrêtage'!C107</f>
        <v>19690.582047244097</v>
      </c>
      <c r="N108" s="10">
        <f t="shared" si="10"/>
        <v>23129.558657325564</v>
      </c>
      <c r="O108" s="55">
        <f t="shared" si="11"/>
        <v>57583.684956538171</v>
      </c>
      <c r="P108" s="217"/>
      <c r="Q108" s="218"/>
      <c r="R108" s="214"/>
      <c r="S108" s="214"/>
      <c r="T108" s="219"/>
    </row>
    <row r="109" spans="1:20" s="213" customFormat="1" x14ac:dyDescent="0.25">
      <c r="A109" s="308">
        <f>'A) Base RI'!A110</f>
        <v>5566</v>
      </c>
      <c r="B109" s="226" t="str">
        <f>'A) Base RI'!B110</f>
        <v>Provence</v>
      </c>
      <c r="C109" s="242">
        <v>0</v>
      </c>
      <c r="D109" s="215">
        <f>'B) D RI'!AA110</f>
        <v>392</v>
      </c>
      <c r="E109" s="216">
        <f>'B) D RI'!S110</f>
        <v>81</v>
      </c>
      <c r="F109" s="10">
        <f>'B) D RI'!R110</f>
        <v>615497.54333333322</v>
      </c>
      <c r="G109" s="10">
        <f>'B) D RI'!U110</f>
        <v>7598.735102880657</v>
      </c>
      <c r="H109" s="41">
        <f>'B) D RI'!T110</f>
        <v>558440.05999999994</v>
      </c>
      <c r="I109" s="10">
        <f t="shared" si="12"/>
        <v>13788.643456790121</v>
      </c>
      <c r="J109" s="31">
        <f t="shared" si="14"/>
        <v>34895.914024268423</v>
      </c>
      <c r="K109" s="10">
        <f t="shared" si="9"/>
        <v>13788.643456790121</v>
      </c>
      <c r="L109" s="10">
        <f t="shared" si="13"/>
        <v>21107.270567478299</v>
      </c>
      <c r="M109" s="10">
        <f>'D) Ecrêtage'!C108</f>
        <v>7598.735102880657</v>
      </c>
      <c r="N109" s="10">
        <f t="shared" si="10"/>
        <v>8925.8605389044733</v>
      </c>
      <c r="O109" s="55">
        <f t="shared" si="11"/>
        <v>22714.503995694595</v>
      </c>
      <c r="P109" s="217"/>
      <c r="Q109" s="218"/>
      <c r="R109" s="214"/>
      <c r="S109" s="214"/>
      <c r="T109" s="219"/>
    </row>
    <row r="110" spans="1:20" s="213" customFormat="1" x14ac:dyDescent="0.25">
      <c r="A110" s="308">
        <f>'A) Base RI'!A111</f>
        <v>5568</v>
      </c>
      <c r="B110" s="226" t="str">
        <f>'A) Base RI'!B111</f>
        <v>Sainte-Croix</v>
      </c>
      <c r="C110" s="242">
        <v>0</v>
      </c>
      <c r="D110" s="215">
        <f>'B) D RI'!AA111</f>
        <v>4917</v>
      </c>
      <c r="E110" s="216">
        <f>'B) D RI'!S111</f>
        <v>70</v>
      </c>
      <c r="F110" s="10">
        <f>'B) D RI'!R111</f>
        <v>7456083.3399999999</v>
      </c>
      <c r="G110" s="10">
        <f>'B) D RI'!U111</f>
        <v>106515.47628571428</v>
      </c>
      <c r="H110" s="41">
        <f>'B) D RI'!T111</f>
        <v>6775594.6899999995</v>
      </c>
      <c r="I110" s="10">
        <f t="shared" si="12"/>
        <v>193588.4197142857</v>
      </c>
      <c r="J110" s="31">
        <f t="shared" si="14"/>
        <v>437712.26851359144</v>
      </c>
      <c r="K110" s="10">
        <f t="shared" si="9"/>
        <v>193588.4197142857</v>
      </c>
      <c r="L110" s="10">
        <f t="shared" si="13"/>
        <v>244123.84879930574</v>
      </c>
      <c r="M110" s="10">
        <f>'D) Ecrêtage'!C109</f>
        <v>106515.47628571428</v>
      </c>
      <c r="N110" s="10">
        <f t="shared" si="10"/>
        <v>125118.49323459754</v>
      </c>
      <c r="O110" s="55">
        <f t="shared" si="11"/>
        <v>318706.91294888326</v>
      </c>
      <c r="P110" s="217"/>
      <c r="Q110" s="218"/>
      <c r="R110" s="214"/>
      <c r="S110" s="214"/>
      <c r="T110" s="219"/>
    </row>
    <row r="111" spans="1:20" s="213" customFormat="1" x14ac:dyDescent="0.25">
      <c r="A111" s="308">
        <f>'A) Base RI'!A112</f>
        <v>5571</v>
      </c>
      <c r="B111" s="226" t="str">
        <f>'A) Base RI'!B112</f>
        <v>Tévenon</v>
      </c>
      <c r="C111" s="242">
        <v>0</v>
      </c>
      <c r="D111" s="215">
        <f>'B) D RI'!AA112</f>
        <v>894</v>
      </c>
      <c r="E111" s="216">
        <f>'B) D RI'!S112</f>
        <v>71.5</v>
      </c>
      <c r="F111" s="10">
        <f>'B) D RI'!R112</f>
        <v>1528676.2366666668</v>
      </c>
      <c r="G111" s="10">
        <f>'B) D RI'!U112</f>
        <v>21380.087226107229</v>
      </c>
      <c r="H111" s="41">
        <f>'B) D RI'!T112</f>
        <v>1353436.87</v>
      </c>
      <c r="I111" s="10">
        <f t="shared" si="12"/>
        <v>37858.37398601399</v>
      </c>
      <c r="J111" s="31">
        <f t="shared" si="14"/>
        <v>79584.048820652999</v>
      </c>
      <c r="K111" s="10">
        <f t="shared" si="9"/>
        <v>37858.37398601399</v>
      </c>
      <c r="L111" s="10">
        <f t="shared" si="13"/>
        <v>41725.674834639009</v>
      </c>
      <c r="M111" s="10">
        <f>'D) Ecrêtage'!C110</f>
        <v>21380.087226107229</v>
      </c>
      <c r="N111" s="10">
        <f t="shared" si="10"/>
        <v>25114.137327606131</v>
      </c>
      <c r="O111" s="55">
        <f t="shared" si="11"/>
        <v>62972.511313620125</v>
      </c>
      <c r="P111" s="217"/>
      <c r="Q111" s="218"/>
      <c r="R111" s="214"/>
      <c r="S111" s="214"/>
      <c r="T111" s="219"/>
    </row>
    <row r="112" spans="1:20" s="213" customFormat="1" x14ac:dyDescent="0.25">
      <c r="A112" s="308">
        <f>'A) Base RI'!A113</f>
        <v>5581</v>
      </c>
      <c r="B112" s="226" t="str">
        <f>'A) Base RI'!B113</f>
        <v>Belmont-sur-Lausanne</v>
      </c>
      <c r="C112" s="242">
        <v>1</v>
      </c>
      <c r="D112" s="215">
        <f>'B) D RI'!AA113</f>
        <v>3756</v>
      </c>
      <c r="E112" s="216">
        <f>'B) D RI'!S113</f>
        <v>72</v>
      </c>
      <c r="F112" s="10">
        <f>'B) D RI'!R113</f>
        <v>15296086.849999998</v>
      </c>
      <c r="G112" s="10">
        <f>'B) D RI'!U113</f>
        <v>212445.65069444443</v>
      </c>
      <c r="H112" s="41">
        <f>'B) D RI'!T113</f>
        <v>14313110.399999999</v>
      </c>
      <c r="I112" s="10">
        <f t="shared" si="12"/>
        <v>397586.39999999997</v>
      </c>
      <c r="J112" s="31">
        <f t="shared" si="14"/>
        <v>334359.82927334745</v>
      </c>
      <c r="K112" s="10">
        <f t="shared" si="9"/>
        <v>0</v>
      </c>
      <c r="L112" s="10">
        <f t="shared" si="13"/>
        <v>334359.82927334745</v>
      </c>
      <c r="M112" s="10">
        <f>'D) Ecrêtage'!C111</f>
        <v>212445.65069444443</v>
      </c>
      <c r="N112" s="10">
        <f t="shared" si="10"/>
        <v>249549.4611302556</v>
      </c>
      <c r="O112" s="55">
        <f t="shared" si="11"/>
        <v>249549.4611302556</v>
      </c>
      <c r="P112" s="217"/>
      <c r="Q112" s="218"/>
      <c r="R112" s="214"/>
      <c r="S112" s="214"/>
      <c r="T112" s="219"/>
    </row>
    <row r="113" spans="1:20" s="213" customFormat="1" x14ac:dyDescent="0.25">
      <c r="A113" s="308">
        <f>'A) Base RI'!A114</f>
        <v>5582</v>
      </c>
      <c r="B113" s="226" t="str">
        <f>'A) Base RI'!B114</f>
        <v>Cheseaux-sur-Lausanne</v>
      </c>
      <c r="C113" s="242">
        <v>0</v>
      </c>
      <c r="D113" s="215">
        <f>'B) D RI'!AA114</f>
        <v>4367</v>
      </c>
      <c r="E113" s="216">
        <f>'B) D RI'!S114</f>
        <v>73</v>
      </c>
      <c r="F113" s="10">
        <f>'B) D RI'!R114</f>
        <v>11955961.449999999</v>
      </c>
      <c r="G113" s="10">
        <f>'B) D RI'!U114</f>
        <v>163780.29383561644</v>
      </c>
      <c r="H113" s="41">
        <f>'B) D RI'!T114</f>
        <v>10952818.35</v>
      </c>
      <c r="I113" s="10">
        <f t="shared" si="12"/>
        <v>300077.21506849315</v>
      </c>
      <c r="J113" s="31">
        <f t="shared" si="14"/>
        <v>388751.16465301078</v>
      </c>
      <c r="K113" s="10">
        <f t="shared" si="9"/>
        <v>300077.21506849315</v>
      </c>
      <c r="L113" s="10">
        <f t="shared" si="13"/>
        <v>88673.949584517628</v>
      </c>
      <c r="M113" s="10">
        <f>'D) Ecrêtage'!C112</f>
        <v>163780.29383561644</v>
      </c>
      <c r="N113" s="10">
        <f t="shared" si="10"/>
        <v>192384.65902612056</v>
      </c>
      <c r="O113" s="55">
        <f t="shared" si="11"/>
        <v>492461.87409461371</v>
      </c>
      <c r="P113" s="217"/>
      <c r="Q113" s="218"/>
      <c r="R113" s="214"/>
      <c r="S113" s="214"/>
      <c r="T113" s="219"/>
    </row>
    <row r="114" spans="1:20" s="213" customFormat="1" x14ac:dyDescent="0.25">
      <c r="A114" s="308">
        <f>'A) Base RI'!A115</f>
        <v>5583</v>
      </c>
      <c r="B114" s="226" t="str">
        <f>'A) Base RI'!B115</f>
        <v>Crissier</v>
      </c>
      <c r="C114" s="242">
        <v>1</v>
      </c>
      <c r="D114" s="215">
        <f>'B) D RI'!AA115</f>
        <v>8700</v>
      </c>
      <c r="E114" s="216">
        <f>'B) D RI'!S115</f>
        <v>63.5</v>
      </c>
      <c r="F114" s="10">
        <f>'B) D RI'!R115</f>
        <v>23374052.169999994</v>
      </c>
      <c r="G114" s="10">
        <f>'B) D RI'!U115</f>
        <v>368095.30976377946</v>
      </c>
      <c r="H114" s="41">
        <f>'B) D RI'!T115</f>
        <v>20542870.769999996</v>
      </c>
      <c r="I114" s="10">
        <f t="shared" si="12"/>
        <v>647019.5518110235</v>
      </c>
      <c r="J114" s="31">
        <f t="shared" si="14"/>
        <v>774475.64288554923</v>
      </c>
      <c r="K114" s="10">
        <f t="shared" si="9"/>
        <v>0</v>
      </c>
      <c r="L114" s="10">
        <f t="shared" si="13"/>
        <v>774475.64288554923</v>
      </c>
      <c r="M114" s="10">
        <f>'D) Ecrêtage'!C113</f>
        <v>368095.30976377946</v>
      </c>
      <c r="N114" s="10">
        <f t="shared" si="10"/>
        <v>432383.46323334647</v>
      </c>
      <c r="O114" s="55">
        <f t="shared" si="11"/>
        <v>432383.46323334647</v>
      </c>
      <c r="P114" s="217"/>
      <c r="Q114" s="218"/>
      <c r="R114" s="214"/>
      <c r="S114" s="214"/>
      <c r="T114" s="219"/>
    </row>
    <row r="115" spans="1:20" s="213" customFormat="1" x14ac:dyDescent="0.25">
      <c r="A115" s="308">
        <f>'A) Base RI'!A116</f>
        <v>5584</v>
      </c>
      <c r="B115" s="226" t="str">
        <f>'A) Base RI'!B116</f>
        <v>Epalinges</v>
      </c>
      <c r="C115" s="242">
        <v>0</v>
      </c>
      <c r="D115" s="215">
        <f>'B) D RI'!AA116</f>
        <v>9755</v>
      </c>
      <c r="E115" s="216">
        <f>'B) D RI'!S116</f>
        <v>64.5</v>
      </c>
      <c r="F115" s="10">
        <f>'B) D RI'!R116</f>
        <v>31096476.68</v>
      </c>
      <c r="G115" s="10">
        <f>'B) D RI'!U116</f>
        <v>482115.91751937981</v>
      </c>
      <c r="H115" s="41">
        <f>'B) D RI'!T116</f>
        <v>28524076.280000001</v>
      </c>
      <c r="I115" s="10">
        <f t="shared" si="12"/>
        <v>884467.48155038769</v>
      </c>
      <c r="J115" s="31">
        <f t="shared" si="14"/>
        <v>868391.94210902683</v>
      </c>
      <c r="K115" s="10">
        <f t="shared" si="9"/>
        <v>868391.94210902683</v>
      </c>
      <c r="L115" s="10">
        <f t="shared" si="13"/>
        <v>0</v>
      </c>
      <c r="M115" s="10">
        <f>'D) Ecrêtage'!C114</f>
        <v>482115.91751937981</v>
      </c>
      <c r="N115" s="10">
        <f t="shared" si="10"/>
        <v>566317.86542112625</v>
      </c>
      <c r="O115" s="55">
        <f t="shared" si="11"/>
        <v>1434709.8075301531</v>
      </c>
      <c r="P115" s="217"/>
      <c r="Q115" s="218"/>
      <c r="R115" s="214"/>
      <c r="S115" s="214"/>
      <c r="T115" s="219"/>
    </row>
    <row r="116" spans="1:20" s="213" customFormat="1" x14ac:dyDescent="0.25">
      <c r="A116" s="308">
        <f>'A) Base RI'!A117</f>
        <v>5585</v>
      </c>
      <c r="B116" s="226" t="str">
        <f>'A) Base RI'!B117</f>
        <v>Jouxtens-Mézery</v>
      </c>
      <c r="C116" s="242">
        <v>0</v>
      </c>
      <c r="D116" s="215">
        <f>'B) D RI'!AA117</f>
        <v>1411</v>
      </c>
      <c r="E116" s="216">
        <f>'B) D RI'!S117</f>
        <v>59</v>
      </c>
      <c r="F116" s="10">
        <f>'B) D RI'!R117</f>
        <v>11946790.310000001</v>
      </c>
      <c r="G116" s="10">
        <f>'B) D RI'!U117</f>
        <v>202487.97135593221</v>
      </c>
      <c r="H116" s="41">
        <f>'B) D RI'!T117</f>
        <v>11369391.360000001</v>
      </c>
      <c r="I116" s="10">
        <f t="shared" si="12"/>
        <v>385403.09694915259</v>
      </c>
      <c r="J116" s="31">
        <f t="shared" si="14"/>
        <v>125607.48644959884</v>
      </c>
      <c r="K116" s="10">
        <f t="shared" si="9"/>
        <v>125607.48644959884</v>
      </c>
      <c r="L116" s="10">
        <f t="shared" si="13"/>
        <v>0</v>
      </c>
      <c r="M116" s="10">
        <f>'D) Ecrêtage'!C115</f>
        <v>202487.97135593221</v>
      </c>
      <c r="N116" s="10">
        <f t="shared" si="10"/>
        <v>237852.66477358353</v>
      </c>
      <c r="O116" s="55">
        <f t="shared" si="11"/>
        <v>363460.15122318239</v>
      </c>
      <c r="P116" s="217"/>
      <c r="Q116" s="218"/>
      <c r="R116" s="214"/>
      <c r="S116" s="214"/>
      <c r="T116" s="219"/>
    </row>
    <row r="117" spans="1:20" s="213" customFormat="1" x14ac:dyDescent="0.25">
      <c r="A117" s="308">
        <f>'A) Base RI'!A118</f>
        <v>5586</v>
      </c>
      <c r="B117" s="226" t="str">
        <f>'A) Base RI'!B118</f>
        <v>Lausanne</v>
      </c>
      <c r="C117" s="242">
        <v>1</v>
      </c>
      <c r="D117" s="215">
        <f>'B) D RI'!AA118</f>
        <v>140430</v>
      </c>
      <c r="E117" s="216">
        <f>'B) D RI'!S118</f>
        <v>78.5</v>
      </c>
      <c r="F117" s="10">
        <f>'B) D RI'!R118</f>
        <v>492380595.98666668</v>
      </c>
      <c r="G117" s="10">
        <f>'B) D RI'!U118</f>
        <v>6272364.2800849257</v>
      </c>
      <c r="H117" s="41">
        <f>'B) D RI'!T118</f>
        <v>457062327.97000003</v>
      </c>
      <c r="I117" s="10">
        <f t="shared" si="12"/>
        <v>11644900.075668791</v>
      </c>
      <c r="J117" s="31">
        <f t="shared" si="14"/>
        <v>12501105.118438814</v>
      </c>
      <c r="K117" s="10">
        <f t="shared" si="9"/>
        <v>0</v>
      </c>
      <c r="L117" s="10">
        <f t="shared" si="13"/>
        <v>12501105.118438814</v>
      </c>
      <c r="M117" s="10">
        <f>'D) Ecrêtage'!C116</f>
        <v>6272364.2800849257</v>
      </c>
      <c r="N117" s="10">
        <f t="shared" si="10"/>
        <v>7367837.9434519028</v>
      </c>
      <c r="O117" s="55">
        <f t="shared" si="11"/>
        <v>7367837.9434519028</v>
      </c>
      <c r="P117" s="217"/>
      <c r="Q117" s="218"/>
      <c r="R117" s="214"/>
      <c r="S117" s="214"/>
      <c r="T117" s="219"/>
    </row>
    <row r="118" spans="1:20" s="213" customFormat="1" x14ac:dyDescent="0.25">
      <c r="A118" s="308">
        <f>'A) Base RI'!A119</f>
        <v>5587</v>
      </c>
      <c r="B118" s="226" t="str">
        <f>'A) Base RI'!B119</f>
        <v>Le Mont-sur-Lausanne</v>
      </c>
      <c r="C118" s="242">
        <v>0</v>
      </c>
      <c r="D118" s="215">
        <f>'B) D RI'!AA119</f>
        <v>9136</v>
      </c>
      <c r="E118" s="216">
        <f>'B) D RI'!S119</f>
        <v>73.5</v>
      </c>
      <c r="F118" s="10">
        <f>'B) D RI'!R119</f>
        <v>32550264.400000002</v>
      </c>
      <c r="G118" s="10">
        <f>'B) D RI'!U119</f>
        <v>442860.74013605446</v>
      </c>
      <c r="H118" s="41">
        <f>'B) D RI'!T119</f>
        <v>29672403.900000002</v>
      </c>
      <c r="I118" s="10">
        <f t="shared" si="12"/>
        <v>807412.35102040821</v>
      </c>
      <c r="J118" s="31">
        <f t="shared" si="14"/>
        <v>813288.44521866413</v>
      </c>
      <c r="K118" s="10">
        <f t="shared" si="9"/>
        <v>807412.35102040821</v>
      </c>
      <c r="L118" s="10">
        <f t="shared" si="13"/>
        <v>5876.0941982559161</v>
      </c>
      <c r="M118" s="10">
        <f>'D) Ecrêtage'!C117</f>
        <v>442860.74013605446</v>
      </c>
      <c r="N118" s="10">
        <f t="shared" si="10"/>
        <v>520206.73850203044</v>
      </c>
      <c r="O118" s="55">
        <f t="shared" si="11"/>
        <v>1327619.0895224386</v>
      </c>
      <c r="P118" s="217"/>
      <c r="Q118" s="218"/>
      <c r="R118" s="214"/>
      <c r="S118" s="214"/>
      <c r="T118" s="219"/>
    </row>
    <row r="119" spans="1:20" s="213" customFormat="1" x14ac:dyDescent="0.25">
      <c r="A119" s="308">
        <f>'A) Base RI'!A120</f>
        <v>5588</v>
      </c>
      <c r="B119" s="226" t="str">
        <f>'A) Base RI'!B120</f>
        <v>Paudex</v>
      </c>
      <c r="C119" s="242">
        <v>1</v>
      </c>
      <c r="D119" s="215">
        <f>'B) D RI'!AA120</f>
        <v>1538</v>
      </c>
      <c r="E119" s="216">
        <f>'B) D RI'!S120</f>
        <v>66.5</v>
      </c>
      <c r="F119" s="10">
        <f>'B) D RI'!R120</f>
        <v>9007331.0757142864</v>
      </c>
      <c r="G119" s="10">
        <f>'B) D RI'!U120</f>
        <v>135448.58760472611</v>
      </c>
      <c r="H119" s="41">
        <f>'B) D RI'!T120</f>
        <v>8384746.7399999993</v>
      </c>
      <c r="I119" s="10">
        <f t="shared" si="12"/>
        <v>252172.83428571426</v>
      </c>
      <c r="J119" s="31">
        <f t="shared" si="14"/>
        <v>136913.05043195112</v>
      </c>
      <c r="K119" s="10">
        <f t="shared" si="9"/>
        <v>0</v>
      </c>
      <c r="L119" s="10">
        <f t="shared" si="13"/>
        <v>136913.05043195112</v>
      </c>
      <c r="M119" s="10">
        <f>'D) Ecrêtage'!C118</f>
        <v>135448.58760472611</v>
      </c>
      <c r="N119" s="10">
        <f t="shared" si="10"/>
        <v>159104.79662503881</v>
      </c>
      <c r="O119" s="55">
        <f t="shared" si="11"/>
        <v>159104.79662503881</v>
      </c>
      <c r="P119" s="217"/>
      <c r="Q119" s="218"/>
      <c r="R119" s="214"/>
      <c r="S119" s="214"/>
      <c r="T119" s="219"/>
    </row>
    <row r="120" spans="1:20" s="213" customFormat="1" x14ac:dyDescent="0.25">
      <c r="A120" s="308">
        <f>'A) Base RI'!A121</f>
        <v>5589</v>
      </c>
      <c r="B120" s="226" t="str">
        <f>'A) Base RI'!B121</f>
        <v>Prilly</v>
      </c>
      <c r="C120" s="242">
        <v>1</v>
      </c>
      <c r="D120" s="215">
        <f>'B) D RI'!AA121</f>
        <v>12383</v>
      </c>
      <c r="E120" s="216">
        <f>'B) D RI'!S121</f>
        <v>72.5</v>
      </c>
      <c r="F120" s="10">
        <f>'B) D RI'!R121</f>
        <v>32988748.789230771</v>
      </c>
      <c r="G120" s="10">
        <f>'B) D RI'!U121</f>
        <v>455017.22467904515</v>
      </c>
      <c r="H120" s="41">
        <f>'B) D RI'!T121</f>
        <v>30197298.420000002</v>
      </c>
      <c r="I120" s="10">
        <f t="shared" si="12"/>
        <v>833028.92193103454</v>
      </c>
      <c r="J120" s="31">
        <f t="shared" si="14"/>
        <v>1102336.998373765</v>
      </c>
      <c r="K120" s="10">
        <f t="shared" si="9"/>
        <v>0</v>
      </c>
      <c r="L120" s="10">
        <f t="shared" si="13"/>
        <v>1102336.998373765</v>
      </c>
      <c r="M120" s="10">
        <f>'D) Ecrêtage'!C119</f>
        <v>455017.22467904515</v>
      </c>
      <c r="N120" s="10">
        <f t="shared" si="10"/>
        <v>534486.36322969699</v>
      </c>
      <c r="O120" s="55">
        <f t="shared" si="11"/>
        <v>534486.36322969699</v>
      </c>
      <c r="P120" s="217"/>
      <c r="Q120" s="218"/>
      <c r="R120" s="214"/>
      <c r="S120" s="214"/>
      <c r="T120" s="219"/>
    </row>
    <row r="121" spans="1:20" s="213" customFormat="1" x14ac:dyDescent="0.25">
      <c r="A121" s="308">
        <f>'A) Base RI'!A122</f>
        <v>5590</v>
      </c>
      <c r="B121" s="226" t="str">
        <f>'A) Base RI'!B122</f>
        <v>Pully</v>
      </c>
      <c r="C121" s="242">
        <v>1</v>
      </c>
      <c r="D121" s="215">
        <f>'B) D RI'!AA122</f>
        <v>18688</v>
      </c>
      <c r="E121" s="216">
        <f>'B) D RI'!S122</f>
        <v>61</v>
      </c>
      <c r="F121" s="10">
        <f>'B) D RI'!R122</f>
        <v>90217754.675714284</v>
      </c>
      <c r="G121" s="10">
        <f>'B) D RI'!U122</f>
        <v>1478979.5848477751</v>
      </c>
      <c r="H121" s="41">
        <f>'B) D RI'!T122</f>
        <v>84563931.689999998</v>
      </c>
      <c r="I121" s="10">
        <f t="shared" si="12"/>
        <v>2772587.924262295</v>
      </c>
      <c r="J121" s="31">
        <f t="shared" si="14"/>
        <v>1663609.2889936948</v>
      </c>
      <c r="K121" s="10">
        <f t="shared" si="9"/>
        <v>0</v>
      </c>
      <c r="L121" s="10">
        <f t="shared" si="13"/>
        <v>1663609.2889936948</v>
      </c>
      <c r="M121" s="10">
        <f>'D) Ecrêtage'!C120</f>
        <v>1478979.5848477751</v>
      </c>
      <c r="N121" s="10">
        <f t="shared" si="10"/>
        <v>1737284.6053330053</v>
      </c>
      <c r="O121" s="55">
        <f t="shared" si="11"/>
        <v>1737284.6053330053</v>
      </c>
      <c r="P121" s="217"/>
      <c r="Q121" s="218"/>
      <c r="R121" s="214"/>
      <c r="S121" s="214"/>
      <c r="T121" s="219"/>
    </row>
    <row r="122" spans="1:20" s="213" customFormat="1" x14ac:dyDescent="0.25">
      <c r="A122" s="308">
        <f>'A) Base RI'!A123</f>
        <v>5591</v>
      </c>
      <c r="B122" s="226" t="str">
        <f>'A) Base RI'!B123</f>
        <v>Renens</v>
      </c>
      <c r="C122" s="242">
        <v>1</v>
      </c>
      <c r="D122" s="215">
        <f>'B) D RI'!AA123</f>
        <v>20863</v>
      </c>
      <c r="E122" s="216">
        <f>'B) D RI'!S123</f>
        <v>77</v>
      </c>
      <c r="F122" s="10">
        <f>'B) D RI'!R123</f>
        <v>45949642.418571427</v>
      </c>
      <c r="G122" s="10">
        <f>'B) D RI'!U123</f>
        <v>596748.60283858993</v>
      </c>
      <c r="H122" s="41">
        <f>'B) D RI'!T123</f>
        <v>41639022.340000004</v>
      </c>
      <c r="I122" s="10">
        <f t="shared" si="12"/>
        <v>1081533.0477922079</v>
      </c>
      <c r="J122" s="31">
        <f t="shared" si="14"/>
        <v>1857228.1997150821</v>
      </c>
      <c r="K122" s="10">
        <f t="shared" si="9"/>
        <v>0</v>
      </c>
      <c r="L122" s="10">
        <f t="shared" si="13"/>
        <v>1857228.1997150821</v>
      </c>
      <c r="M122" s="10">
        <f>'D) Ecrêtage'!C121</f>
        <v>596748.60283858993</v>
      </c>
      <c r="N122" s="10">
        <f t="shared" si="10"/>
        <v>700971.24503051699</v>
      </c>
      <c r="O122" s="55">
        <f t="shared" si="11"/>
        <v>700971.24503051699</v>
      </c>
      <c r="P122" s="217"/>
      <c r="Q122" s="218"/>
      <c r="R122" s="214"/>
      <c r="S122" s="214"/>
      <c r="T122" s="219"/>
    </row>
    <row r="123" spans="1:20" s="213" customFormat="1" x14ac:dyDescent="0.25">
      <c r="A123" s="308">
        <f>'A) Base RI'!A124</f>
        <v>5592</v>
      </c>
      <c r="B123" s="226" t="str">
        <f>'A) Base RI'!B124</f>
        <v>Romanel-sur-Lausanne</v>
      </c>
      <c r="C123" s="242">
        <v>0</v>
      </c>
      <c r="D123" s="215">
        <f>'B) D RI'!AA124</f>
        <v>3247</v>
      </c>
      <c r="E123" s="216">
        <f>'B) D RI'!S124</f>
        <v>70.5</v>
      </c>
      <c r="F123" s="10">
        <f>'B) D RI'!R124</f>
        <v>8551103.4099999983</v>
      </c>
      <c r="G123" s="10">
        <f>'B) D RI'!U124</f>
        <v>121292.24695035459</v>
      </c>
      <c r="H123" s="41">
        <f>'B) D RI'!T124</f>
        <v>7732822.8999999985</v>
      </c>
      <c r="I123" s="10">
        <f t="shared" si="12"/>
        <v>219370.86241134748</v>
      </c>
      <c r="J123" s="31">
        <f t="shared" si="14"/>
        <v>289048.55315510096</v>
      </c>
      <c r="K123" s="10">
        <f t="shared" si="9"/>
        <v>219370.86241134748</v>
      </c>
      <c r="L123" s="10">
        <f t="shared" si="13"/>
        <v>69677.690743753483</v>
      </c>
      <c r="M123" s="10">
        <f>'D) Ecrêtage'!C122</f>
        <v>121292.24695035459</v>
      </c>
      <c r="N123" s="10">
        <f t="shared" si="10"/>
        <v>142476.03924484772</v>
      </c>
      <c r="O123" s="55">
        <f t="shared" si="11"/>
        <v>361846.90165619517</v>
      </c>
      <c r="P123" s="217"/>
      <c r="Q123" s="218"/>
      <c r="R123" s="214"/>
      <c r="S123" s="214"/>
      <c r="T123" s="219"/>
    </row>
    <row r="124" spans="1:20" s="213" customFormat="1" x14ac:dyDescent="0.25">
      <c r="A124" s="308">
        <f>'A) Base RI'!A125</f>
        <v>5601</v>
      </c>
      <c r="B124" s="226" t="str">
        <f>'A) Base RI'!B125</f>
        <v>Chexbres</v>
      </c>
      <c r="C124" s="242">
        <v>1</v>
      </c>
      <c r="D124" s="215">
        <f>'B) D RI'!AA125</f>
        <v>2251</v>
      </c>
      <c r="E124" s="216">
        <f>'B) D RI'!S125</f>
        <v>67.5</v>
      </c>
      <c r="F124" s="10">
        <f>'B) D RI'!R125</f>
        <v>6619861.9900000002</v>
      </c>
      <c r="G124" s="10">
        <f>'B) D RI'!U125</f>
        <v>98072.029481481484</v>
      </c>
      <c r="H124" s="41">
        <f>'B) D RI'!T125</f>
        <v>6121752.3899999997</v>
      </c>
      <c r="I124" s="10">
        <f t="shared" si="12"/>
        <v>181385.25599999999</v>
      </c>
      <c r="J124" s="31">
        <f t="shared" si="14"/>
        <v>200384.44507303118</v>
      </c>
      <c r="K124" s="10">
        <f t="shared" si="9"/>
        <v>0</v>
      </c>
      <c r="L124" s="10">
        <f t="shared" si="13"/>
        <v>200384.44507303118</v>
      </c>
      <c r="M124" s="10">
        <f>'D) Ecrêtage'!C123</f>
        <v>98072.029481481484</v>
      </c>
      <c r="N124" s="10">
        <f t="shared" si="10"/>
        <v>115200.39138976946</v>
      </c>
      <c r="O124" s="55">
        <f t="shared" si="11"/>
        <v>115200.39138976946</v>
      </c>
      <c r="P124" s="217"/>
      <c r="Q124" s="218"/>
      <c r="R124" s="214"/>
      <c r="S124" s="214"/>
      <c r="T124" s="219"/>
    </row>
    <row r="125" spans="1:20" s="213" customFormat="1" x14ac:dyDescent="0.25">
      <c r="A125" s="308">
        <f>'A) Base RI'!A126</f>
        <v>5604</v>
      </c>
      <c r="B125" s="226" t="str">
        <f>'A) Base RI'!B126</f>
        <v>Forel (Lavaux)</v>
      </c>
      <c r="C125" s="242">
        <v>0</v>
      </c>
      <c r="D125" s="215">
        <f>'B) D RI'!AA126</f>
        <v>2105</v>
      </c>
      <c r="E125" s="216">
        <f>'B) D RI'!S126</f>
        <v>69</v>
      </c>
      <c r="F125" s="10">
        <f>'B) D RI'!R126</f>
        <v>4920384.1199999992</v>
      </c>
      <c r="G125" s="10">
        <f>'B) D RI'!U126</f>
        <v>71309.914782608685</v>
      </c>
      <c r="H125" s="41">
        <f>'B) D RI'!T126</f>
        <v>4494745.1199999992</v>
      </c>
      <c r="I125" s="10">
        <f t="shared" si="12"/>
        <v>130282.46724637679</v>
      </c>
      <c r="J125" s="31">
        <f t="shared" si="14"/>
        <v>187387.49750276795</v>
      </c>
      <c r="K125" s="10">
        <f t="shared" si="9"/>
        <v>130282.46724637679</v>
      </c>
      <c r="L125" s="10">
        <f t="shared" si="13"/>
        <v>57105.030256391154</v>
      </c>
      <c r="M125" s="10">
        <f>'D) Ecrêtage'!C124</f>
        <v>71309.914782608685</v>
      </c>
      <c r="N125" s="10">
        <f t="shared" si="10"/>
        <v>83764.250993488575</v>
      </c>
      <c r="O125" s="55">
        <f t="shared" si="11"/>
        <v>214046.71823986538</v>
      </c>
      <c r="P125" s="217"/>
      <c r="Q125" s="218"/>
      <c r="R125" s="214"/>
      <c r="S125" s="214"/>
      <c r="T125" s="219"/>
    </row>
    <row r="126" spans="1:20" s="213" customFormat="1" x14ac:dyDescent="0.25">
      <c r="A126" s="308">
        <f>'A) Base RI'!A127</f>
        <v>5606</v>
      </c>
      <c r="B126" s="226" t="str">
        <f>'A) Base RI'!B127</f>
        <v>Lutry</v>
      </c>
      <c r="C126" s="242">
        <v>1</v>
      </c>
      <c r="D126" s="215">
        <f>'B) D RI'!AA127</f>
        <v>10455</v>
      </c>
      <c r="E126" s="216">
        <f>'B) D RI'!S127</f>
        <v>54</v>
      </c>
      <c r="F126" s="10">
        <f>'B) D RI'!R127</f>
        <v>47262440.122857146</v>
      </c>
      <c r="G126" s="10">
        <f>'B) D RI'!U127</f>
        <v>875230.37264550268</v>
      </c>
      <c r="H126" s="41">
        <f>'B) D RI'!T127</f>
        <v>43927586.880000003</v>
      </c>
      <c r="I126" s="10">
        <f t="shared" si="12"/>
        <v>1626947.6622222224</v>
      </c>
      <c r="J126" s="31">
        <f t="shared" si="14"/>
        <v>930706.07429522043</v>
      </c>
      <c r="K126" s="10">
        <f t="shared" si="9"/>
        <v>0</v>
      </c>
      <c r="L126" s="10">
        <f t="shared" si="13"/>
        <v>930706.07429522043</v>
      </c>
      <c r="M126" s="10">
        <f>'D) Ecrêtage'!C125</f>
        <v>875230.37264550268</v>
      </c>
      <c r="N126" s="10">
        <f t="shared" si="10"/>
        <v>1028090.0886629901</v>
      </c>
      <c r="O126" s="55">
        <f t="shared" si="11"/>
        <v>1028090.0886629901</v>
      </c>
      <c r="P126" s="217"/>
      <c r="Q126" s="218"/>
      <c r="R126" s="214"/>
      <c r="S126" s="214"/>
      <c r="T126" s="219"/>
    </row>
    <row r="127" spans="1:20" s="213" customFormat="1" x14ac:dyDescent="0.25">
      <c r="A127" s="308">
        <f>'A) Base RI'!A128</f>
        <v>5607</v>
      </c>
      <c r="B127" s="226" t="str">
        <f>'A) Base RI'!B128</f>
        <v>Puidoux</v>
      </c>
      <c r="C127" s="242">
        <v>1</v>
      </c>
      <c r="D127" s="215">
        <f>'B) D RI'!AA128</f>
        <v>2894</v>
      </c>
      <c r="E127" s="216">
        <f>'B) D RI'!S128</f>
        <v>68.5</v>
      </c>
      <c r="F127" s="10">
        <f>'B) D RI'!R128</f>
        <v>7051730.7882608697</v>
      </c>
      <c r="G127" s="10">
        <f>'B) D RI'!U128</f>
        <v>102944.97501110758</v>
      </c>
      <c r="H127" s="41">
        <f>'B) D RI'!T128</f>
        <v>6225700.71</v>
      </c>
      <c r="I127" s="10">
        <f t="shared" si="12"/>
        <v>181772.28350364964</v>
      </c>
      <c r="J127" s="31">
        <f t="shared" si="14"/>
        <v>257624.42649549191</v>
      </c>
      <c r="K127" s="10">
        <f t="shared" si="9"/>
        <v>0</v>
      </c>
      <c r="L127" s="10">
        <f t="shared" si="13"/>
        <v>257624.42649549191</v>
      </c>
      <c r="M127" s="10">
        <f>'D) Ecrêtage'!C126</f>
        <v>102944.97501110758</v>
      </c>
      <c r="N127" s="10">
        <f t="shared" si="10"/>
        <v>120924.40092849277</v>
      </c>
      <c r="O127" s="55">
        <f t="shared" si="11"/>
        <v>120924.40092849277</v>
      </c>
      <c r="P127" s="217"/>
      <c r="Q127" s="218"/>
      <c r="R127" s="214"/>
      <c r="S127" s="214"/>
      <c r="T127" s="219"/>
    </row>
    <row r="128" spans="1:20" s="213" customFormat="1" x14ac:dyDescent="0.25">
      <c r="A128" s="308">
        <f>'A) Base RI'!A129</f>
        <v>5609</v>
      </c>
      <c r="B128" s="226" t="str">
        <f>'A) Base RI'!B129</f>
        <v>Rivaz</v>
      </c>
      <c r="C128" s="242">
        <v>1</v>
      </c>
      <c r="D128" s="215">
        <f>'B) D RI'!AA129</f>
        <v>337</v>
      </c>
      <c r="E128" s="216">
        <f>'B) D RI'!S129</f>
        <v>62</v>
      </c>
      <c r="F128" s="10">
        <f>'B) D RI'!R129</f>
        <v>995028.7300000001</v>
      </c>
      <c r="G128" s="10">
        <f>'B) D RI'!U129</f>
        <v>16048.850483870969</v>
      </c>
      <c r="H128" s="41">
        <f>'B) D RI'!T129</f>
        <v>935731.03</v>
      </c>
      <c r="I128" s="10">
        <f t="shared" si="12"/>
        <v>30184.871935483872</v>
      </c>
      <c r="J128" s="31">
        <f t="shared" si="14"/>
        <v>29999.803638210356</v>
      </c>
      <c r="K128" s="10">
        <f t="shared" si="9"/>
        <v>0</v>
      </c>
      <c r="L128" s="10">
        <f t="shared" si="13"/>
        <v>29999.803638210356</v>
      </c>
      <c r="M128" s="10">
        <f>'D) Ecrêtage'!C127</f>
        <v>16048.850483870969</v>
      </c>
      <c r="N128" s="10">
        <f t="shared" si="10"/>
        <v>18851.795632993744</v>
      </c>
      <c r="O128" s="55">
        <f t="shared" si="11"/>
        <v>18851.795632993744</v>
      </c>
      <c r="P128" s="217"/>
      <c r="Q128" s="218"/>
      <c r="R128" s="214"/>
      <c r="S128" s="214"/>
      <c r="T128" s="219"/>
    </row>
    <row r="129" spans="1:20" s="213" customFormat="1" x14ac:dyDescent="0.25">
      <c r="A129" s="308">
        <f>'A) Base RI'!A130</f>
        <v>5610</v>
      </c>
      <c r="B129" s="226" t="str">
        <f>'A) Base RI'!B130</f>
        <v>St-Saphorin (Lavaux)</v>
      </c>
      <c r="C129" s="242">
        <v>1</v>
      </c>
      <c r="D129" s="215">
        <f>'B) D RI'!AA130</f>
        <v>388</v>
      </c>
      <c r="E129" s="216">
        <f>'B) D RI'!S130</f>
        <v>72</v>
      </c>
      <c r="F129" s="10">
        <f>'B) D RI'!R130</f>
        <v>1383388.1066666665</v>
      </c>
      <c r="G129" s="10">
        <f>'B) D RI'!U130</f>
        <v>19213.723703703701</v>
      </c>
      <c r="H129" s="41">
        <f>'B) D RI'!T130</f>
        <v>1276432.5899999996</v>
      </c>
      <c r="I129" s="10">
        <f t="shared" si="12"/>
        <v>35456.460833333324</v>
      </c>
      <c r="J129" s="31">
        <f t="shared" si="14"/>
        <v>34539.833268918745</v>
      </c>
      <c r="K129" s="10">
        <f t="shared" si="9"/>
        <v>0</v>
      </c>
      <c r="L129" s="10">
        <f t="shared" si="13"/>
        <v>34539.833268918745</v>
      </c>
      <c r="M129" s="10">
        <f>'D) Ecrêtage'!C128</f>
        <v>19213.723703703701</v>
      </c>
      <c r="N129" s="10">
        <f t="shared" si="10"/>
        <v>22569.416605572635</v>
      </c>
      <c r="O129" s="55">
        <f t="shared" si="11"/>
        <v>22569.416605572635</v>
      </c>
      <c r="P129" s="217"/>
      <c r="Q129" s="218"/>
      <c r="R129" s="214"/>
      <c r="S129" s="214"/>
      <c r="T129" s="219"/>
    </row>
    <row r="130" spans="1:20" s="213" customFormat="1" x14ac:dyDescent="0.25">
      <c r="A130" s="308">
        <f>'A) Base RI'!A131</f>
        <v>5611</v>
      </c>
      <c r="B130" s="226" t="str">
        <f>'A) Base RI'!B131</f>
        <v>Savigny</v>
      </c>
      <c r="C130" s="242">
        <v>1</v>
      </c>
      <c r="D130" s="215">
        <f>'B) D RI'!AA131</f>
        <v>3348</v>
      </c>
      <c r="E130" s="216">
        <f>'B) D RI'!S131</f>
        <v>69</v>
      </c>
      <c r="F130" s="10">
        <f>'B) D RI'!R131</f>
        <v>9433358.3816666678</v>
      </c>
      <c r="G130" s="10">
        <f>'B) D RI'!U131</f>
        <v>136715.33886473431</v>
      </c>
      <c r="H130" s="41">
        <f>'B) D RI'!T131</f>
        <v>8745921.1900000013</v>
      </c>
      <c r="I130" s="10">
        <f t="shared" si="12"/>
        <v>253504.96202898555</v>
      </c>
      <c r="J130" s="31">
        <f t="shared" si="14"/>
        <v>298039.59222768032</v>
      </c>
      <c r="K130" s="10">
        <f t="shared" si="9"/>
        <v>0</v>
      </c>
      <c r="L130" s="10">
        <f t="shared" si="13"/>
        <v>298039.59222768032</v>
      </c>
      <c r="M130" s="10">
        <f>'D) Ecrêtage'!C129</f>
        <v>136715.33886473431</v>
      </c>
      <c r="N130" s="10">
        <f t="shared" si="10"/>
        <v>160592.78705123861</v>
      </c>
      <c r="O130" s="55">
        <f t="shared" si="11"/>
        <v>160592.78705123861</v>
      </c>
      <c r="P130" s="217"/>
      <c r="Q130" s="218"/>
      <c r="R130" s="214"/>
      <c r="S130" s="214"/>
      <c r="T130" s="219"/>
    </row>
    <row r="131" spans="1:20" s="213" customFormat="1" x14ac:dyDescent="0.25">
      <c r="A131" s="308">
        <f>'A) Base RI'!A132</f>
        <v>5613</v>
      </c>
      <c r="B131" s="226" t="str">
        <f>'A) Base RI'!B132</f>
        <v>Bourg-en-Lavaux</v>
      </c>
      <c r="C131" s="242">
        <v>1</v>
      </c>
      <c r="D131" s="215">
        <f>'B) D RI'!AA132</f>
        <v>5389</v>
      </c>
      <c r="E131" s="216">
        <f>'B) D RI'!S132</f>
        <v>62.5</v>
      </c>
      <c r="F131" s="10">
        <f>'B) D RI'!R132</f>
        <v>21489261.02</v>
      </c>
      <c r="G131" s="10">
        <f>'B) D RI'!U132</f>
        <v>343828.17631999997</v>
      </c>
      <c r="H131" s="41">
        <f>'B) D RI'!T132</f>
        <v>19982149.57</v>
      </c>
      <c r="I131" s="10">
        <f t="shared" si="12"/>
        <v>639428.78624000004</v>
      </c>
      <c r="J131" s="31">
        <f t="shared" si="14"/>
        <v>479729.79764485342</v>
      </c>
      <c r="K131" s="10">
        <f t="shared" si="9"/>
        <v>0</v>
      </c>
      <c r="L131" s="10">
        <f t="shared" si="13"/>
        <v>479729.79764485342</v>
      </c>
      <c r="M131" s="10">
        <f>'D) Ecrêtage'!C130</f>
        <v>343828.17631999997</v>
      </c>
      <c r="N131" s="10">
        <f t="shared" si="10"/>
        <v>403878.05465343082</v>
      </c>
      <c r="O131" s="55">
        <f t="shared" si="11"/>
        <v>403878.05465343082</v>
      </c>
      <c r="P131" s="217"/>
      <c r="Q131" s="218"/>
      <c r="R131" s="214"/>
      <c r="S131" s="214"/>
      <c r="T131" s="219"/>
    </row>
    <row r="132" spans="1:20" s="213" customFormat="1" x14ac:dyDescent="0.25">
      <c r="A132" s="308">
        <f>'A) Base RI'!A133</f>
        <v>5621</v>
      </c>
      <c r="B132" s="226" t="str">
        <f>'A) Base RI'!B133</f>
        <v>Aclens</v>
      </c>
      <c r="C132" s="242">
        <v>0</v>
      </c>
      <c r="D132" s="215">
        <f>'B) D RI'!AA133</f>
        <v>528</v>
      </c>
      <c r="E132" s="216">
        <f>'B) D RI'!S133</f>
        <v>62</v>
      </c>
      <c r="F132" s="10">
        <f>'B) D RI'!R133</f>
        <v>2009538.5763636362</v>
      </c>
      <c r="G132" s="10">
        <f>'B) D RI'!U133</f>
        <v>32411.912521994131</v>
      </c>
      <c r="H132" s="41">
        <f>'B) D RI'!T133</f>
        <v>1688632.19</v>
      </c>
      <c r="I132" s="10">
        <f t="shared" si="12"/>
        <v>54472.006129032256</v>
      </c>
      <c r="J132" s="31">
        <f t="shared" si="14"/>
        <v>47002.659706157472</v>
      </c>
      <c r="K132" s="10">
        <f t="shared" si="9"/>
        <v>47002.659706157472</v>
      </c>
      <c r="L132" s="10">
        <f t="shared" si="13"/>
        <v>0</v>
      </c>
      <c r="M132" s="10">
        <f>'D) Ecrêtage'!C131</f>
        <v>32411.912521994131</v>
      </c>
      <c r="N132" s="10">
        <f t="shared" si="10"/>
        <v>38072.680130778193</v>
      </c>
      <c r="O132" s="55">
        <f t="shared" si="11"/>
        <v>85075.339836935658</v>
      </c>
      <c r="P132" s="217"/>
      <c r="Q132" s="218"/>
      <c r="R132" s="214"/>
      <c r="S132" s="214"/>
      <c r="T132" s="219"/>
    </row>
    <row r="133" spans="1:20" s="213" customFormat="1" x14ac:dyDescent="0.25">
      <c r="A133" s="308">
        <f>'A) Base RI'!A134</f>
        <v>5622</v>
      </c>
      <c r="B133" s="226" t="str">
        <f>'A) Base RI'!B134</f>
        <v>Bremblens</v>
      </c>
      <c r="C133" s="242">
        <v>0</v>
      </c>
      <c r="D133" s="215">
        <f>'B) D RI'!AA134</f>
        <v>583</v>
      </c>
      <c r="E133" s="216">
        <f>'B) D RI'!S134</f>
        <v>68</v>
      </c>
      <c r="F133" s="10">
        <f>'B) D RI'!R134</f>
        <v>1890617.7299999997</v>
      </c>
      <c r="G133" s="10">
        <f>'B) D RI'!U134</f>
        <v>27803.201911764703</v>
      </c>
      <c r="H133" s="41">
        <f>'B) D RI'!T134</f>
        <v>1735861.8299999998</v>
      </c>
      <c r="I133" s="10">
        <f t="shared" si="12"/>
        <v>51054.759705882345</v>
      </c>
      <c r="J133" s="31">
        <f t="shared" si="14"/>
        <v>51898.770092215542</v>
      </c>
      <c r="K133" s="10">
        <f t="shared" si="9"/>
        <v>51054.759705882345</v>
      </c>
      <c r="L133" s="10">
        <f t="shared" si="13"/>
        <v>844.01038633319695</v>
      </c>
      <c r="M133" s="10">
        <f>'D) Ecrêtage'!C132</f>
        <v>27803.201911764703</v>
      </c>
      <c r="N133" s="10">
        <f t="shared" si="10"/>
        <v>32659.05436094679</v>
      </c>
      <c r="O133" s="55">
        <f t="shared" si="11"/>
        <v>83713.814066829131</v>
      </c>
      <c r="P133" s="217"/>
      <c r="Q133" s="218"/>
      <c r="R133" s="214"/>
      <c r="S133" s="214"/>
      <c r="T133" s="219"/>
    </row>
    <row r="134" spans="1:20" s="213" customFormat="1" x14ac:dyDescent="0.25">
      <c r="A134" s="308">
        <f>'A) Base RI'!A135</f>
        <v>5623</v>
      </c>
      <c r="B134" s="226" t="str">
        <f>'A) Base RI'!B135</f>
        <v>Buchillon</v>
      </c>
      <c r="C134" s="242">
        <v>1</v>
      </c>
      <c r="D134" s="215">
        <f>'B) D RI'!AA135</f>
        <v>686</v>
      </c>
      <c r="E134" s="216">
        <f>'B) D RI'!S135</f>
        <v>52</v>
      </c>
      <c r="F134" s="10">
        <f>'B) D RI'!R135</f>
        <v>4908488.6399999997</v>
      </c>
      <c r="G134" s="10">
        <f>'B) D RI'!U135</f>
        <v>94394.012307692305</v>
      </c>
      <c r="H134" s="41">
        <f>'B) D RI'!T135</f>
        <v>4555617.6899999995</v>
      </c>
      <c r="I134" s="10">
        <f t="shared" si="12"/>
        <v>175216.06499999997</v>
      </c>
      <c r="J134" s="31">
        <f t="shared" ref="J134:J169" si="15">+$I$315/$D$315*D134</f>
        <v>61067.849542469747</v>
      </c>
      <c r="K134" s="10">
        <f t="shared" ref="K134:K192" si="16">IF(C134=1,0,IF(J134&gt;I134,I134,J134))</f>
        <v>0</v>
      </c>
      <c r="L134" s="10">
        <f t="shared" si="13"/>
        <v>61067.849542469747</v>
      </c>
      <c r="M134" s="10">
        <f>'D) Ecrêtage'!C133</f>
        <v>94394.012307692305</v>
      </c>
      <c r="N134" s="10">
        <f t="shared" ref="N134:N192" si="17">+$N$5*M134</f>
        <v>110880.00544283833</v>
      </c>
      <c r="O134" s="55">
        <f t="shared" ref="O134:O192" si="18">+N134+K134</f>
        <v>110880.00544283833</v>
      </c>
      <c r="P134" s="217"/>
      <c r="Q134" s="218"/>
      <c r="R134" s="214"/>
      <c r="S134" s="214"/>
      <c r="T134" s="219"/>
    </row>
    <row r="135" spans="1:20" s="213" customFormat="1" x14ac:dyDescent="0.25">
      <c r="A135" s="308">
        <f>'A) Base RI'!A136</f>
        <v>5624</v>
      </c>
      <c r="B135" s="226" t="str">
        <f>'A) Base RI'!B136</f>
        <v>Bussigny</v>
      </c>
      <c r="C135" s="242">
        <v>1</v>
      </c>
      <c r="D135" s="215">
        <f>'B) D RI'!AA136</f>
        <v>9614</v>
      </c>
      <c r="E135" s="216">
        <f>'B) D RI'!S136</f>
        <v>62.5</v>
      </c>
      <c r="F135" s="10">
        <f>'B) D RI'!R136</f>
        <v>21992255.779999997</v>
      </c>
      <c r="G135" s="10">
        <f>'B) D RI'!U136</f>
        <v>351876.09247999993</v>
      </c>
      <c r="H135" s="41">
        <f>'B) D RI'!T136</f>
        <v>19411120.43</v>
      </c>
      <c r="I135" s="10">
        <f t="shared" ref="I135:I193" si="19">+H135/E135*$I$5</f>
        <v>621155.85375999997</v>
      </c>
      <c r="J135" s="31">
        <f t="shared" si="15"/>
        <v>855840.09548295068</v>
      </c>
      <c r="K135" s="10">
        <f t="shared" si="16"/>
        <v>0</v>
      </c>
      <c r="L135" s="10">
        <f t="shared" ref="L135:L193" si="20">+J135-K135</f>
        <v>855840.09548295068</v>
      </c>
      <c r="M135" s="10">
        <f>'D) Ecrêtage'!C134</f>
        <v>351876.09247999993</v>
      </c>
      <c r="N135" s="10">
        <f t="shared" si="17"/>
        <v>413331.54609646363</v>
      </c>
      <c r="O135" s="55">
        <f t="shared" si="18"/>
        <v>413331.54609646363</v>
      </c>
      <c r="P135" s="217"/>
      <c r="Q135" s="218"/>
      <c r="R135" s="214"/>
      <c r="S135" s="214"/>
      <c r="T135" s="219"/>
    </row>
    <row r="136" spans="1:20" s="213" customFormat="1" x14ac:dyDescent="0.25">
      <c r="A136" s="308">
        <f>'A) Base RI'!A137</f>
        <v>5625</v>
      </c>
      <c r="B136" s="226" t="str">
        <f>'A) Base RI'!B137</f>
        <v>Bussy-Chardonney</v>
      </c>
      <c r="C136" s="242">
        <v>0</v>
      </c>
      <c r="D136" s="215">
        <f>'B) D RI'!AA137</f>
        <v>404</v>
      </c>
      <c r="E136" s="216">
        <f>'B) D RI'!S137</f>
        <v>77</v>
      </c>
      <c r="F136" s="10">
        <f>'B) D RI'!R137</f>
        <v>1366017.43</v>
      </c>
      <c r="G136" s="10">
        <f>'B) D RI'!U137</f>
        <v>17740.486103896103</v>
      </c>
      <c r="H136" s="41">
        <f>'B) D RI'!T137</f>
        <v>1259799.93</v>
      </c>
      <c r="I136" s="10">
        <f t="shared" si="19"/>
        <v>32722.076103896103</v>
      </c>
      <c r="J136" s="31">
        <f t="shared" si="15"/>
        <v>35964.156290317456</v>
      </c>
      <c r="K136" s="10">
        <f t="shared" si="16"/>
        <v>32722.076103896103</v>
      </c>
      <c r="L136" s="10">
        <f t="shared" si="20"/>
        <v>3242.0801864213536</v>
      </c>
      <c r="M136" s="10">
        <f>'D) Ecrêtage'!C135</f>
        <v>17740.486103896103</v>
      </c>
      <c r="N136" s="10">
        <f t="shared" si="17"/>
        <v>20838.876827765682</v>
      </c>
      <c r="O136" s="55">
        <f t="shared" si="18"/>
        <v>53560.952931661785</v>
      </c>
      <c r="P136" s="217"/>
      <c r="Q136" s="218"/>
      <c r="R136" s="214"/>
      <c r="S136" s="214"/>
      <c r="T136" s="219"/>
    </row>
    <row r="137" spans="1:20" s="213" customFormat="1" x14ac:dyDescent="0.25">
      <c r="A137" s="308">
        <f>'A) Base RI'!A138</f>
        <v>5627</v>
      </c>
      <c r="B137" s="226" t="str">
        <f>'A) Base RI'!B138</f>
        <v>Chavannes-près-Renens</v>
      </c>
      <c r="C137" s="242">
        <v>1</v>
      </c>
      <c r="D137" s="215">
        <f>'B) D RI'!AA138</f>
        <v>8487</v>
      </c>
      <c r="E137" s="216">
        <f>'B) D RI'!S138</f>
        <v>77.5</v>
      </c>
      <c r="F137" s="10">
        <f>'B) D RI'!R138</f>
        <v>12547381.886666669</v>
      </c>
      <c r="G137" s="10">
        <f>'B) D RI'!U138</f>
        <v>161901.70176344088</v>
      </c>
      <c r="H137" s="41">
        <f>'B) D RI'!T138</f>
        <v>11237054.320000002</v>
      </c>
      <c r="I137" s="10">
        <f t="shared" si="19"/>
        <v>289988.49858064525</v>
      </c>
      <c r="J137" s="31">
        <f t="shared" si="15"/>
        <v>755514.34266317892</v>
      </c>
      <c r="K137" s="10">
        <f t="shared" si="16"/>
        <v>0</v>
      </c>
      <c r="L137" s="10">
        <f t="shared" si="20"/>
        <v>755514.34266317892</v>
      </c>
      <c r="M137" s="10">
        <f>'D) Ecrêtage'!C136</f>
        <v>161901.70176344088</v>
      </c>
      <c r="N137" s="10">
        <f t="shared" si="17"/>
        <v>190177.96927858959</v>
      </c>
      <c r="O137" s="55">
        <f t="shared" si="18"/>
        <v>190177.96927858959</v>
      </c>
      <c r="P137" s="217"/>
      <c r="Q137" s="218"/>
      <c r="R137" s="214"/>
      <c r="S137" s="214"/>
      <c r="T137" s="219"/>
    </row>
    <row r="138" spans="1:20" s="213" customFormat="1" x14ac:dyDescent="0.25">
      <c r="A138" s="308">
        <f>'A) Base RI'!A139</f>
        <v>5628</v>
      </c>
      <c r="B138" s="226" t="str">
        <f>'A) Base RI'!B139</f>
        <v>Chigny</v>
      </c>
      <c r="C138" s="242">
        <v>0</v>
      </c>
      <c r="D138" s="215">
        <f>'B) D RI'!AA139</f>
        <v>396</v>
      </c>
      <c r="E138" s="216">
        <f>'B) D RI'!S139</f>
        <v>62</v>
      </c>
      <c r="F138" s="10">
        <f>'B) D RI'!R139</f>
        <v>1526720.87</v>
      </c>
      <c r="G138" s="10">
        <f>'B) D RI'!U139</f>
        <v>24624.530161290324</v>
      </c>
      <c r="H138" s="41">
        <f>'B) D RI'!T139</f>
        <v>1426760.07</v>
      </c>
      <c r="I138" s="10">
        <f t="shared" si="19"/>
        <v>46024.518387096774</v>
      </c>
      <c r="J138" s="31">
        <f t="shared" si="15"/>
        <v>35251.9947796181</v>
      </c>
      <c r="K138" s="10">
        <f t="shared" si="16"/>
        <v>35251.9947796181</v>
      </c>
      <c r="L138" s="10">
        <f t="shared" si="20"/>
        <v>0</v>
      </c>
      <c r="M138" s="10">
        <f>'D) Ecrêtage'!C137</f>
        <v>24624.530161290324</v>
      </c>
      <c r="N138" s="10">
        <f t="shared" si="17"/>
        <v>28925.224932818182</v>
      </c>
      <c r="O138" s="55">
        <f t="shared" si="18"/>
        <v>64177.219712436286</v>
      </c>
      <c r="P138" s="217"/>
      <c r="Q138" s="218"/>
      <c r="R138" s="214"/>
      <c r="S138" s="214"/>
      <c r="T138" s="219"/>
    </row>
    <row r="139" spans="1:20" s="213" customFormat="1" x14ac:dyDescent="0.25">
      <c r="A139" s="308">
        <f>'A) Base RI'!A140</f>
        <v>5629</v>
      </c>
      <c r="B139" s="226" t="str">
        <f>'A) Base RI'!B140</f>
        <v>Clarmont</v>
      </c>
      <c r="C139" s="242">
        <v>0</v>
      </c>
      <c r="D139" s="215">
        <f>'B) D RI'!AA140</f>
        <v>201</v>
      </c>
      <c r="E139" s="216">
        <f>'B) D RI'!S140</f>
        <v>73.5</v>
      </c>
      <c r="F139" s="10">
        <f>'B) D RI'!R140</f>
        <v>626312.6</v>
      </c>
      <c r="G139" s="10">
        <f>'B) D RI'!U140</f>
        <v>8521.2598639455773</v>
      </c>
      <c r="H139" s="41">
        <f>'B) D RI'!T140</f>
        <v>588047.79999999993</v>
      </c>
      <c r="I139" s="10">
        <f t="shared" si="19"/>
        <v>16001.300680272107</v>
      </c>
      <c r="J139" s="31">
        <f t="shared" si="15"/>
        <v>17893.05795632131</v>
      </c>
      <c r="K139" s="10">
        <f t="shared" si="16"/>
        <v>16001.300680272107</v>
      </c>
      <c r="L139" s="10">
        <f t="shared" si="20"/>
        <v>1891.7572760492039</v>
      </c>
      <c r="M139" s="10">
        <f>'D) Ecrêtage'!C138</f>
        <v>8521.2598639455773</v>
      </c>
      <c r="N139" s="10">
        <f t="shared" si="17"/>
        <v>10009.50502044852</v>
      </c>
      <c r="O139" s="55">
        <f t="shared" si="18"/>
        <v>26010.805700720626</v>
      </c>
      <c r="P139" s="217"/>
      <c r="Q139" s="218"/>
      <c r="R139" s="214"/>
      <c r="S139" s="214"/>
      <c r="T139" s="219"/>
    </row>
    <row r="140" spans="1:20" s="213" customFormat="1" x14ac:dyDescent="0.25">
      <c r="A140" s="308">
        <f>'A) Base RI'!A141</f>
        <v>5631</v>
      </c>
      <c r="B140" s="226" t="str">
        <f>'A) Base RI'!B141</f>
        <v>Denens</v>
      </c>
      <c r="C140" s="242">
        <v>0</v>
      </c>
      <c r="D140" s="215">
        <f>'B) D RI'!AA141</f>
        <v>742</v>
      </c>
      <c r="E140" s="216">
        <f>'B) D RI'!S141</f>
        <v>68</v>
      </c>
      <c r="F140" s="10">
        <f>'B) D RI'!R141</f>
        <v>2954949.6799999997</v>
      </c>
      <c r="G140" s="10">
        <f>'B) D RI'!U141</f>
        <v>43455.14235294117</v>
      </c>
      <c r="H140" s="41">
        <f>'B) D RI'!T141</f>
        <v>2744668.5799999996</v>
      </c>
      <c r="I140" s="10">
        <f t="shared" si="19"/>
        <v>80725.546470588219</v>
      </c>
      <c r="J140" s="31">
        <f t="shared" si="15"/>
        <v>66052.980117365238</v>
      </c>
      <c r="K140" s="10">
        <f t="shared" si="16"/>
        <v>66052.980117365238</v>
      </c>
      <c r="L140" s="10">
        <f t="shared" si="20"/>
        <v>0</v>
      </c>
      <c r="M140" s="10">
        <f>'D) Ecrêtage'!C139</f>
        <v>43455.14235294117</v>
      </c>
      <c r="N140" s="10">
        <f t="shared" si="17"/>
        <v>51044.619280589483</v>
      </c>
      <c r="O140" s="55">
        <f t="shared" si="18"/>
        <v>117097.59939795472</v>
      </c>
      <c r="P140" s="217"/>
      <c r="Q140" s="218"/>
      <c r="R140" s="214"/>
      <c r="S140" s="214"/>
      <c r="T140" s="219"/>
    </row>
    <row r="141" spans="1:20" s="213" customFormat="1" x14ac:dyDescent="0.25">
      <c r="A141" s="308">
        <f>'A) Base RI'!A142</f>
        <v>5632</v>
      </c>
      <c r="B141" s="226" t="str">
        <f>'A) Base RI'!B142</f>
        <v>Denges</v>
      </c>
      <c r="C141" s="242">
        <v>0</v>
      </c>
      <c r="D141" s="215">
        <f>'B) D RI'!AA142</f>
        <v>1730</v>
      </c>
      <c r="E141" s="216">
        <f>'B) D RI'!S142</f>
        <v>62</v>
      </c>
      <c r="F141" s="10">
        <f>'B) D RI'!R142</f>
        <v>4741757.9399999995</v>
      </c>
      <c r="G141" s="10">
        <f>'B) D RI'!U142</f>
        <v>76479.966774193541</v>
      </c>
      <c r="H141" s="41">
        <f>'B) D RI'!T142</f>
        <v>4369139.24</v>
      </c>
      <c r="I141" s="10">
        <f t="shared" si="19"/>
        <v>140939.97548387098</v>
      </c>
      <c r="J141" s="31">
        <f t="shared" si="15"/>
        <v>154004.92668873566</v>
      </c>
      <c r="K141" s="10">
        <f t="shared" si="16"/>
        <v>140939.97548387098</v>
      </c>
      <c r="L141" s="10">
        <f t="shared" si="20"/>
        <v>13064.951204864687</v>
      </c>
      <c r="M141" s="10">
        <f>'D) Ecrêtage'!C140</f>
        <v>76479.966774193541</v>
      </c>
      <c r="N141" s="10">
        <f t="shared" si="17"/>
        <v>89837.256886045288</v>
      </c>
      <c r="O141" s="55">
        <f t="shared" si="18"/>
        <v>230777.23236991628</v>
      </c>
      <c r="P141" s="217"/>
      <c r="Q141" s="218"/>
      <c r="R141" s="214"/>
      <c r="S141" s="214"/>
      <c r="T141" s="219"/>
    </row>
    <row r="142" spans="1:20" s="213" customFormat="1" x14ac:dyDescent="0.25">
      <c r="A142" s="308">
        <f>'A) Base RI'!A143</f>
        <v>5633</v>
      </c>
      <c r="B142" s="226" t="str">
        <f>'A) Base RI'!B143</f>
        <v>Echandens</v>
      </c>
      <c r="C142" s="242">
        <v>0</v>
      </c>
      <c r="D142" s="215">
        <f>'B) D RI'!AA143</f>
        <v>2743</v>
      </c>
      <c r="E142" s="216">
        <f>'B) D RI'!S143</f>
        <v>60.5</v>
      </c>
      <c r="F142" s="10">
        <f>'B) D RI'!R143</f>
        <v>8983643.6000000015</v>
      </c>
      <c r="G142" s="10">
        <f>'B) D RI'!U143</f>
        <v>148489.97685950415</v>
      </c>
      <c r="H142" s="41">
        <f>'B) D RI'!T143</f>
        <v>8296817.9500000011</v>
      </c>
      <c r="I142" s="10">
        <f t="shared" si="19"/>
        <v>274274.97355371906</v>
      </c>
      <c r="J142" s="31">
        <f t="shared" si="15"/>
        <v>244182.37798104156</v>
      </c>
      <c r="K142" s="10">
        <f t="shared" si="16"/>
        <v>244182.37798104156</v>
      </c>
      <c r="L142" s="10">
        <f t="shared" si="20"/>
        <v>0</v>
      </c>
      <c r="M142" s="10">
        <f>'D) Ecrêtage'!C141</f>
        <v>148489.97685950415</v>
      </c>
      <c r="N142" s="10">
        <f t="shared" si="17"/>
        <v>174423.87541192627</v>
      </c>
      <c r="O142" s="55">
        <f t="shared" si="18"/>
        <v>418606.25339296786</v>
      </c>
      <c r="P142" s="217"/>
      <c r="Q142" s="218"/>
      <c r="R142" s="214"/>
      <c r="S142" s="214"/>
      <c r="T142" s="219"/>
    </row>
    <row r="143" spans="1:20" s="213" customFormat="1" x14ac:dyDescent="0.25">
      <c r="A143" s="308">
        <f>'A) Base RI'!A144</f>
        <v>5634</v>
      </c>
      <c r="B143" s="226" t="str">
        <f>'A) Base RI'!B144</f>
        <v>Echichens</v>
      </c>
      <c r="C143" s="242">
        <v>0</v>
      </c>
      <c r="D143" s="215">
        <f>'B) D RI'!AA144</f>
        <v>3127</v>
      </c>
      <c r="E143" s="216">
        <f>'B) D RI'!S144</f>
        <v>66</v>
      </c>
      <c r="F143" s="10">
        <f>'B) D RI'!R144</f>
        <v>10835721.480000002</v>
      </c>
      <c r="G143" s="10">
        <f>'B) D RI'!U144</f>
        <v>164177.5981818182</v>
      </c>
      <c r="H143" s="41">
        <f>'B) D RI'!T144</f>
        <v>10088002.380000003</v>
      </c>
      <c r="I143" s="10">
        <f t="shared" si="19"/>
        <v>305697.04181818193</v>
      </c>
      <c r="J143" s="31">
        <f t="shared" si="15"/>
        <v>278366.13049461064</v>
      </c>
      <c r="K143" s="10">
        <f t="shared" si="16"/>
        <v>278366.13049461064</v>
      </c>
      <c r="L143" s="10">
        <f t="shared" si="20"/>
        <v>0</v>
      </c>
      <c r="M143" s="10">
        <f>'D) Ecrêtage'!C142</f>
        <v>164177.5981818182</v>
      </c>
      <c r="N143" s="10">
        <f t="shared" si="17"/>
        <v>192851.35290841595</v>
      </c>
      <c r="O143" s="55">
        <f t="shared" si="18"/>
        <v>471217.48340302659</v>
      </c>
      <c r="P143" s="217"/>
      <c r="Q143" s="218"/>
      <c r="R143" s="214"/>
      <c r="S143" s="214"/>
      <c r="T143" s="219"/>
    </row>
    <row r="144" spans="1:20" s="213" customFormat="1" x14ac:dyDescent="0.25">
      <c r="A144" s="308">
        <f>'A) Base RI'!A145</f>
        <v>5635</v>
      </c>
      <c r="B144" s="226" t="str">
        <f>'A) Base RI'!B145</f>
        <v>Ecublens</v>
      </c>
      <c r="C144" s="242">
        <v>1</v>
      </c>
      <c r="D144" s="215">
        <f>'B) D RI'!AA145</f>
        <v>13164</v>
      </c>
      <c r="E144" s="216">
        <f>'B) D RI'!S145</f>
        <v>62.5</v>
      </c>
      <c r="F144" s="10">
        <f>'B) D RI'!R145</f>
        <v>42608712.068333343</v>
      </c>
      <c r="G144" s="10">
        <f>'B) D RI'!U145</f>
        <v>681739.39309333346</v>
      </c>
      <c r="H144" s="41">
        <f>'B) D RI'!T145</f>
        <v>39730611.81000001</v>
      </c>
      <c r="I144" s="10">
        <f t="shared" si="19"/>
        <v>1271379.5779200003</v>
      </c>
      <c r="J144" s="31">
        <f t="shared" si="15"/>
        <v>1171861.7658557897</v>
      </c>
      <c r="K144" s="10">
        <f t="shared" si="16"/>
        <v>0</v>
      </c>
      <c r="L144" s="10">
        <f t="shared" si="20"/>
        <v>1171861.7658557897</v>
      </c>
      <c r="M144" s="10">
        <f>'D) Ecrêtage'!C143</f>
        <v>681739.39309333346</v>
      </c>
      <c r="N144" s="10">
        <f t="shared" si="17"/>
        <v>800805.74783053342</v>
      </c>
      <c r="O144" s="55">
        <f t="shared" si="18"/>
        <v>800805.74783053342</v>
      </c>
      <c r="P144" s="217"/>
      <c r="Q144" s="218"/>
      <c r="R144" s="214"/>
      <c r="S144" s="214"/>
      <c r="T144" s="219"/>
    </row>
    <row r="145" spans="1:20" s="213" customFormat="1" x14ac:dyDescent="0.25">
      <c r="A145" s="308">
        <f>'A) Base RI'!A146</f>
        <v>5636</v>
      </c>
      <c r="B145" s="226" t="str">
        <f>'A) Base RI'!B146</f>
        <v>Etoy</v>
      </c>
      <c r="C145" s="242">
        <v>0</v>
      </c>
      <c r="D145" s="215">
        <f>'B) D RI'!AA146</f>
        <v>2909</v>
      </c>
      <c r="E145" s="216">
        <f>'B) D RI'!S146</f>
        <v>60</v>
      </c>
      <c r="F145" s="10">
        <f>'B) D RI'!R146</f>
        <v>10242927.659999998</v>
      </c>
      <c r="G145" s="10">
        <f>'B) D RI'!U146</f>
        <v>170715.46099999998</v>
      </c>
      <c r="H145" s="41">
        <f>'B) D RI'!T146</f>
        <v>8768578.709999999</v>
      </c>
      <c r="I145" s="10">
        <f t="shared" si="19"/>
        <v>292285.95699999999</v>
      </c>
      <c r="J145" s="31">
        <f t="shared" si="15"/>
        <v>258959.72932805319</v>
      </c>
      <c r="K145" s="10">
        <f t="shared" si="16"/>
        <v>258959.72932805319</v>
      </c>
      <c r="L145" s="10">
        <f t="shared" si="20"/>
        <v>0</v>
      </c>
      <c r="M145" s="10">
        <f>'D) Ecrêtage'!C144</f>
        <v>170715.46099999998</v>
      </c>
      <c r="N145" s="10">
        <f t="shared" si="17"/>
        <v>200531.05893152193</v>
      </c>
      <c r="O145" s="55">
        <f t="shared" si="18"/>
        <v>459490.78825957514</v>
      </c>
      <c r="P145" s="217"/>
      <c r="Q145" s="218"/>
      <c r="R145" s="214"/>
      <c r="S145" s="214"/>
      <c r="T145" s="219"/>
    </row>
    <row r="146" spans="1:20" s="213" customFormat="1" x14ac:dyDescent="0.25">
      <c r="A146" s="308">
        <f>'A) Base RI'!A147</f>
        <v>5637</v>
      </c>
      <c r="B146" s="226" t="str">
        <f>'A) Base RI'!B147</f>
        <v>Lavigny</v>
      </c>
      <c r="C146" s="242">
        <v>0</v>
      </c>
      <c r="D146" s="215">
        <f>'B) D RI'!AA147</f>
        <v>1008</v>
      </c>
      <c r="E146" s="216">
        <f>'B) D RI'!S147</f>
        <v>73</v>
      </c>
      <c r="F146" s="10">
        <f>'B) D RI'!R147</f>
        <v>3007210.13</v>
      </c>
      <c r="G146" s="10">
        <f>'B) D RI'!U147</f>
        <v>41194.659315068493</v>
      </c>
      <c r="H146" s="41">
        <f>'B) D RI'!T147</f>
        <v>2808158.88</v>
      </c>
      <c r="I146" s="10">
        <f t="shared" si="19"/>
        <v>76935.859726027396</v>
      </c>
      <c r="J146" s="31">
        <f t="shared" si="15"/>
        <v>89732.350348118809</v>
      </c>
      <c r="K146" s="10">
        <f t="shared" si="16"/>
        <v>76935.859726027396</v>
      </c>
      <c r="L146" s="10">
        <f t="shared" si="20"/>
        <v>12796.490622091413</v>
      </c>
      <c r="M146" s="10">
        <f>'D) Ecrêtage'!C145</f>
        <v>41194.659315068493</v>
      </c>
      <c r="N146" s="10">
        <f t="shared" si="17"/>
        <v>48389.340991053941</v>
      </c>
      <c r="O146" s="55">
        <f t="shared" si="18"/>
        <v>125325.20071708134</v>
      </c>
      <c r="P146" s="217"/>
      <c r="Q146" s="218"/>
      <c r="R146" s="214"/>
      <c r="S146" s="214"/>
      <c r="T146" s="219"/>
    </row>
    <row r="147" spans="1:20" s="213" customFormat="1" x14ac:dyDescent="0.25">
      <c r="A147" s="308">
        <f>'A) Base RI'!A148</f>
        <v>5638</v>
      </c>
      <c r="B147" s="226" t="str">
        <f>'A) Base RI'!B148</f>
        <v>Lonay</v>
      </c>
      <c r="C147" s="242">
        <v>0</v>
      </c>
      <c r="D147" s="215">
        <f>'B) D RI'!AA148</f>
        <v>2679</v>
      </c>
      <c r="E147" s="216">
        <f>'B) D RI'!S148</f>
        <v>55</v>
      </c>
      <c r="F147" s="10">
        <f>'B) D RI'!R148</f>
        <v>8001951.0899999999</v>
      </c>
      <c r="G147" s="10">
        <f>'B) D RI'!U148</f>
        <v>145490.01981818181</v>
      </c>
      <c r="H147" s="41">
        <f>'B) D RI'!T148</f>
        <v>7259265.7400000002</v>
      </c>
      <c r="I147" s="10">
        <f t="shared" si="19"/>
        <v>263973.29963636363</v>
      </c>
      <c r="J147" s="31">
        <f t="shared" si="15"/>
        <v>238485.08589544671</v>
      </c>
      <c r="K147" s="10">
        <f t="shared" si="16"/>
        <v>238485.08589544671</v>
      </c>
      <c r="L147" s="10">
        <f t="shared" si="20"/>
        <v>0</v>
      </c>
      <c r="M147" s="10">
        <f>'D) Ecrêtage'!C146</f>
        <v>145490.01981818181</v>
      </c>
      <c r="N147" s="10">
        <f t="shared" si="17"/>
        <v>170899.97336625599</v>
      </c>
      <c r="O147" s="55">
        <f t="shared" si="18"/>
        <v>409385.0592617027</v>
      </c>
      <c r="P147" s="217"/>
      <c r="Q147" s="218"/>
      <c r="R147" s="214"/>
      <c r="S147" s="214"/>
      <c r="T147" s="219"/>
    </row>
    <row r="148" spans="1:20" s="213" customFormat="1" x14ac:dyDescent="0.25">
      <c r="A148" s="308">
        <f>'A) Base RI'!A149</f>
        <v>5639</v>
      </c>
      <c r="B148" s="226" t="str">
        <f>'A) Base RI'!B149</f>
        <v>Lully</v>
      </c>
      <c r="C148" s="242">
        <v>0</v>
      </c>
      <c r="D148" s="215">
        <f>'B) D RI'!AA149</f>
        <v>825</v>
      </c>
      <c r="E148" s="216">
        <f>'B) D RI'!S149</f>
        <v>61</v>
      </c>
      <c r="F148" s="10">
        <f>'B) D RI'!R149</f>
        <v>2783008.75</v>
      </c>
      <c r="G148" s="10">
        <f>'B) D RI'!U149</f>
        <v>45623.094262295082</v>
      </c>
      <c r="H148" s="41">
        <f>'B) D RI'!T149</f>
        <v>2585585.14</v>
      </c>
      <c r="I148" s="10">
        <f t="shared" si="19"/>
        <v>84773.283278688526</v>
      </c>
      <c r="J148" s="31">
        <f t="shared" si="15"/>
        <v>73441.655790871053</v>
      </c>
      <c r="K148" s="10">
        <f t="shared" si="16"/>
        <v>73441.655790871053</v>
      </c>
      <c r="L148" s="10">
        <f t="shared" si="20"/>
        <v>0</v>
      </c>
      <c r="M148" s="10">
        <f>'D) Ecrêtage'!C147</f>
        <v>45623.094262295082</v>
      </c>
      <c r="N148" s="10">
        <f t="shared" si="17"/>
        <v>53591.205802681674</v>
      </c>
      <c r="O148" s="55">
        <f t="shared" si="18"/>
        <v>127032.86159355272</v>
      </c>
      <c r="P148" s="217"/>
      <c r="Q148" s="218"/>
      <c r="R148" s="214"/>
      <c r="S148" s="214"/>
      <c r="T148" s="219"/>
    </row>
    <row r="149" spans="1:20" s="213" customFormat="1" x14ac:dyDescent="0.25">
      <c r="A149" s="308">
        <f>'A) Base RI'!A150</f>
        <v>5640</v>
      </c>
      <c r="B149" s="226" t="str">
        <f>'A) Base RI'!B150</f>
        <v>Lussy-sur-Morges</v>
      </c>
      <c r="C149" s="242">
        <v>1</v>
      </c>
      <c r="D149" s="215">
        <f>'B) D RI'!AA150</f>
        <v>722</v>
      </c>
      <c r="E149" s="216">
        <f>'B) D RI'!S150</f>
        <v>66</v>
      </c>
      <c r="F149" s="10">
        <f>'B) D RI'!R150</f>
        <v>3764081.1399999997</v>
      </c>
      <c r="G149" s="10">
        <f>'B) D RI'!U150</f>
        <v>57031.532424242418</v>
      </c>
      <c r="H149" s="41">
        <f>'B) D RI'!T150</f>
        <v>3560670.1399999997</v>
      </c>
      <c r="I149" s="10">
        <f t="shared" si="19"/>
        <v>107899.09515151514</v>
      </c>
      <c r="J149" s="31">
        <f t="shared" si="15"/>
        <v>64272.576340616848</v>
      </c>
      <c r="K149" s="10">
        <f t="shared" si="16"/>
        <v>0</v>
      </c>
      <c r="L149" s="10">
        <f t="shared" si="20"/>
        <v>64272.576340616848</v>
      </c>
      <c r="M149" s="10">
        <f>'D) Ecrêtage'!C148</f>
        <v>57031.532424242418</v>
      </c>
      <c r="N149" s="10">
        <f t="shared" si="17"/>
        <v>66992.137223709113</v>
      </c>
      <c r="O149" s="55">
        <f t="shared" si="18"/>
        <v>66992.137223709113</v>
      </c>
      <c r="P149" s="217"/>
      <c r="Q149" s="218"/>
      <c r="R149" s="214"/>
      <c r="S149" s="214"/>
      <c r="T149" s="219"/>
    </row>
    <row r="150" spans="1:20" s="213" customFormat="1" x14ac:dyDescent="0.25">
      <c r="A150" s="308">
        <f>'A) Base RI'!A151</f>
        <v>5642</v>
      </c>
      <c r="B150" s="226" t="str">
        <f>'A) Base RI'!B151</f>
        <v>Morges</v>
      </c>
      <c r="C150" s="242">
        <v>1</v>
      </c>
      <c r="D150" s="215">
        <f>'B) D RI'!AA151</f>
        <v>16095</v>
      </c>
      <c r="E150" s="216">
        <f>'B) D RI'!S151</f>
        <v>67</v>
      </c>
      <c r="F150" s="10">
        <f>'B) D RI'!R151</f>
        <v>52763378.640000015</v>
      </c>
      <c r="G150" s="10">
        <f>'B) D RI'!U151</f>
        <v>787513.11402985093</v>
      </c>
      <c r="H150" s="41">
        <f>'B) D RI'!T151</f>
        <v>48964337.840000011</v>
      </c>
      <c r="I150" s="10">
        <f t="shared" si="19"/>
        <v>1461622.0250746273</v>
      </c>
      <c r="J150" s="31">
        <f t="shared" si="15"/>
        <v>1432779.9393382662</v>
      </c>
      <c r="K150" s="10">
        <f t="shared" si="16"/>
        <v>0</v>
      </c>
      <c r="L150" s="10">
        <f t="shared" si="20"/>
        <v>1432779.9393382662</v>
      </c>
      <c r="M150" s="10">
        <f>'D) Ecrêtage'!C149</f>
        <v>787513.11402985093</v>
      </c>
      <c r="N150" s="10">
        <f t="shared" si="17"/>
        <v>925052.93752430787</v>
      </c>
      <c r="O150" s="55">
        <f t="shared" si="18"/>
        <v>925052.93752430787</v>
      </c>
      <c r="P150" s="217"/>
      <c r="Q150" s="218"/>
      <c r="R150" s="214"/>
      <c r="S150" s="214"/>
      <c r="T150" s="219"/>
    </row>
    <row r="151" spans="1:20" s="213" customFormat="1" x14ac:dyDescent="0.25">
      <c r="A151" s="308">
        <f>'A) Base RI'!A152</f>
        <v>5643</v>
      </c>
      <c r="B151" s="226" t="str">
        <f>'A) Base RI'!B152</f>
        <v>Préverenges</v>
      </c>
      <c r="C151" s="242">
        <v>1</v>
      </c>
      <c r="D151" s="215">
        <f>'B) D RI'!AA152</f>
        <v>5241</v>
      </c>
      <c r="E151" s="216">
        <f>'B) D RI'!S152</f>
        <v>62.5</v>
      </c>
      <c r="F151" s="10">
        <f>'B) D RI'!R152</f>
        <v>16396085.73</v>
      </c>
      <c r="G151" s="10">
        <f>'B) D RI'!U152</f>
        <v>262337.37167999998</v>
      </c>
      <c r="H151" s="41">
        <f>'B) D RI'!T152</f>
        <v>15143961.600000001</v>
      </c>
      <c r="I151" s="10">
        <f t="shared" si="19"/>
        <v>484606.77120000008</v>
      </c>
      <c r="J151" s="31">
        <f t="shared" si="15"/>
        <v>466554.80969691538</v>
      </c>
      <c r="K151" s="10">
        <f t="shared" si="16"/>
        <v>0</v>
      </c>
      <c r="L151" s="10">
        <f t="shared" si="20"/>
        <v>466554.80969691538</v>
      </c>
      <c r="M151" s="10">
        <f>'D) Ecrêtage'!C150</f>
        <v>262337.37167999998</v>
      </c>
      <c r="N151" s="10">
        <f t="shared" si="17"/>
        <v>308154.81288073055</v>
      </c>
      <c r="O151" s="55">
        <f t="shared" si="18"/>
        <v>308154.81288073055</v>
      </c>
      <c r="P151" s="217"/>
      <c r="Q151" s="218"/>
      <c r="R151" s="214"/>
      <c r="S151" s="214"/>
      <c r="T151" s="219"/>
    </row>
    <row r="152" spans="1:20" s="213" customFormat="1" x14ac:dyDescent="0.25">
      <c r="A152" s="308">
        <f>'A) Base RI'!A153</f>
        <v>5644</v>
      </c>
      <c r="B152" s="226" t="str">
        <f>'A) Base RI'!B153</f>
        <v>Reverolle</v>
      </c>
      <c r="C152" s="242">
        <v>0</v>
      </c>
      <c r="D152" s="215">
        <f>'B) D RI'!AA153</f>
        <v>407</v>
      </c>
      <c r="E152" s="216">
        <f>'B) D RI'!S153</f>
        <v>74</v>
      </c>
      <c r="F152" s="10">
        <f>'B) D RI'!R153</f>
        <v>1185535.28</v>
      </c>
      <c r="G152" s="10">
        <f>'B) D RI'!U153</f>
        <v>16020.747027027028</v>
      </c>
      <c r="H152" s="41">
        <f>'B) D RI'!T153</f>
        <v>1103027.73</v>
      </c>
      <c r="I152" s="10">
        <f t="shared" si="19"/>
        <v>29811.560270270271</v>
      </c>
      <c r="J152" s="31">
        <f t="shared" si="15"/>
        <v>36231.21685682972</v>
      </c>
      <c r="K152" s="10">
        <f t="shared" si="16"/>
        <v>29811.560270270271</v>
      </c>
      <c r="L152" s="10">
        <f t="shared" si="20"/>
        <v>6419.6565865594494</v>
      </c>
      <c r="M152" s="10">
        <f>'D) Ecrêtage'!C151</f>
        <v>16020.747027027028</v>
      </c>
      <c r="N152" s="10">
        <f t="shared" si="17"/>
        <v>18818.783883925793</v>
      </c>
      <c r="O152" s="55">
        <f t="shared" si="18"/>
        <v>48630.344154196064</v>
      </c>
      <c r="P152" s="217"/>
      <c r="Q152" s="218"/>
      <c r="R152" s="214"/>
      <c r="S152" s="214"/>
      <c r="T152" s="219"/>
    </row>
    <row r="153" spans="1:20" s="213" customFormat="1" x14ac:dyDescent="0.25">
      <c r="A153" s="308">
        <f>'A) Base RI'!A154</f>
        <v>5645</v>
      </c>
      <c r="B153" s="226" t="str">
        <f>'A) Base RI'!B154</f>
        <v>Romanel-sur-Morges</v>
      </c>
      <c r="C153" s="242">
        <v>0</v>
      </c>
      <c r="D153" s="215">
        <f>'B) D RI'!AA154</f>
        <v>466</v>
      </c>
      <c r="E153" s="216">
        <f>'B) D RI'!S154</f>
        <v>56</v>
      </c>
      <c r="F153" s="10">
        <f>'B) D RI'!R154</f>
        <v>1532447.5300000003</v>
      </c>
      <c r="G153" s="10">
        <f>'B) D RI'!U154</f>
        <v>27365.134464285718</v>
      </c>
      <c r="H153" s="41">
        <f>'B) D RI'!T154</f>
        <v>1351902.58</v>
      </c>
      <c r="I153" s="10">
        <f t="shared" si="19"/>
        <v>48282.235000000001</v>
      </c>
      <c r="J153" s="31">
        <f t="shared" si="15"/>
        <v>41483.407998237468</v>
      </c>
      <c r="K153" s="10">
        <f t="shared" si="16"/>
        <v>41483.407998237468</v>
      </c>
      <c r="L153" s="10">
        <f t="shared" si="20"/>
        <v>0</v>
      </c>
      <c r="M153" s="10">
        <f>'D) Ecrêtage'!C152</f>
        <v>27365.134464285718</v>
      </c>
      <c r="N153" s="10">
        <f t="shared" si="17"/>
        <v>32144.47806767017</v>
      </c>
      <c r="O153" s="55">
        <f t="shared" si="18"/>
        <v>73627.886065907631</v>
      </c>
      <c r="P153" s="217"/>
      <c r="Q153" s="218"/>
      <c r="R153" s="214"/>
      <c r="S153" s="214"/>
      <c r="T153" s="219"/>
    </row>
    <row r="154" spans="1:20" s="213" customFormat="1" x14ac:dyDescent="0.25">
      <c r="A154" s="308">
        <f>'A) Base RI'!A155</f>
        <v>5646</v>
      </c>
      <c r="B154" s="226" t="str">
        <f>'A) Base RI'!B155</f>
        <v>Saint-Prex</v>
      </c>
      <c r="C154" s="242">
        <v>1</v>
      </c>
      <c r="D154" s="215">
        <f>'B) D RI'!AA155</f>
        <v>5865</v>
      </c>
      <c r="E154" s="216">
        <f>'B) D RI'!S155</f>
        <v>55</v>
      </c>
      <c r="F154" s="10">
        <f>'B) D RI'!R155</f>
        <v>29760097.449999999</v>
      </c>
      <c r="G154" s="10">
        <f>'B) D RI'!U155</f>
        <v>541092.68090909091</v>
      </c>
      <c r="H154" s="41">
        <f>'B) D RI'!T155</f>
        <v>27967998.050000001</v>
      </c>
      <c r="I154" s="10">
        <f t="shared" si="19"/>
        <v>1017018.110909091</v>
      </c>
      <c r="J154" s="31">
        <f t="shared" si="15"/>
        <v>522103.40753146511</v>
      </c>
      <c r="K154" s="10">
        <f t="shared" si="16"/>
        <v>0</v>
      </c>
      <c r="L154" s="10">
        <f t="shared" si="20"/>
        <v>522103.40753146511</v>
      </c>
      <c r="M154" s="10">
        <f>'D) Ecrêtage'!C153</f>
        <v>541092.68090909091</v>
      </c>
      <c r="N154" s="10">
        <f t="shared" si="17"/>
        <v>635594.96982406371</v>
      </c>
      <c r="O154" s="55">
        <f t="shared" si="18"/>
        <v>635594.96982406371</v>
      </c>
      <c r="P154" s="217"/>
      <c r="Q154" s="218"/>
      <c r="R154" s="214"/>
      <c r="S154" s="214"/>
      <c r="T154" s="219"/>
    </row>
    <row r="155" spans="1:20" s="213" customFormat="1" x14ac:dyDescent="0.25">
      <c r="A155" s="308">
        <f>'A) Base RI'!A156</f>
        <v>5648</v>
      </c>
      <c r="B155" s="226" t="str">
        <f>'A) Base RI'!B156</f>
        <v>Saint-Sulpice</v>
      </c>
      <c r="C155" s="242">
        <v>1</v>
      </c>
      <c r="D155" s="215">
        <f>'B) D RI'!AA156</f>
        <v>4909</v>
      </c>
      <c r="E155" s="216">
        <f>'B) D RI'!S156</f>
        <v>55</v>
      </c>
      <c r="F155" s="10">
        <f>'B) D RI'!R156</f>
        <v>21806426.5</v>
      </c>
      <c r="G155" s="10">
        <f>'B) D RI'!U156</f>
        <v>396480.48181818181</v>
      </c>
      <c r="H155" s="41">
        <f>'B) D RI'!T156</f>
        <v>20035618.949999999</v>
      </c>
      <c r="I155" s="10">
        <f t="shared" si="19"/>
        <v>728567.96181818179</v>
      </c>
      <c r="J155" s="31">
        <f t="shared" si="15"/>
        <v>437000.10700289212</v>
      </c>
      <c r="K155" s="10">
        <f t="shared" si="16"/>
        <v>0</v>
      </c>
      <c r="L155" s="10">
        <f t="shared" si="20"/>
        <v>437000.10700289212</v>
      </c>
      <c r="M155" s="10">
        <f>'D) Ecrêtage'!C154</f>
        <v>396480.48181818181</v>
      </c>
      <c r="N155" s="10">
        <f t="shared" si="17"/>
        <v>465726.12930869829</v>
      </c>
      <c r="O155" s="55">
        <f t="shared" si="18"/>
        <v>465726.12930869829</v>
      </c>
      <c r="P155" s="217"/>
      <c r="Q155" s="218"/>
      <c r="R155" s="214"/>
      <c r="S155" s="214"/>
      <c r="T155" s="219"/>
    </row>
    <row r="156" spans="1:20" s="213" customFormat="1" x14ac:dyDescent="0.25">
      <c r="A156" s="308">
        <f>'A) Base RI'!A157</f>
        <v>5649</v>
      </c>
      <c r="B156" s="226" t="str">
        <f>'A) Base RI'!B157</f>
        <v>Tolochenaz</v>
      </c>
      <c r="C156" s="242">
        <v>1</v>
      </c>
      <c r="D156" s="215">
        <f>'B) D RI'!AA157</f>
        <v>1889</v>
      </c>
      <c r="E156" s="216">
        <f>'B) D RI'!S157</f>
        <v>65</v>
      </c>
      <c r="F156" s="10">
        <f>'B) D RI'!R157</f>
        <v>14010642.469999997</v>
      </c>
      <c r="G156" s="10">
        <f>'B) D RI'!U157</f>
        <v>215548.34569230766</v>
      </c>
      <c r="H156" s="41">
        <f>'B) D RI'!T157</f>
        <v>13387852.669999998</v>
      </c>
      <c r="I156" s="10">
        <f t="shared" si="19"/>
        <v>411933.92830769223</v>
      </c>
      <c r="J156" s="31">
        <f t="shared" si="15"/>
        <v>168159.13671388535</v>
      </c>
      <c r="K156" s="10">
        <f t="shared" si="16"/>
        <v>0</v>
      </c>
      <c r="L156" s="10">
        <f t="shared" si="20"/>
        <v>168159.13671388535</v>
      </c>
      <c r="M156" s="10">
        <f>'D) Ecrêtage'!C155</f>
        <v>215548.34569230766</v>
      </c>
      <c r="N156" s="10">
        <f t="shared" si="17"/>
        <v>253194.04440243533</v>
      </c>
      <c r="O156" s="55">
        <f t="shared" si="18"/>
        <v>253194.04440243533</v>
      </c>
      <c r="P156" s="217"/>
      <c r="Q156" s="218"/>
      <c r="R156" s="214"/>
      <c r="S156" s="214"/>
      <c r="T156" s="219"/>
    </row>
    <row r="157" spans="1:20" s="213" customFormat="1" x14ac:dyDescent="0.25">
      <c r="A157" s="308">
        <f>'A) Base RI'!A158</f>
        <v>5650</v>
      </c>
      <c r="B157" s="226" t="str">
        <f>'A) Base RI'!B158</f>
        <v>Vaux-sur-Morges</v>
      </c>
      <c r="C157" s="242">
        <v>0</v>
      </c>
      <c r="D157" s="215">
        <f>'B) D RI'!AA158</f>
        <v>194</v>
      </c>
      <c r="E157" s="216">
        <f>'B) D RI'!S158</f>
        <v>56</v>
      </c>
      <c r="F157" s="10">
        <f>'B) D RI'!R158</f>
        <v>3528136.04</v>
      </c>
      <c r="G157" s="10">
        <f>'B) D RI'!U158</f>
        <v>63002.429285714286</v>
      </c>
      <c r="H157" s="41">
        <f>'B) D RI'!T158</f>
        <v>3482284.04</v>
      </c>
      <c r="I157" s="10">
        <f t="shared" si="19"/>
        <v>124367.28714285714</v>
      </c>
      <c r="J157" s="31">
        <f t="shared" si="15"/>
        <v>17269.916634459372</v>
      </c>
      <c r="K157" s="10">
        <f t="shared" si="16"/>
        <v>17269.916634459372</v>
      </c>
      <c r="L157" s="10">
        <f t="shared" si="20"/>
        <v>0</v>
      </c>
      <c r="M157" s="10">
        <f>'D) Ecrêtage'!C156</f>
        <v>63002.429285714286</v>
      </c>
      <c r="N157" s="10">
        <f t="shared" si="17"/>
        <v>74005.856211949169</v>
      </c>
      <c r="O157" s="55">
        <f t="shared" si="18"/>
        <v>91275.772846408538</v>
      </c>
      <c r="P157" s="217"/>
      <c r="Q157" s="218"/>
      <c r="R157" s="214"/>
      <c r="S157" s="214"/>
      <c r="T157" s="219"/>
    </row>
    <row r="158" spans="1:20" s="213" customFormat="1" x14ac:dyDescent="0.25">
      <c r="A158" s="308">
        <f>'A) Base RI'!A159</f>
        <v>5651</v>
      </c>
      <c r="B158" s="226" t="str">
        <f>'A) Base RI'!B159</f>
        <v>Villars-Sainte-Croix</v>
      </c>
      <c r="C158" s="242">
        <v>1</v>
      </c>
      <c r="D158" s="215">
        <f>'B) D RI'!AA159</f>
        <v>958</v>
      </c>
      <c r="E158" s="216">
        <f>'B) D RI'!S159</f>
        <v>60.5</v>
      </c>
      <c r="F158" s="10">
        <f>'B) D RI'!R159</f>
        <v>3393777.1600000006</v>
      </c>
      <c r="G158" s="10">
        <f>'B) D RI'!U159</f>
        <v>56095.490247933893</v>
      </c>
      <c r="H158" s="41">
        <f>'B) D RI'!T159</f>
        <v>2973242.6600000006</v>
      </c>
      <c r="I158" s="10">
        <f t="shared" si="19"/>
        <v>98289.013553719022</v>
      </c>
      <c r="J158" s="31">
        <f t="shared" si="15"/>
        <v>85281.340906247831</v>
      </c>
      <c r="K158" s="10">
        <f t="shared" si="16"/>
        <v>0</v>
      </c>
      <c r="L158" s="10">
        <f t="shared" si="20"/>
        <v>85281.340906247831</v>
      </c>
      <c r="M158" s="10">
        <f>'D) Ecrêtage'!C157</f>
        <v>56095.490247933893</v>
      </c>
      <c r="N158" s="10">
        <f t="shared" si="17"/>
        <v>65892.614499052594</v>
      </c>
      <c r="O158" s="55">
        <f t="shared" si="18"/>
        <v>65892.614499052594</v>
      </c>
      <c r="P158" s="217"/>
      <c r="Q158" s="218"/>
      <c r="R158" s="214"/>
      <c r="S158" s="214"/>
      <c r="T158" s="219"/>
    </row>
    <row r="159" spans="1:20" s="213" customFormat="1" x14ac:dyDescent="0.25">
      <c r="A159" s="308">
        <f>'A) Base RI'!A160</f>
        <v>5652</v>
      </c>
      <c r="B159" s="226" t="str">
        <f>'A) Base RI'!B160</f>
        <v>Villars-sous-Yens</v>
      </c>
      <c r="C159" s="242">
        <v>0</v>
      </c>
      <c r="D159" s="215">
        <f>'B) D RI'!AA160</f>
        <v>615</v>
      </c>
      <c r="E159" s="216">
        <f>'B) D RI'!S160</f>
        <v>76</v>
      </c>
      <c r="F159" s="10">
        <f>'B) D RI'!R160</f>
        <v>1950333.4316666669</v>
      </c>
      <c r="G159" s="10">
        <f>'B) D RI'!U160</f>
        <v>25662.281995614037</v>
      </c>
      <c r="H159" s="41">
        <f>'B) D RI'!T160</f>
        <v>1839758.4900000002</v>
      </c>
      <c r="I159" s="10">
        <f t="shared" si="19"/>
        <v>48414.697105263163</v>
      </c>
      <c r="J159" s="31">
        <f t="shared" si="15"/>
        <v>54747.416135012965</v>
      </c>
      <c r="K159" s="10">
        <f t="shared" si="16"/>
        <v>48414.697105263163</v>
      </c>
      <c r="L159" s="10">
        <f t="shared" si="20"/>
        <v>6332.7190297498018</v>
      </c>
      <c r="M159" s="10">
        <f>'D) Ecrêtage'!C158</f>
        <v>25662.281995614037</v>
      </c>
      <c r="N159" s="10">
        <f t="shared" si="17"/>
        <v>30144.220992261584</v>
      </c>
      <c r="O159" s="55">
        <f t="shared" si="18"/>
        <v>78558.918097524744</v>
      </c>
      <c r="P159" s="217"/>
      <c r="Q159" s="218"/>
      <c r="R159" s="214"/>
      <c r="S159" s="214"/>
      <c r="T159" s="219"/>
    </row>
    <row r="160" spans="1:20" s="213" customFormat="1" x14ac:dyDescent="0.25">
      <c r="A160" s="308">
        <f>'A) Base RI'!A161</f>
        <v>5653</v>
      </c>
      <c r="B160" s="226" t="str">
        <f>'A) Base RI'!B161</f>
        <v>Vufflens-le-Château</v>
      </c>
      <c r="C160" s="242">
        <v>0</v>
      </c>
      <c r="D160" s="215">
        <f>'B) D RI'!AA161</f>
        <v>870</v>
      </c>
      <c r="E160" s="216">
        <f>'B) D RI'!S161</f>
        <v>58.5</v>
      </c>
      <c r="F160" s="10">
        <f>'B) D RI'!R161</f>
        <v>4023983.0199999996</v>
      </c>
      <c r="G160" s="10">
        <f>'B) D RI'!U161</f>
        <v>68786.034529914527</v>
      </c>
      <c r="H160" s="41">
        <f>'B) D RI'!T161</f>
        <v>3762086.2699999996</v>
      </c>
      <c r="I160" s="10">
        <f t="shared" si="19"/>
        <v>128618.33401709401</v>
      </c>
      <c r="J160" s="31">
        <f t="shared" si="15"/>
        <v>77447.564288554931</v>
      </c>
      <c r="K160" s="10">
        <f t="shared" si="16"/>
        <v>77447.564288554931</v>
      </c>
      <c r="L160" s="10">
        <f t="shared" si="20"/>
        <v>0</v>
      </c>
      <c r="M160" s="10">
        <f>'D) Ecrêtage'!C159</f>
        <v>68786.034529914527</v>
      </c>
      <c r="N160" s="10">
        <f t="shared" si="17"/>
        <v>80799.57294544045</v>
      </c>
      <c r="O160" s="55">
        <f t="shared" si="18"/>
        <v>158247.13723399537</v>
      </c>
      <c r="P160" s="217"/>
      <c r="Q160" s="218"/>
      <c r="R160" s="214"/>
      <c r="S160" s="214"/>
      <c r="T160" s="219"/>
    </row>
    <row r="161" spans="1:20" s="213" customFormat="1" x14ac:dyDescent="0.25">
      <c r="A161" s="308">
        <f>'A) Base RI'!A162</f>
        <v>5654</v>
      </c>
      <c r="B161" s="226" t="str">
        <f>'A) Base RI'!B162</f>
        <v>Vullierens</v>
      </c>
      <c r="C161" s="242">
        <v>0</v>
      </c>
      <c r="D161" s="215">
        <f>'B) D RI'!AA162</f>
        <v>542</v>
      </c>
      <c r="E161" s="216">
        <f>'B) D RI'!S162</f>
        <v>76</v>
      </c>
      <c r="F161" s="10">
        <f>'B) D RI'!R162</f>
        <v>1464208.3499999999</v>
      </c>
      <c r="G161" s="10">
        <f>'B) D RI'!U162</f>
        <v>19265.899342105262</v>
      </c>
      <c r="H161" s="41">
        <f>'B) D RI'!T162</f>
        <v>1355995.65</v>
      </c>
      <c r="I161" s="10">
        <f t="shared" si="19"/>
        <v>35684.096052631576</v>
      </c>
      <c r="J161" s="31">
        <f t="shared" si="15"/>
        <v>48248.942349881341</v>
      </c>
      <c r="K161" s="10">
        <f t="shared" si="16"/>
        <v>35684.096052631576</v>
      </c>
      <c r="L161" s="10">
        <f t="shared" si="20"/>
        <v>12564.846297249765</v>
      </c>
      <c r="M161" s="10">
        <f>'D) Ecrêtage'!C160</f>
        <v>19265.899342105262</v>
      </c>
      <c r="N161" s="10">
        <f t="shared" si="17"/>
        <v>22630.704762824502</v>
      </c>
      <c r="O161" s="55">
        <f t="shared" si="18"/>
        <v>58314.800815456081</v>
      </c>
      <c r="P161" s="217"/>
      <c r="Q161" s="218"/>
      <c r="R161" s="214"/>
      <c r="S161" s="214"/>
      <c r="T161" s="219"/>
    </row>
    <row r="162" spans="1:20" s="213" customFormat="1" x14ac:dyDescent="0.25">
      <c r="A162" s="308">
        <f>'A) Base RI'!A163</f>
        <v>5655</v>
      </c>
      <c r="B162" s="226" t="str">
        <f>'A) Base RI'!B163</f>
        <v>Yens</v>
      </c>
      <c r="C162" s="242">
        <v>0</v>
      </c>
      <c r="D162" s="215">
        <f>'B) D RI'!AA163</f>
        <v>1480</v>
      </c>
      <c r="E162" s="216">
        <f>'B) D RI'!S163</f>
        <v>71.5</v>
      </c>
      <c r="F162" s="10">
        <f>'B) D RI'!R163</f>
        <v>6501861.2300000014</v>
      </c>
      <c r="G162" s="10">
        <f>'B) D RI'!U163</f>
        <v>90935.122097902116</v>
      </c>
      <c r="H162" s="41">
        <f>'B) D RI'!T163</f>
        <v>6074702.4800000014</v>
      </c>
      <c r="I162" s="10">
        <f t="shared" si="19"/>
        <v>169921.74769230772</v>
      </c>
      <c r="J162" s="31">
        <f t="shared" si="15"/>
        <v>131749.87947938079</v>
      </c>
      <c r="K162" s="10">
        <f t="shared" si="16"/>
        <v>131749.87947938079</v>
      </c>
      <c r="L162" s="10">
        <f t="shared" si="20"/>
        <v>0</v>
      </c>
      <c r="M162" s="10">
        <f>'D) Ecrêtage'!C161</f>
        <v>90935.122097902116</v>
      </c>
      <c r="N162" s="10">
        <f t="shared" si="17"/>
        <v>106817.01716729427</v>
      </c>
      <c r="O162" s="55">
        <f t="shared" si="18"/>
        <v>238566.89664667507</v>
      </c>
      <c r="P162" s="217"/>
      <c r="Q162" s="218"/>
      <c r="R162" s="214"/>
      <c r="S162" s="214"/>
      <c r="T162" s="219"/>
    </row>
    <row r="163" spans="1:20" s="213" customFormat="1" x14ac:dyDescent="0.25">
      <c r="A163" s="308">
        <f>'A) Base RI'!A164</f>
        <v>5661</v>
      </c>
      <c r="B163" s="226" t="str">
        <f>'A) Base RI'!B164</f>
        <v>Boulens</v>
      </c>
      <c r="C163" s="242">
        <v>0</v>
      </c>
      <c r="D163" s="215">
        <f>'B) D RI'!AA164</f>
        <v>369</v>
      </c>
      <c r="E163" s="216">
        <f>'B) D RI'!S164</f>
        <v>71.5</v>
      </c>
      <c r="F163" s="10">
        <f>'B) D RI'!R164</f>
        <v>727001.45</v>
      </c>
      <c r="G163" s="10">
        <f>'B) D RI'!U164</f>
        <v>10167.852447552446</v>
      </c>
      <c r="H163" s="41">
        <f>'B) D RI'!T164</f>
        <v>668708.94999999995</v>
      </c>
      <c r="I163" s="10">
        <f t="shared" si="19"/>
        <v>18705.145454545454</v>
      </c>
      <c r="J163" s="31">
        <f t="shared" si="15"/>
        <v>32848.449681007776</v>
      </c>
      <c r="K163" s="10">
        <f t="shared" si="16"/>
        <v>18705.145454545454</v>
      </c>
      <c r="L163" s="10">
        <f t="shared" si="20"/>
        <v>14143.304226462322</v>
      </c>
      <c r="M163" s="10">
        <f>'D) Ecrêtage'!C162</f>
        <v>10167.852447552446</v>
      </c>
      <c r="N163" s="10">
        <f t="shared" si="17"/>
        <v>11943.676374849021</v>
      </c>
      <c r="O163" s="55">
        <f t="shared" si="18"/>
        <v>30648.821829394474</v>
      </c>
      <c r="P163" s="217"/>
      <c r="Q163" s="218"/>
      <c r="R163" s="214"/>
      <c r="S163" s="214"/>
      <c r="T163" s="219"/>
    </row>
    <row r="164" spans="1:20" s="213" customFormat="1" x14ac:dyDescent="0.25">
      <c r="A164" s="308">
        <f>'A) Base RI'!A165</f>
        <v>5663</v>
      </c>
      <c r="B164" s="226" t="str">
        <f>'A) Base RI'!B165</f>
        <v>Bussy-sur-Moudon</v>
      </c>
      <c r="C164" s="242">
        <v>0</v>
      </c>
      <c r="D164" s="215">
        <f>'B) D RI'!AA165</f>
        <v>219</v>
      </c>
      <c r="E164" s="216">
        <f>'B) D RI'!S165</f>
        <v>80</v>
      </c>
      <c r="F164" s="10">
        <f>'B) D RI'!R165</f>
        <v>432650.27999999997</v>
      </c>
      <c r="G164" s="10">
        <f>'B) D RI'!U165</f>
        <v>5408.1284999999998</v>
      </c>
      <c r="H164" s="41">
        <f>'B) D RI'!T165</f>
        <v>398854.32999999996</v>
      </c>
      <c r="I164" s="10">
        <f t="shared" si="19"/>
        <v>9971.3582499999993</v>
      </c>
      <c r="J164" s="31">
        <f t="shared" si="15"/>
        <v>19495.421355394861</v>
      </c>
      <c r="K164" s="10">
        <f t="shared" si="16"/>
        <v>9971.3582499999993</v>
      </c>
      <c r="L164" s="10">
        <f t="shared" si="20"/>
        <v>9524.0631053948619</v>
      </c>
      <c r="M164" s="10">
        <f>'D) Ecrêtage'!C163</f>
        <v>5408.1284999999998</v>
      </c>
      <c r="N164" s="10">
        <f t="shared" si="17"/>
        <v>6352.6626621284377</v>
      </c>
      <c r="O164" s="55">
        <f t="shared" si="18"/>
        <v>16324.020912128437</v>
      </c>
      <c r="P164" s="217"/>
      <c r="Q164" s="218"/>
      <c r="R164" s="214"/>
      <c r="S164" s="214"/>
      <c r="T164" s="219"/>
    </row>
    <row r="165" spans="1:20" s="213" customFormat="1" x14ac:dyDescent="0.25">
      <c r="A165" s="308">
        <f>'A) Base RI'!A166</f>
        <v>5665</v>
      </c>
      <c r="B165" s="226" t="str">
        <f>'A) Base RI'!B166</f>
        <v>Chavannes-sur-Moudon</v>
      </c>
      <c r="C165" s="242">
        <v>0</v>
      </c>
      <c r="D165" s="215">
        <f>'B) D RI'!AA166</f>
        <v>223</v>
      </c>
      <c r="E165" s="216">
        <f>'B) D RI'!S166</f>
        <v>73</v>
      </c>
      <c r="F165" s="10">
        <f>'B) D RI'!R166</f>
        <v>498942.02</v>
      </c>
      <c r="G165" s="10">
        <f>'B) D RI'!U166</f>
        <v>6834.8221917808223</v>
      </c>
      <c r="H165" s="41">
        <f>'B) D RI'!T166</f>
        <v>473342.12</v>
      </c>
      <c r="I165" s="10">
        <f t="shared" si="19"/>
        <v>12968.277260273973</v>
      </c>
      <c r="J165" s="31">
        <f t="shared" si="15"/>
        <v>19851.502110744539</v>
      </c>
      <c r="K165" s="10">
        <f t="shared" si="16"/>
        <v>12968.277260273973</v>
      </c>
      <c r="L165" s="10">
        <f t="shared" si="20"/>
        <v>6883.2248504705658</v>
      </c>
      <c r="M165" s="10">
        <f>'D) Ecrêtage'!C164</f>
        <v>6834.8221917808223</v>
      </c>
      <c r="N165" s="10">
        <f t="shared" si="17"/>
        <v>8028.5295994747321</v>
      </c>
      <c r="O165" s="55">
        <f t="shared" si="18"/>
        <v>20996.806859748707</v>
      </c>
      <c r="P165" s="217"/>
      <c r="Q165" s="218"/>
      <c r="R165" s="214"/>
      <c r="S165" s="214"/>
      <c r="T165" s="219"/>
    </row>
    <row r="166" spans="1:20" s="213" customFormat="1" x14ac:dyDescent="0.25">
      <c r="A166" s="308">
        <f>'A) Base RI'!A167</f>
        <v>5669</v>
      </c>
      <c r="B166" s="226" t="str">
        <f>'A) Base RI'!B167</f>
        <v>Curtilles</v>
      </c>
      <c r="C166" s="242">
        <v>0</v>
      </c>
      <c r="D166" s="215">
        <f>'B) D RI'!AA167</f>
        <v>301</v>
      </c>
      <c r="E166" s="216">
        <f>'B) D RI'!S167</f>
        <v>73</v>
      </c>
      <c r="F166" s="10">
        <f>'B) D RI'!R167</f>
        <v>750940.34</v>
      </c>
      <c r="G166" s="10">
        <f>'B) D RI'!U167</f>
        <v>10286.853972602739</v>
      </c>
      <c r="H166" s="41">
        <f>'B) D RI'!T167</f>
        <v>702315.74</v>
      </c>
      <c r="I166" s="10">
        <f t="shared" si="19"/>
        <v>19241.527123287669</v>
      </c>
      <c r="J166" s="31">
        <f t="shared" si="15"/>
        <v>26795.076840063255</v>
      </c>
      <c r="K166" s="10">
        <f t="shared" si="16"/>
        <v>19241.527123287669</v>
      </c>
      <c r="L166" s="10">
        <f t="shared" si="20"/>
        <v>7553.5497167755857</v>
      </c>
      <c r="M166" s="10">
        <f>'D) Ecrêtage'!C165</f>
        <v>10286.853972602739</v>
      </c>
      <c r="N166" s="10">
        <f t="shared" si="17"/>
        <v>12083.461615699593</v>
      </c>
      <c r="O166" s="55">
        <f t="shared" si="18"/>
        <v>31324.98873898726</v>
      </c>
      <c r="P166" s="217"/>
      <c r="Q166" s="218"/>
      <c r="R166" s="214"/>
      <c r="S166" s="214"/>
      <c r="T166" s="219"/>
    </row>
    <row r="167" spans="1:20" s="213" customFormat="1" x14ac:dyDescent="0.25">
      <c r="A167" s="308">
        <f>'A) Base RI'!A168</f>
        <v>5671</v>
      </c>
      <c r="B167" s="226" t="str">
        <f>'A) Base RI'!B168</f>
        <v>Dompierre</v>
      </c>
      <c r="C167" s="242">
        <v>0</v>
      </c>
      <c r="D167" s="215">
        <f>'B) D RI'!AA168</f>
        <v>245</v>
      </c>
      <c r="E167" s="216">
        <f>'B) D RI'!S168</f>
        <v>78</v>
      </c>
      <c r="F167" s="10">
        <f>'B) D RI'!R168</f>
        <v>470657.13</v>
      </c>
      <c r="G167" s="10">
        <f>'B) D RI'!U168</f>
        <v>6034.0657692307695</v>
      </c>
      <c r="H167" s="41">
        <f>'B) D RI'!T168</f>
        <v>438408.73</v>
      </c>
      <c r="I167" s="10">
        <f t="shared" si="19"/>
        <v>11241.249487179486</v>
      </c>
      <c r="J167" s="31">
        <f t="shared" si="15"/>
        <v>21809.946265167768</v>
      </c>
      <c r="K167" s="10">
        <f t="shared" si="16"/>
        <v>11241.249487179486</v>
      </c>
      <c r="L167" s="10">
        <f t="shared" si="20"/>
        <v>10568.696777988282</v>
      </c>
      <c r="M167" s="10">
        <f>'D) Ecrêtage'!C166</f>
        <v>6034.0657692307695</v>
      </c>
      <c r="N167" s="10">
        <f t="shared" si="17"/>
        <v>7087.9203985296617</v>
      </c>
      <c r="O167" s="55">
        <f t="shared" si="18"/>
        <v>18329.169885709147</v>
      </c>
      <c r="P167" s="217"/>
      <c r="Q167" s="218"/>
      <c r="R167" s="214"/>
      <c r="S167" s="214"/>
      <c r="T167" s="219"/>
    </row>
    <row r="168" spans="1:20" s="213" customFormat="1" x14ac:dyDescent="0.25">
      <c r="A168" s="308">
        <f>'A) Base RI'!A169</f>
        <v>5673</v>
      </c>
      <c r="B168" s="226" t="str">
        <f>'A) Base RI'!B169</f>
        <v>Hermenches</v>
      </c>
      <c r="C168" s="242">
        <v>0</v>
      </c>
      <c r="D168" s="215">
        <f>'B) D RI'!AA169</f>
        <v>384</v>
      </c>
      <c r="E168" s="216">
        <f>'B) D RI'!S169</f>
        <v>73.5</v>
      </c>
      <c r="F168" s="10">
        <f>'B) D RI'!R169</f>
        <v>781946.54</v>
      </c>
      <c r="G168" s="10">
        <f>'B) D RI'!U169</f>
        <v>10638.728435374151</v>
      </c>
      <c r="H168" s="41">
        <f>'B) D RI'!T169</f>
        <v>732113.54</v>
      </c>
      <c r="I168" s="10">
        <f t="shared" si="19"/>
        <v>19921.456870748301</v>
      </c>
      <c r="J168" s="31">
        <f t="shared" si="15"/>
        <v>34183.752513569067</v>
      </c>
      <c r="K168" s="10">
        <f t="shared" si="16"/>
        <v>19921.456870748301</v>
      </c>
      <c r="L168" s="10">
        <f t="shared" si="20"/>
        <v>14262.295642820765</v>
      </c>
      <c r="M168" s="10">
        <f>'D) Ecrêtage'!C167</f>
        <v>10638.728435374151</v>
      </c>
      <c r="N168" s="10">
        <f t="shared" si="17"/>
        <v>12496.791247457501</v>
      </c>
      <c r="O168" s="55">
        <f t="shared" si="18"/>
        <v>32418.248118205804</v>
      </c>
      <c r="P168" s="217"/>
      <c r="Q168" s="218"/>
      <c r="R168" s="214"/>
      <c r="S168" s="214"/>
      <c r="T168" s="219"/>
    </row>
    <row r="169" spans="1:20" s="213" customFormat="1" x14ac:dyDescent="0.25">
      <c r="A169" s="308">
        <f>'A) Base RI'!A170</f>
        <v>5674</v>
      </c>
      <c r="B169" s="226" t="str">
        <f>'A) Base RI'!B170</f>
        <v>Lovatens</v>
      </c>
      <c r="C169" s="242">
        <v>0</v>
      </c>
      <c r="D169" s="215">
        <f>'B) D RI'!AA170</f>
        <v>142</v>
      </c>
      <c r="E169" s="216">
        <f>'B) D RI'!S170</f>
        <v>75</v>
      </c>
      <c r="F169" s="10">
        <f>'B) D RI'!R170</f>
        <v>257305.65285714291</v>
      </c>
      <c r="G169" s="10">
        <f>'B) D RI'!U170</f>
        <v>3430.742038095239</v>
      </c>
      <c r="H169" s="41">
        <f>'B) D RI'!T170</f>
        <v>238195.91000000003</v>
      </c>
      <c r="I169" s="10">
        <f t="shared" si="19"/>
        <v>6351.890933333334</v>
      </c>
      <c r="J169" s="31">
        <f t="shared" si="15"/>
        <v>12640.866814913563</v>
      </c>
      <c r="K169" s="10">
        <f t="shared" si="16"/>
        <v>6351.890933333334</v>
      </c>
      <c r="L169" s="10">
        <f t="shared" si="20"/>
        <v>6288.9758815802288</v>
      </c>
      <c r="M169" s="10">
        <f>'D) Ecrêtage'!C168</f>
        <v>3430.742038095239</v>
      </c>
      <c r="N169" s="10">
        <f t="shared" si="17"/>
        <v>4029.9240021390101</v>
      </c>
      <c r="O169" s="55">
        <f t="shared" si="18"/>
        <v>10381.814935472345</v>
      </c>
      <c r="P169" s="217"/>
      <c r="Q169" s="218"/>
      <c r="R169" s="214"/>
      <c r="S169" s="214"/>
      <c r="T169" s="219"/>
    </row>
    <row r="170" spans="1:20" s="213" customFormat="1" x14ac:dyDescent="0.25">
      <c r="A170" s="308">
        <f>'A) Base RI'!A171</f>
        <v>5675</v>
      </c>
      <c r="B170" s="226" t="str">
        <f>'A) Base RI'!B171</f>
        <v>Lucens</v>
      </c>
      <c r="C170" s="242">
        <v>0</v>
      </c>
      <c r="D170" s="215">
        <f>'B) D RI'!AA171</f>
        <v>4309</v>
      </c>
      <c r="E170" s="216">
        <f>'B) D RI'!S171</f>
        <v>67.5</v>
      </c>
      <c r="F170" s="10">
        <f>'B) D RI'!R171</f>
        <v>6557909.8309090892</v>
      </c>
      <c r="G170" s="10">
        <f>'B) D RI'!U171</f>
        <v>97154.219717171698</v>
      </c>
      <c r="H170" s="41">
        <f>'B) D RI'!T171</f>
        <v>5951040.5399999982</v>
      </c>
      <c r="I170" s="10">
        <f t="shared" ref="I170" si="21">+H170/E170*$I$5</f>
        <v>176327.12711111107</v>
      </c>
      <c r="J170" s="31">
        <f t="shared" ref="J170" si="22">+$I$315/$D$315*D170</f>
        <v>383587.99370044045</v>
      </c>
      <c r="K170" s="10">
        <f t="shared" ref="K170" si="23">IF(C170=1,0,IF(J170&gt;I170,I170,J170))</f>
        <v>176327.12711111107</v>
      </c>
      <c r="L170" s="10">
        <f t="shared" ref="L170" si="24">+J170-K170</f>
        <v>207260.86658932938</v>
      </c>
      <c r="M170" s="10">
        <f>'D) Ecrêtage'!C169</f>
        <v>97154.219717171698</v>
      </c>
      <c r="N170" s="10">
        <f t="shared" ref="N170" si="25">+$N$5*M170</f>
        <v>114122.28538310417</v>
      </c>
      <c r="O170" s="55">
        <f t="shared" ref="O170" si="26">+N170+K170</f>
        <v>290449.41249421524</v>
      </c>
      <c r="P170" s="217"/>
      <c r="Q170" s="218"/>
      <c r="R170" s="214"/>
      <c r="S170" s="214"/>
      <c r="T170" s="219"/>
    </row>
    <row r="171" spans="1:20" s="213" customFormat="1" x14ac:dyDescent="0.25">
      <c r="A171" s="308">
        <f>'A) Base RI'!A172</f>
        <v>5678</v>
      </c>
      <c r="B171" s="226" t="str">
        <f>'A) Base RI'!B172</f>
        <v>Moudon</v>
      </c>
      <c r="C171" s="242">
        <v>0</v>
      </c>
      <c r="D171" s="215">
        <f>'B) D RI'!AA172</f>
        <v>6109</v>
      </c>
      <c r="E171" s="216">
        <f>'B) D RI'!S172</f>
        <v>72.5</v>
      </c>
      <c r="F171" s="10">
        <f>'B) D RI'!R172</f>
        <v>9059992.8499999996</v>
      </c>
      <c r="G171" s="10">
        <f>'B) D RI'!U172</f>
        <v>124965.41862068966</v>
      </c>
      <c r="H171" s="41">
        <f>'B) D RI'!T172</f>
        <v>8141307.5999999996</v>
      </c>
      <c r="I171" s="10">
        <f t="shared" si="19"/>
        <v>224587.79586206895</v>
      </c>
      <c r="J171" s="31">
        <f t="shared" ref="J171:J218" si="27">+$I$315/$D$315*D171</f>
        <v>543824.33360779542</v>
      </c>
      <c r="K171" s="10">
        <f t="shared" si="16"/>
        <v>224587.79586206895</v>
      </c>
      <c r="L171" s="10">
        <f t="shared" si="20"/>
        <v>319236.53774572647</v>
      </c>
      <c r="M171" s="10">
        <f>'D) Ecrêtage'!C170</f>
        <v>124965.41862068966</v>
      </c>
      <c r="N171" s="10">
        <f t="shared" si="17"/>
        <v>146790.73341709704</v>
      </c>
      <c r="O171" s="55">
        <f t="shared" si="18"/>
        <v>371378.52927916602</v>
      </c>
      <c r="P171" s="217"/>
      <c r="Q171" s="218"/>
      <c r="R171" s="214"/>
      <c r="S171" s="214"/>
      <c r="T171" s="219"/>
    </row>
    <row r="172" spans="1:20" s="213" customFormat="1" x14ac:dyDescent="0.25">
      <c r="A172" s="308">
        <f>'A) Base RI'!A173</f>
        <v>5680</v>
      </c>
      <c r="B172" s="226" t="str">
        <f>'A) Base RI'!B173</f>
        <v>Ogens</v>
      </c>
      <c r="C172" s="242">
        <v>0</v>
      </c>
      <c r="D172" s="215">
        <f>'B) D RI'!AA173</f>
        <v>301</v>
      </c>
      <c r="E172" s="216">
        <f>'B) D RI'!S173</f>
        <v>78</v>
      </c>
      <c r="F172" s="10">
        <f>'B) D RI'!R173</f>
        <v>676655.08666666667</v>
      </c>
      <c r="G172" s="10">
        <f>'B) D RI'!U173</f>
        <v>8675.0652136752142</v>
      </c>
      <c r="H172" s="41">
        <f>'B) D RI'!T173</f>
        <v>625010.72</v>
      </c>
      <c r="I172" s="10">
        <f t="shared" si="19"/>
        <v>16025.915897435896</v>
      </c>
      <c r="J172" s="31">
        <f t="shared" si="27"/>
        <v>26795.076840063255</v>
      </c>
      <c r="K172" s="10">
        <f t="shared" si="16"/>
        <v>16025.915897435896</v>
      </c>
      <c r="L172" s="10">
        <f t="shared" si="20"/>
        <v>10769.160942627359</v>
      </c>
      <c r="M172" s="10">
        <f>'D) Ecrêtage'!C171</f>
        <v>8675.0652136752142</v>
      </c>
      <c r="N172" s="10">
        <f t="shared" si="17"/>
        <v>10190.172603044433</v>
      </c>
      <c r="O172" s="55">
        <f t="shared" si="18"/>
        <v>26216.088500480328</v>
      </c>
      <c r="P172" s="217"/>
      <c r="Q172" s="218"/>
      <c r="R172" s="214"/>
      <c r="S172" s="214"/>
      <c r="T172" s="219"/>
    </row>
    <row r="173" spans="1:20" s="213" customFormat="1" x14ac:dyDescent="0.25">
      <c r="A173" s="308">
        <f>'A) Base RI'!A174</f>
        <v>5683</v>
      </c>
      <c r="B173" s="226" t="str">
        <f>'A) Base RI'!B174</f>
        <v>Prévonloup</v>
      </c>
      <c r="C173" s="242">
        <v>0</v>
      </c>
      <c r="D173" s="215">
        <f>'B) D RI'!AA174</f>
        <v>202</v>
      </c>
      <c r="E173" s="216">
        <f>'B) D RI'!S174</f>
        <v>72.5</v>
      </c>
      <c r="F173" s="10">
        <f>'B) D RI'!R174</f>
        <v>362937.05000000005</v>
      </c>
      <c r="G173" s="10">
        <f>'B) D RI'!U174</f>
        <v>5006.0282758620697</v>
      </c>
      <c r="H173" s="41">
        <f>'B) D RI'!T174</f>
        <v>332152.80000000005</v>
      </c>
      <c r="I173" s="10">
        <f t="shared" si="19"/>
        <v>9162.8358620689669</v>
      </c>
      <c r="J173" s="31">
        <f t="shared" si="27"/>
        <v>17982.078145158728</v>
      </c>
      <c r="K173" s="10">
        <f t="shared" si="16"/>
        <v>9162.8358620689669</v>
      </c>
      <c r="L173" s="10">
        <f t="shared" si="20"/>
        <v>8819.2422830897613</v>
      </c>
      <c r="M173" s="10">
        <f>'D) Ecrêtage'!C172</f>
        <v>5006.0282758620697</v>
      </c>
      <c r="N173" s="10">
        <f t="shared" si="17"/>
        <v>5880.3352978073963</v>
      </c>
      <c r="O173" s="55">
        <f t="shared" si="18"/>
        <v>15043.171159876363</v>
      </c>
      <c r="P173" s="217"/>
      <c r="Q173" s="218"/>
      <c r="R173" s="214"/>
      <c r="S173" s="214"/>
      <c r="T173" s="219"/>
    </row>
    <row r="174" spans="1:20" s="213" customFormat="1" x14ac:dyDescent="0.25">
      <c r="A174" s="308">
        <f>'A) Base RI'!A175</f>
        <v>5684</v>
      </c>
      <c r="B174" s="226" t="str">
        <f>'A) Base RI'!B175</f>
        <v>Rossenges</v>
      </c>
      <c r="C174" s="242">
        <v>0</v>
      </c>
      <c r="D174" s="215">
        <f>'B) D RI'!AA175</f>
        <v>84</v>
      </c>
      <c r="E174" s="216">
        <f>'B) D RI'!S175</f>
        <v>75</v>
      </c>
      <c r="F174" s="10">
        <f>'B) D RI'!R175</f>
        <v>325149.25500000006</v>
      </c>
      <c r="G174" s="10">
        <f>'B) D RI'!U175</f>
        <v>4335.3234000000011</v>
      </c>
      <c r="H174" s="41">
        <f>'B) D RI'!T175</f>
        <v>317071.88000000006</v>
      </c>
      <c r="I174" s="10">
        <f t="shared" si="19"/>
        <v>8455.2501333333348</v>
      </c>
      <c r="J174" s="31">
        <f t="shared" si="27"/>
        <v>7477.6958623432338</v>
      </c>
      <c r="K174" s="10">
        <f t="shared" si="16"/>
        <v>7477.6958623432338</v>
      </c>
      <c r="L174" s="10">
        <f t="shared" si="20"/>
        <v>0</v>
      </c>
      <c r="M174" s="10">
        <f>'D) Ecrêtage'!C173</f>
        <v>4335.3234000000011</v>
      </c>
      <c r="N174" s="10">
        <f t="shared" si="17"/>
        <v>5092.4912548641769</v>
      </c>
      <c r="O174" s="55">
        <f t="shared" si="18"/>
        <v>12570.18711720741</v>
      </c>
      <c r="P174" s="217"/>
      <c r="Q174" s="218"/>
      <c r="R174" s="214"/>
      <c r="S174" s="214"/>
      <c r="T174" s="219"/>
    </row>
    <row r="175" spans="1:20" s="213" customFormat="1" x14ac:dyDescent="0.25">
      <c r="A175" s="308">
        <f>'A) Base RI'!A176</f>
        <v>5688</v>
      </c>
      <c r="B175" s="226" t="str">
        <f>'A) Base RI'!B176</f>
        <v>Syens</v>
      </c>
      <c r="C175" s="242">
        <v>0</v>
      </c>
      <c r="D175" s="215">
        <f>'B) D RI'!AA176</f>
        <v>156</v>
      </c>
      <c r="E175" s="216">
        <f>'B) D RI'!S176</f>
        <v>75.599999999999994</v>
      </c>
      <c r="F175" s="10">
        <f>'B) D RI'!R176</f>
        <v>385112.18</v>
      </c>
      <c r="G175" s="10">
        <f>'B) D RI'!U176</f>
        <v>5094.0764550264557</v>
      </c>
      <c r="H175" s="41">
        <f>'B) D RI'!T176</f>
        <v>361244.27999999997</v>
      </c>
      <c r="I175" s="10">
        <f t="shared" si="19"/>
        <v>9556.7269841269845</v>
      </c>
      <c r="J175" s="31">
        <f t="shared" si="27"/>
        <v>13887.149458637436</v>
      </c>
      <c r="K175" s="10">
        <f t="shared" si="16"/>
        <v>9556.7269841269845</v>
      </c>
      <c r="L175" s="10">
        <f t="shared" si="20"/>
        <v>4330.4224745104511</v>
      </c>
      <c r="M175" s="10">
        <f>'D) Ecrêtage'!C174</f>
        <v>5094.0764550264557</v>
      </c>
      <c r="N175" s="10">
        <f t="shared" si="17"/>
        <v>5983.7611650452018</v>
      </c>
      <c r="O175" s="55">
        <f t="shared" si="18"/>
        <v>15540.488149172186</v>
      </c>
      <c r="P175" s="217"/>
      <c r="Q175" s="218"/>
      <c r="R175" s="214"/>
      <c r="S175" s="214"/>
      <c r="T175" s="219"/>
    </row>
    <row r="176" spans="1:20" s="213" customFormat="1" x14ac:dyDescent="0.25">
      <c r="A176" s="308">
        <f>'A) Base RI'!A177</f>
        <v>5690</v>
      </c>
      <c r="B176" s="226" t="str">
        <f>'A) Base RI'!B177</f>
        <v>Villars-le-Comte</v>
      </c>
      <c r="C176" s="242">
        <v>0</v>
      </c>
      <c r="D176" s="215">
        <f>'B) D RI'!AA177</f>
        <v>120</v>
      </c>
      <c r="E176" s="216">
        <f>'B) D RI'!S177</f>
        <v>70</v>
      </c>
      <c r="F176" s="10">
        <f>'B) D RI'!R177</f>
        <v>243864.52000000002</v>
      </c>
      <c r="G176" s="10">
        <f>'B) D RI'!U177</f>
        <v>3483.7788571428573</v>
      </c>
      <c r="H176" s="41">
        <f>'B) D RI'!T177</f>
        <v>222215.42</v>
      </c>
      <c r="I176" s="10">
        <f t="shared" si="19"/>
        <v>6349.0120000000006</v>
      </c>
      <c r="J176" s="31">
        <f t="shared" si="27"/>
        <v>10682.422660490334</v>
      </c>
      <c r="K176" s="10">
        <f t="shared" si="16"/>
        <v>6349.0120000000006</v>
      </c>
      <c r="L176" s="10">
        <f t="shared" si="20"/>
        <v>4333.4106604903336</v>
      </c>
      <c r="M176" s="10">
        <f>'D) Ecrêtage'!C175</f>
        <v>3483.7788571428573</v>
      </c>
      <c r="N176" s="10">
        <f t="shared" si="17"/>
        <v>4092.2237459564635</v>
      </c>
      <c r="O176" s="55">
        <f t="shared" si="18"/>
        <v>10441.235745956465</v>
      </c>
      <c r="P176" s="217"/>
      <c r="Q176" s="218"/>
      <c r="R176" s="214"/>
      <c r="S176" s="214"/>
      <c r="T176" s="219"/>
    </row>
    <row r="177" spans="1:20" s="213" customFormat="1" x14ac:dyDescent="0.25">
      <c r="A177" s="308">
        <f>'A) Base RI'!A178</f>
        <v>5692</v>
      </c>
      <c r="B177" s="226" t="str">
        <f>'A) Base RI'!B178</f>
        <v>Vucherens</v>
      </c>
      <c r="C177" s="242">
        <v>0</v>
      </c>
      <c r="D177" s="215">
        <f>'B) D RI'!AA178</f>
        <v>617</v>
      </c>
      <c r="E177" s="216">
        <f>'B) D RI'!S178</f>
        <v>77</v>
      </c>
      <c r="F177" s="10">
        <f>'B) D RI'!R178</f>
        <v>1392510.8400000003</v>
      </c>
      <c r="G177" s="10">
        <f>'B) D RI'!U178</f>
        <v>18084.556363636369</v>
      </c>
      <c r="H177" s="41">
        <f>'B) D RI'!T178</f>
        <v>1291418.2900000003</v>
      </c>
      <c r="I177" s="10">
        <f t="shared" si="19"/>
        <v>33543.332207792213</v>
      </c>
      <c r="J177" s="31">
        <f t="shared" si="27"/>
        <v>54925.456512687801</v>
      </c>
      <c r="K177" s="10">
        <f t="shared" si="16"/>
        <v>33543.332207792213</v>
      </c>
      <c r="L177" s="10">
        <f t="shared" si="20"/>
        <v>21382.124304895588</v>
      </c>
      <c r="M177" s="10">
        <f>'D) Ecrêtage'!C176</f>
        <v>18084.556363636369</v>
      </c>
      <c r="N177" s="10">
        <f t="shared" si="17"/>
        <v>21243.039245911037</v>
      </c>
      <c r="O177" s="55">
        <f t="shared" si="18"/>
        <v>54786.37145370325</v>
      </c>
      <c r="P177" s="217"/>
      <c r="Q177" s="218"/>
      <c r="R177" s="214"/>
      <c r="S177" s="214"/>
      <c r="T177" s="219"/>
    </row>
    <row r="178" spans="1:20" s="213" customFormat="1" x14ac:dyDescent="0.25">
      <c r="A178" s="308">
        <f>'A) Base RI'!A179</f>
        <v>5693</v>
      </c>
      <c r="B178" s="226" t="str">
        <f>'A) Base RI'!B179</f>
        <v>Montanaire</v>
      </c>
      <c r="C178" s="242">
        <v>0</v>
      </c>
      <c r="D178" s="215">
        <f>'B) D RI'!AA179</f>
        <v>2782</v>
      </c>
      <c r="E178" s="216">
        <f>'B) D RI'!S179</f>
        <v>72</v>
      </c>
      <c r="F178" s="10">
        <f>'B) D RI'!R179</f>
        <v>5120678.5299999993</v>
      </c>
      <c r="G178" s="10">
        <f>'B) D RI'!U179</f>
        <v>71120.535138888881</v>
      </c>
      <c r="H178" s="41">
        <f>'B) D RI'!T179</f>
        <v>4687410.63</v>
      </c>
      <c r="I178" s="10">
        <f t="shared" si="19"/>
        <v>130205.85083333333</v>
      </c>
      <c r="J178" s="31">
        <f t="shared" si="27"/>
        <v>247654.16534570092</v>
      </c>
      <c r="K178" s="10">
        <f t="shared" si="16"/>
        <v>130205.85083333333</v>
      </c>
      <c r="L178" s="10">
        <f t="shared" si="20"/>
        <v>117448.31451236759</v>
      </c>
      <c r="M178" s="10">
        <f>'D) Ecrêtage'!C177</f>
        <v>71120.535138888881</v>
      </c>
      <c r="N178" s="10">
        <f t="shared" si="17"/>
        <v>83541.796036727479</v>
      </c>
      <c r="O178" s="55">
        <f t="shared" si="18"/>
        <v>213747.64687006082</v>
      </c>
      <c r="P178" s="217"/>
      <c r="Q178" s="218"/>
      <c r="R178" s="214"/>
      <c r="S178" s="214"/>
      <c r="T178" s="219"/>
    </row>
    <row r="179" spans="1:20" s="213" customFormat="1" x14ac:dyDescent="0.25">
      <c r="A179" s="308">
        <f>'A) Base RI'!A180</f>
        <v>5701</v>
      </c>
      <c r="B179" s="226" t="str">
        <f>'A) Base RI'!B180</f>
        <v>Arnex-sur-Nyon</v>
      </c>
      <c r="C179" s="242">
        <v>0</v>
      </c>
      <c r="D179" s="215">
        <f>'B) D RI'!AA180</f>
        <v>240</v>
      </c>
      <c r="E179" s="216">
        <f>'B) D RI'!S180</f>
        <v>70</v>
      </c>
      <c r="F179" s="10">
        <f>'B) D RI'!R180</f>
        <v>880557.42</v>
      </c>
      <c r="G179" s="10">
        <f>'B) D RI'!U180</f>
        <v>12579.391714285715</v>
      </c>
      <c r="H179" s="41">
        <f>'B) D RI'!T180</f>
        <v>808392.07000000007</v>
      </c>
      <c r="I179" s="10">
        <f t="shared" si="19"/>
        <v>23096.916285714287</v>
      </c>
      <c r="J179" s="31">
        <f t="shared" si="27"/>
        <v>21364.845320980668</v>
      </c>
      <c r="K179" s="10">
        <f t="shared" si="16"/>
        <v>21364.845320980668</v>
      </c>
      <c r="L179" s="10">
        <f t="shared" si="20"/>
        <v>0</v>
      </c>
      <c r="M179" s="10">
        <f>'D) Ecrêtage'!C178</f>
        <v>12579.391714285715</v>
      </c>
      <c r="N179" s="10">
        <f t="shared" si="17"/>
        <v>14776.392989854199</v>
      </c>
      <c r="O179" s="55">
        <f t="shared" si="18"/>
        <v>36141.238310834866</v>
      </c>
      <c r="P179" s="217"/>
      <c r="Q179" s="218"/>
      <c r="R179" s="214"/>
      <c r="S179" s="214"/>
      <c r="T179" s="219"/>
    </row>
    <row r="180" spans="1:20" s="213" customFormat="1" x14ac:dyDescent="0.25">
      <c r="A180" s="308">
        <f>'A) Base RI'!A181</f>
        <v>5702</v>
      </c>
      <c r="B180" s="226" t="str">
        <f>'A) Base RI'!B181</f>
        <v>Arzier-Le Muids</v>
      </c>
      <c r="C180" s="242">
        <v>0</v>
      </c>
      <c r="D180" s="215">
        <f>'B) D RI'!AA181</f>
        <v>2912</v>
      </c>
      <c r="E180" s="216">
        <f>'B) D RI'!S181</f>
        <v>64</v>
      </c>
      <c r="F180" s="10">
        <f>'B) D RI'!R181</f>
        <v>10736071.496666666</v>
      </c>
      <c r="G180" s="10">
        <f>'B) D RI'!U181</f>
        <v>167751.11713541666</v>
      </c>
      <c r="H180" s="41">
        <f>'B) D RI'!T181</f>
        <v>9900914.4799999986</v>
      </c>
      <c r="I180" s="10">
        <f t="shared" si="19"/>
        <v>309403.57749999996</v>
      </c>
      <c r="J180" s="31">
        <f t="shared" si="27"/>
        <v>259226.78989456545</v>
      </c>
      <c r="K180" s="10">
        <f t="shared" si="16"/>
        <v>259226.78989456545</v>
      </c>
      <c r="L180" s="10">
        <f t="shared" si="20"/>
        <v>0</v>
      </c>
      <c r="M180" s="10">
        <f>'D) Ecrêtage'!C179</f>
        <v>167751.11713541666</v>
      </c>
      <c r="N180" s="10">
        <f t="shared" si="17"/>
        <v>197048.98993367029</v>
      </c>
      <c r="O180" s="55">
        <f t="shared" si="18"/>
        <v>456275.77982823574</v>
      </c>
      <c r="P180" s="217"/>
      <c r="Q180" s="218"/>
      <c r="R180" s="214"/>
      <c r="S180" s="214"/>
      <c r="T180" s="219"/>
    </row>
    <row r="181" spans="1:20" s="213" customFormat="1" x14ac:dyDescent="0.25">
      <c r="A181" s="308">
        <f>'A) Base RI'!A182</f>
        <v>5703</v>
      </c>
      <c r="B181" s="226" t="str">
        <f>'A) Base RI'!B182</f>
        <v>Bassins</v>
      </c>
      <c r="C181" s="242">
        <v>0</v>
      </c>
      <c r="D181" s="215">
        <f>'B) D RI'!AA182</f>
        <v>1475</v>
      </c>
      <c r="E181" s="216">
        <f>'B) D RI'!S182</f>
        <v>72.5</v>
      </c>
      <c r="F181" s="10">
        <f>'B) D RI'!R182</f>
        <v>4850566.3871428566</v>
      </c>
      <c r="G181" s="10">
        <f>'B) D RI'!U182</f>
        <v>66904.36396059113</v>
      </c>
      <c r="H181" s="41">
        <f>'B) D RI'!T182</f>
        <v>4522440.7799999993</v>
      </c>
      <c r="I181" s="10">
        <f t="shared" si="19"/>
        <v>124756.98703448274</v>
      </c>
      <c r="J181" s="31">
        <f t="shared" si="27"/>
        <v>131304.77853519371</v>
      </c>
      <c r="K181" s="10">
        <f t="shared" si="16"/>
        <v>124756.98703448274</v>
      </c>
      <c r="L181" s="10">
        <f t="shared" si="20"/>
        <v>6547.7915007109696</v>
      </c>
      <c r="M181" s="10">
        <f>'D) Ecrêtage'!C180</f>
        <v>66904.36396059113</v>
      </c>
      <c r="N181" s="10">
        <f t="shared" si="17"/>
        <v>78589.26703866203</v>
      </c>
      <c r="O181" s="55">
        <f t="shared" si="18"/>
        <v>203346.25407314475</v>
      </c>
      <c r="P181" s="217"/>
      <c r="Q181" s="218"/>
      <c r="R181" s="214"/>
      <c r="S181" s="214"/>
      <c r="T181" s="219"/>
    </row>
    <row r="182" spans="1:20" s="213" customFormat="1" x14ac:dyDescent="0.25">
      <c r="A182" s="308">
        <f>'A) Base RI'!A183</f>
        <v>5704</v>
      </c>
      <c r="B182" s="226" t="str">
        <f>'A) Base RI'!B183</f>
        <v>Begnins</v>
      </c>
      <c r="C182" s="242">
        <v>0</v>
      </c>
      <c r="D182" s="215">
        <f>'B) D RI'!AA183</f>
        <v>1928</v>
      </c>
      <c r="E182" s="216">
        <f>'B) D RI'!S183</f>
        <v>62.5</v>
      </c>
      <c r="F182" s="10">
        <f>'B) D RI'!R183</f>
        <v>8846174.6733333338</v>
      </c>
      <c r="G182" s="10">
        <f>'B) D RI'!U183</f>
        <v>141538.79477333333</v>
      </c>
      <c r="H182" s="41">
        <f>'B) D RI'!T183</f>
        <v>8294407.0900000008</v>
      </c>
      <c r="I182" s="10">
        <f t="shared" si="19"/>
        <v>265421.02688000002</v>
      </c>
      <c r="J182" s="31">
        <f t="shared" si="27"/>
        <v>171630.92407854472</v>
      </c>
      <c r="K182" s="10">
        <f t="shared" si="16"/>
        <v>171630.92407854472</v>
      </c>
      <c r="L182" s="10">
        <f t="shared" si="20"/>
        <v>0</v>
      </c>
      <c r="M182" s="10">
        <f>'D) Ecrêtage'!C181</f>
        <v>141538.79477333333</v>
      </c>
      <c r="N182" s="10">
        <f t="shared" si="17"/>
        <v>166258.66356526371</v>
      </c>
      <c r="O182" s="55">
        <f t="shared" si="18"/>
        <v>337889.58764380845</v>
      </c>
      <c r="P182" s="217"/>
      <c r="Q182" s="218"/>
      <c r="R182" s="214"/>
      <c r="S182" s="214"/>
      <c r="T182" s="219"/>
    </row>
    <row r="183" spans="1:20" s="213" customFormat="1" x14ac:dyDescent="0.25">
      <c r="A183" s="308">
        <f>'A) Base RI'!A184</f>
        <v>5705</v>
      </c>
      <c r="B183" s="226" t="str">
        <f>'A) Base RI'!B184</f>
        <v>Bogis-Bossey</v>
      </c>
      <c r="C183" s="242">
        <v>0</v>
      </c>
      <c r="D183" s="215">
        <f>'B) D RI'!AA184</f>
        <v>835</v>
      </c>
      <c r="E183" s="216">
        <f>'B) D RI'!S184</f>
        <v>74.5</v>
      </c>
      <c r="F183" s="10">
        <f>'B) D RI'!R184</f>
        <v>4183096.63</v>
      </c>
      <c r="G183" s="10">
        <f>'B) D RI'!U184</f>
        <v>56148.948053691274</v>
      </c>
      <c r="H183" s="41">
        <f>'B) D RI'!T184</f>
        <v>3945904.38</v>
      </c>
      <c r="I183" s="10">
        <f t="shared" si="19"/>
        <v>105930.3189261745</v>
      </c>
      <c r="J183" s="31">
        <f t="shared" si="27"/>
        <v>74331.857679245237</v>
      </c>
      <c r="K183" s="10">
        <f t="shared" si="16"/>
        <v>74331.857679245237</v>
      </c>
      <c r="L183" s="10">
        <f t="shared" si="20"/>
        <v>0</v>
      </c>
      <c r="M183" s="10">
        <f>'D) Ecrêtage'!C182</f>
        <v>56148.948053691274</v>
      </c>
      <c r="N183" s="10">
        <f t="shared" si="17"/>
        <v>65955.408755260491</v>
      </c>
      <c r="O183" s="55">
        <f t="shared" si="18"/>
        <v>140287.26643450573</v>
      </c>
      <c r="P183" s="217"/>
      <c r="Q183" s="218"/>
      <c r="R183" s="214"/>
      <c r="S183" s="214"/>
      <c r="T183" s="219"/>
    </row>
    <row r="184" spans="1:20" s="213" customFormat="1" x14ac:dyDescent="0.25">
      <c r="A184" s="308">
        <f>'A) Base RI'!A185</f>
        <v>5706</v>
      </c>
      <c r="B184" s="226" t="str">
        <f>'A) Base RI'!B185</f>
        <v>Borex</v>
      </c>
      <c r="C184" s="242">
        <v>0</v>
      </c>
      <c r="D184" s="215">
        <f>'B) D RI'!AA185</f>
        <v>1157</v>
      </c>
      <c r="E184" s="216">
        <f>'B) D RI'!S185</f>
        <v>57</v>
      </c>
      <c r="F184" s="10">
        <f>'B) D RI'!R185</f>
        <v>4791289.2899999991</v>
      </c>
      <c r="G184" s="10">
        <f>'B) D RI'!U185</f>
        <v>84057.706842105254</v>
      </c>
      <c r="H184" s="41">
        <f>'B) D RI'!T185</f>
        <v>4481367.7899999991</v>
      </c>
      <c r="I184" s="10">
        <f t="shared" si="19"/>
        <v>157240.97508771927</v>
      </c>
      <c r="J184" s="31">
        <f t="shared" si="27"/>
        <v>102996.35848489431</v>
      </c>
      <c r="K184" s="10">
        <f t="shared" si="16"/>
        <v>102996.35848489431</v>
      </c>
      <c r="L184" s="10">
        <f t="shared" si="20"/>
        <v>0</v>
      </c>
      <c r="M184" s="10">
        <f>'D) Ecrêtage'!C183</f>
        <v>84057.706842105254</v>
      </c>
      <c r="N184" s="10">
        <f t="shared" si="17"/>
        <v>98738.455589577832</v>
      </c>
      <c r="O184" s="55">
        <f t="shared" si="18"/>
        <v>201734.81407447215</v>
      </c>
      <c r="P184" s="217"/>
      <c r="Q184" s="218"/>
      <c r="R184" s="214"/>
      <c r="S184" s="214"/>
      <c r="T184" s="219"/>
    </row>
    <row r="185" spans="1:20" s="213" customFormat="1" x14ac:dyDescent="0.25">
      <c r="A185" s="308">
        <f>'A) Base RI'!A186</f>
        <v>5707</v>
      </c>
      <c r="B185" s="226" t="str">
        <f>'A) Base RI'!B186</f>
        <v>Chavannes-de-Bogis</v>
      </c>
      <c r="C185" s="242">
        <v>0</v>
      </c>
      <c r="D185" s="215">
        <f>'B) D RI'!AA186</f>
        <v>1329</v>
      </c>
      <c r="E185" s="216">
        <f>'B) D RI'!S186</f>
        <v>58</v>
      </c>
      <c r="F185" s="10">
        <f>'B) D RI'!R186</f>
        <v>4746448.586666666</v>
      </c>
      <c r="G185" s="10">
        <f>'B) D RI'!U186</f>
        <v>81835.320459770097</v>
      </c>
      <c r="H185" s="41">
        <f>'B) D RI'!T186</f>
        <v>4209864.0199999996</v>
      </c>
      <c r="I185" s="10">
        <f t="shared" si="19"/>
        <v>145167.72482758618</v>
      </c>
      <c r="J185" s="31">
        <f t="shared" si="27"/>
        <v>118307.83096493046</v>
      </c>
      <c r="K185" s="10">
        <f t="shared" si="16"/>
        <v>118307.83096493046</v>
      </c>
      <c r="L185" s="10">
        <f t="shared" si="20"/>
        <v>0</v>
      </c>
      <c r="M185" s="10">
        <f>'D) Ecrêtage'!C184</f>
        <v>81835.320459770097</v>
      </c>
      <c r="N185" s="10">
        <f t="shared" si="17"/>
        <v>96127.927568307015</v>
      </c>
      <c r="O185" s="55">
        <f t="shared" si="18"/>
        <v>214435.75853323747</v>
      </c>
      <c r="P185" s="217"/>
      <c r="Q185" s="218"/>
      <c r="R185" s="214"/>
      <c r="S185" s="214"/>
      <c r="T185" s="219"/>
    </row>
    <row r="186" spans="1:20" s="213" customFormat="1" x14ac:dyDescent="0.25">
      <c r="A186" s="308">
        <f>'A) Base RI'!A187</f>
        <v>5708</v>
      </c>
      <c r="B186" s="226" t="str">
        <f>'A) Base RI'!B187</f>
        <v>Chavannes-des-Bois</v>
      </c>
      <c r="C186" s="242">
        <v>0</v>
      </c>
      <c r="D186" s="215">
        <f>'B) D RI'!AA187</f>
        <v>1013</v>
      </c>
      <c r="E186" s="216">
        <f>'B) D RI'!S187</f>
        <v>68</v>
      </c>
      <c r="F186" s="10">
        <f>'B) D RI'!R187</f>
        <v>4573415.6700000009</v>
      </c>
      <c r="G186" s="10">
        <f>'B) D RI'!U187</f>
        <v>67256.112794117653</v>
      </c>
      <c r="H186" s="41">
        <f>'B) D RI'!T187</f>
        <v>4282928.5200000005</v>
      </c>
      <c r="I186" s="10">
        <f t="shared" si="19"/>
        <v>125968.48588235295</v>
      </c>
      <c r="J186" s="31">
        <f t="shared" si="27"/>
        <v>90177.451292305908</v>
      </c>
      <c r="K186" s="10">
        <f t="shared" si="16"/>
        <v>90177.451292305908</v>
      </c>
      <c r="L186" s="10">
        <f t="shared" si="20"/>
        <v>0</v>
      </c>
      <c r="M186" s="10">
        <f>'D) Ecrêtage'!C185</f>
        <v>67256.112794117653</v>
      </c>
      <c r="N186" s="10">
        <f t="shared" si="17"/>
        <v>79002.449099922451</v>
      </c>
      <c r="O186" s="55">
        <f t="shared" si="18"/>
        <v>169179.90039222836</v>
      </c>
      <c r="P186" s="217"/>
      <c r="Q186" s="218"/>
      <c r="R186" s="214"/>
      <c r="S186" s="214"/>
      <c r="T186" s="219"/>
    </row>
    <row r="187" spans="1:20" s="213" customFormat="1" x14ac:dyDescent="0.25">
      <c r="A187" s="308">
        <f>'A) Base RI'!A188</f>
        <v>5709</v>
      </c>
      <c r="B187" s="226" t="str">
        <f>'A) Base RI'!B188</f>
        <v>Chéserex</v>
      </c>
      <c r="C187" s="242">
        <v>0</v>
      </c>
      <c r="D187" s="215">
        <f>'B) D RI'!AA188</f>
        <v>1248</v>
      </c>
      <c r="E187" s="216">
        <f>'B) D RI'!S188</f>
        <v>57</v>
      </c>
      <c r="F187" s="10">
        <f>'B) D RI'!R188</f>
        <v>5549979.7799999993</v>
      </c>
      <c r="G187" s="10">
        <f>'B) D RI'!U188</f>
        <v>97368.06631578946</v>
      </c>
      <c r="H187" s="41">
        <f>'B) D RI'!T188</f>
        <v>5179678.5299999993</v>
      </c>
      <c r="I187" s="10">
        <f t="shared" si="19"/>
        <v>181743.10631578945</v>
      </c>
      <c r="J187" s="31">
        <f t="shared" si="27"/>
        <v>111097.19566909948</v>
      </c>
      <c r="K187" s="10">
        <f t="shared" si="16"/>
        <v>111097.19566909948</v>
      </c>
      <c r="L187" s="10">
        <f t="shared" si="20"/>
        <v>0</v>
      </c>
      <c r="M187" s="10">
        <f>'D) Ecrêtage'!C186</f>
        <v>97368.06631578946</v>
      </c>
      <c r="N187" s="10">
        <f t="shared" si="17"/>
        <v>114373.48046888334</v>
      </c>
      <c r="O187" s="55">
        <f t="shared" si="18"/>
        <v>225470.67613798281</v>
      </c>
      <c r="P187" s="217"/>
      <c r="Q187" s="218"/>
      <c r="R187" s="214"/>
      <c r="S187" s="214"/>
      <c r="T187" s="219"/>
    </row>
    <row r="188" spans="1:20" s="213" customFormat="1" x14ac:dyDescent="0.25">
      <c r="A188" s="308">
        <f>'A) Base RI'!A189</f>
        <v>5710</v>
      </c>
      <c r="B188" s="226" t="str">
        <f>'A) Base RI'!B189</f>
        <v>Coinsins</v>
      </c>
      <c r="C188" s="242">
        <v>0</v>
      </c>
      <c r="D188" s="215">
        <f>'B) D RI'!AA189</f>
        <v>509</v>
      </c>
      <c r="E188" s="216">
        <f>'B) D RI'!S189</f>
        <v>51</v>
      </c>
      <c r="F188" s="10">
        <f>'B) D RI'!R189</f>
        <v>2096557.23</v>
      </c>
      <c r="G188" s="10">
        <f>'B) D RI'!U189</f>
        <v>41108.965294117646</v>
      </c>
      <c r="H188" s="41">
        <f>'B) D RI'!T189</f>
        <v>1955762.78</v>
      </c>
      <c r="I188" s="10">
        <f t="shared" si="19"/>
        <v>76696.579607843145</v>
      </c>
      <c r="J188" s="31">
        <f t="shared" si="27"/>
        <v>45311.276118246504</v>
      </c>
      <c r="K188" s="10">
        <f t="shared" si="16"/>
        <v>45311.276118246504</v>
      </c>
      <c r="L188" s="10">
        <f t="shared" si="20"/>
        <v>0</v>
      </c>
      <c r="M188" s="10">
        <f>'D) Ecrêtage'!C187</f>
        <v>41108.965294117646</v>
      </c>
      <c r="N188" s="10">
        <f t="shared" si="17"/>
        <v>48288.680437729054</v>
      </c>
      <c r="O188" s="55">
        <f t="shared" si="18"/>
        <v>93599.956555975557</v>
      </c>
      <c r="P188" s="217"/>
      <c r="Q188" s="218"/>
      <c r="R188" s="214"/>
      <c r="S188" s="214"/>
      <c r="T188" s="219"/>
    </row>
    <row r="189" spans="1:20" s="213" customFormat="1" x14ac:dyDescent="0.25">
      <c r="A189" s="308">
        <f>'A) Base RI'!A190</f>
        <v>5711</v>
      </c>
      <c r="B189" s="226" t="str">
        <f>'A) Base RI'!B190</f>
        <v>Commugny</v>
      </c>
      <c r="C189" s="242">
        <v>0</v>
      </c>
      <c r="D189" s="215">
        <f>'B) D RI'!AA190</f>
        <v>2997</v>
      </c>
      <c r="E189" s="216">
        <f>'B) D RI'!S190</f>
        <v>55.5</v>
      </c>
      <c r="F189" s="10">
        <f>'B) D RI'!R190</f>
        <v>14028883.34923077</v>
      </c>
      <c r="G189" s="10">
        <f>'B) D RI'!U190</f>
        <v>252772.67295911297</v>
      </c>
      <c r="H189" s="41">
        <f>'B) D RI'!T190</f>
        <v>13104084.93</v>
      </c>
      <c r="I189" s="10">
        <f t="shared" si="19"/>
        <v>472219.27675675676</v>
      </c>
      <c r="J189" s="31">
        <f t="shared" si="27"/>
        <v>266793.50594574609</v>
      </c>
      <c r="K189" s="10">
        <f t="shared" si="16"/>
        <v>266793.50594574609</v>
      </c>
      <c r="L189" s="10">
        <f t="shared" si="20"/>
        <v>0</v>
      </c>
      <c r="M189" s="10">
        <f>'D) Ecrêtage'!C188</f>
        <v>252772.67295911297</v>
      </c>
      <c r="N189" s="10">
        <f t="shared" si="17"/>
        <v>296919.63153496804</v>
      </c>
      <c r="O189" s="55">
        <f t="shared" si="18"/>
        <v>563713.13748071413</v>
      </c>
      <c r="P189" s="217"/>
      <c r="Q189" s="218"/>
      <c r="R189" s="214"/>
      <c r="S189" s="214"/>
      <c r="T189" s="219"/>
    </row>
    <row r="190" spans="1:20" s="213" customFormat="1" x14ac:dyDescent="0.25">
      <c r="A190" s="308">
        <f>'A) Base RI'!A191</f>
        <v>5712</v>
      </c>
      <c r="B190" s="226" t="str">
        <f>'A) Base RI'!B191</f>
        <v>Coppet</v>
      </c>
      <c r="C190" s="242">
        <v>0</v>
      </c>
      <c r="D190" s="215">
        <f>'B) D RI'!AA191</f>
        <v>3247</v>
      </c>
      <c r="E190" s="216">
        <f>'B) D RI'!S191</f>
        <v>53</v>
      </c>
      <c r="F190" s="10">
        <f>'B) D RI'!R191</f>
        <v>20246216.423333336</v>
      </c>
      <c r="G190" s="10">
        <f>'B) D RI'!U191</f>
        <v>382004.08345911955</v>
      </c>
      <c r="H190" s="41">
        <f>'B) D RI'!T191</f>
        <v>18994093.290000003</v>
      </c>
      <c r="I190" s="10">
        <f t="shared" si="19"/>
        <v>716758.2373584907</v>
      </c>
      <c r="J190" s="31">
        <f t="shared" si="27"/>
        <v>289048.55315510096</v>
      </c>
      <c r="K190" s="10">
        <f t="shared" si="16"/>
        <v>289048.55315510096</v>
      </c>
      <c r="L190" s="10">
        <f t="shared" si="20"/>
        <v>0</v>
      </c>
      <c r="M190" s="10">
        <f>'D) Ecrêtage'!C189</f>
        <v>382004.08345911955</v>
      </c>
      <c r="N190" s="10">
        <f t="shared" si="17"/>
        <v>448721.41587821819</v>
      </c>
      <c r="O190" s="55">
        <f t="shared" si="18"/>
        <v>737769.96903331915</v>
      </c>
      <c r="P190" s="217"/>
      <c r="Q190" s="218"/>
      <c r="R190" s="214"/>
      <c r="S190" s="214"/>
      <c r="T190" s="219"/>
    </row>
    <row r="191" spans="1:20" s="213" customFormat="1" x14ac:dyDescent="0.25">
      <c r="A191" s="308">
        <f>'A) Base RI'!A192</f>
        <v>5713</v>
      </c>
      <c r="B191" s="226" t="str">
        <f>'A) Base RI'!B192</f>
        <v>Crans-près-Céligny</v>
      </c>
      <c r="C191" s="242">
        <v>1</v>
      </c>
      <c r="D191" s="215">
        <f>'B) D RI'!AA192</f>
        <v>2340</v>
      </c>
      <c r="E191" s="216">
        <f>'B) D RI'!S192</f>
        <v>56</v>
      </c>
      <c r="F191" s="10">
        <f>'B) D RI'!R192</f>
        <v>17285454.489999998</v>
      </c>
      <c r="G191" s="10">
        <f>'B) D RI'!U192</f>
        <v>308668.8301785714</v>
      </c>
      <c r="H191" s="41">
        <f>'B) D RI'!T192</f>
        <v>16434528.939999999</v>
      </c>
      <c r="I191" s="10">
        <f t="shared" si="19"/>
        <v>586947.46214285714</v>
      </c>
      <c r="J191" s="31">
        <f t="shared" si="27"/>
        <v>208307.24187956151</v>
      </c>
      <c r="K191" s="10">
        <f t="shared" si="16"/>
        <v>0</v>
      </c>
      <c r="L191" s="10">
        <f t="shared" si="20"/>
        <v>208307.24187956151</v>
      </c>
      <c r="M191" s="10">
        <f>'D) Ecrêtage'!C190</f>
        <v>308668.8301785714</v>
      </c>
      <c r="N191" s="10">
        <f t="shared" si="17"/>
        <v>362578.09932553821</v>
      </c>
      <c r="O191" s="55">
        <f t="shared" si="18"/>
        <v>362578.09932553821</v>
      </c>
      <c r="P191" s="217"/>
      <c r="Q191" s="218"/>
      <c r="R191" s="214"/>
      <c r="S191" s="214"/>
      <c r="T191" s="219"/>
    </row>
    <row r="192" spans="1:20" s="213" customFormat="1" x14ac:dyDescent="0.25">
      <c r="A192" s="308">
        <f>'A) Base RI'!A193</f>
        <v>5714</v>
      </c>
      <c r="B192" s="226" t="str">
        <f>'A) Base RI'!B193</f>
        <v>Crassier</v>
      </c>
      <c r="C192" s="242">
        <v>0</v>
      </c>
      <c r="D192" s="215">
        <f>'B) D RI'!AA193</f>
        <v>1174</v>
      </c>
      <c r="E192" s="216">
        <f>'B) D RI'!S193</f>
        <v>68</v>
      </c>
      <c r="F192" s="10">
        <f>'B) D RI'!R193</f>
        <v>3633219.03</v>
      </c>
      <c r="G192" s="10">
        <f>'B) D RI'!U193</f>
        <v>53429.691617647055</v>
      </c>
      <c r="H192" s="41">
        <f>'B) D RI'!T193</f>
        <v>3336656.48</v>
      </c>
      <c r="I192" s="10">
        <f t="shared" si="19"/>
        <v>98136.955294117652</v>
      </c>
      <c r="J192" s="31">
        <f t="shared" si="27"/>
        <v>104509.70169513044</v>
      </c>
      <c r="K192" s="10">
        <f t="shared" si="16"/>
        <v>98136.955294117652</v>
      </c>
      <c r="L192" s="10">
        <f t="shared" si="20"/>
        <v>6372.7464010127878</v>
      </c>
      <c r="M192" s="10">
        <f>'D) Ecrêtage'!C191</f>
        <v>53429.691617647055</v>
      </c>
      <c r="N192" s="10">
        <f t="shared" si="17"/>
        <v>62761.231910163231</v>
      </c>
      <c r="O192" s="55">
        <f t="shared" si="18"/>
        <v>160898.18720428087</v>
      </c>
      <c r="P192" s="217"/>
      <c r="Q192" s="218"/>
      <c r="R192" s="214"/>
      <c r="S192" s="214"/>
      <c r="T192" s="219"/>
    </row>
    <row r="193" spans="1:20" s="213" customFormat="1" x14ac:dyDescent="0.25">
      <c r="A193" s="308">
        <f>'A) Base RI'!A194</f>
        <v>5715</v>
      </c>
      <c r="B193" s="226" t="str">
        <f>'A) Base RI'!B194</f>
        <v>Duillier</v>
      </c>
      <c r="C193" s="242">
        <v>0</v>
      </c>
      <c r="D193" s="215">
        <f>'B) D RI'!AA194</f>
        <v>1128</v>
      </c>
      <c r="E193" s="216">
        <f>'B) D RI'!S194</f>
        <v>66</v>
      </c>
      <c r="F193" s="10">
        <f>'B) D RI'!R194</f>
        <v>4063865.1399999997</v>
      </c>
      <c r="G193" s="10">
        <f>'B) D RI'!U194</f>
        <v>61573.714242424234</v>
      </c>
      <c r="H193" s="41">
        <f>'B) D RI'!T194</f>
        <v>3779956.2399999998</v>
      </c>
      <c r="I193" s="10">
        <f t="shared" si="19"/>
        <v>114544.12848484848</v>
      </c>
      <c r="J193" s="31">
        <f t="shared" si="27"/>
        <v>100414.77300860915</v>
      </c>
      <c r="K193" s="10">
        <f t="shared" ref="K193:K253" si="28">IF(C193=1,0,IF(J193&gt;I193,I193,J193))</f>
        <v>100414.77300860915</v>
      </c>
      <c r="L193" s="10">
        <f t="shared" si="20"/>
        <v>0</v>
      </c>
      <c r="M193" s="10">
        <f>'D) Ecrêtage'!C192</f>
        <v>61573.714242424234</v>
      </c>
      <c r="N193" s="10">
        <f t="shared" ref="N193:N253" si="29">+$N$5*M193</f>
        <v>72327.614892363301</v>
      </c>
      <c r="O193" s="55">
        <f t="shared" ref="O193:O253" si="30">+N193+K193</f>
        <v>172742.38790097245</v>
      </c>
      <c r="P193" s="217"/>
      <c r="Q193" s="218"/>
      <c r="R193" s="214"/>
      <c r="S193" s="214"/>
      <c r="T193" s="219"/>
    </row>
    <row r="194" spans="1:20" s="213" customFormat="1" x14ac:dyDescent="0.25">
      <c r="A194" s="308">
        <f>'A) Base RI'!A195</f>
        <v>5716</v>
      </c>
      <c r="B194" s="226" t="str">
        <f>'A) Base RI'!B195</f>
        <v>Eysins</v>
      </c>
      <c r="C194" s="242">
        <v>0</v>
      </c>
      <c r="D194" s="215">
        <f>'B) D RI'!AA195</f>
        <v>1740</v>
      </c>
      <c r="E194" s="216">
        <f>'B) D RI'!S195</f>
        <v>59.5</v>
      </c>
      <c r="F194" s="10">
        <f>'B) D RI'!R195</f>
        <v>18534215.460000001</v>
      </c>
      <c r="G194" s="10">
        <f>'B) D RI'!U195</f>
        <v>311499.41949579836</v>
      </c>
      <c r="H194" s="41">
        <f>'B) D RI'!T195</f>
        <v>17694613.009999998</v>
      </c>
      <c r="I194" s="10">
        <f t="shared" ref="I194:I254" si="31">+H194/E194*$I$5</f>
        <v>594776.90789915959</v>
      </c>
      <c r="J194" s="31">
        <f t="shared" si="27"/>
        <v>154895.12857710986</v>
      </c>
      <c r="K194" s="10">
        <f t="shared" si="28"/>
        <v>154895.12857710986</v>
      </c>
      <c r="L194" s="10">
        <f t="shared" ref="L194:L254" si="32">+J194-K194</f>
        <v>0</v>
      </c>
      <c r="M194" s="10">
        <f>'D) Ecrêtage'!C193</f>
        <v>311499.41949579836</v>
      </c>
      <c r="N194" s="10">
        <f t="shared" si="29"/>
        <v>365903.05343255831</v>
      </c>
      <c r="O194" s="55">
        <f t="shared" si="30"/>
        <v>520798.18200966821</v>
      </c>
      <c r="P194" s="217"/>
      <c r="Q194" s="218"/>
      <c r="R194" s="214"/>
      <c r="S194" s="214"/>
      <c r="T194" s="219"/>
    </row>
    <row r="195" spans="1:20" s="213" customFormat="1" x14ac:dyDescent="0.25">
      <c r="A195" s="308">
        <f>'A) Base RI'!A196</f>
        <v>5717</v>
      </c>
      <c r="B195" s="226" t="str">
        <f>'A) Base RI'!B196</f>
        <v>Founex</v>
      </c>
      <c r="C195" s="242">
        <v>0</v>
      </c>
      <c r="D195" s="215">
        <f>'B) D RI'!AA196</f>
        <v>3834</v>
      </c>
      <c r="E195" s="216">
        <f>'B) D RI'!S196</f>
        <v>57</v>
      </c>
      <c r="F195" s="10">
        <f>'B) D RI'!R196</f>
        <v>22047691.329999998</v>
      </c>
      <c r="G195" s="10">
        <f>'B) D RI'!U196</f>
        <v>386801.60228070174</v>
      </c>
      <c r="H195" s="41">
        <f>'B) D RI'!T196</f>
        <v>20674086.43</v>
      </c>
      <c r="I195" s="10">
        <f t="shared" si="31"/>
        <v>725406.54140350875</v>
      </c>
      <c r="J195" s="31">
        <f t="shared" si="27"/>
        <v>341303.40400266618</v>
      </c>
      <c r="K195" s="10">
        <f t="shared" si="28"/>
        <v>341303.40400266618</v>
      </c>
      <c r="L195" s="10">
        <f t="shared" si="32"/>
        <v>0</v>
      </c>
      <c r="M195" s="10">
        <f>'D) Ecrêtage'!C194</f>
        <v>386801.60228070174</v>
      </c>
      <c r="N195" s="10">
        <f t="shared" si="29"/>
        <v>454356.82537130319</v>
      </c>
      <c r="O195" s="55">
        <f t="shared" si="30"/>
        <v>795660.22937396937</v>
      </c>
      <c r="P195" s="217"/>
      <c r="Q195" s="218"/>
      <c r="R195" s="214"/>
      <c r="S195" s="214"/>
      <c r="T195" s="219"/>
    </row>
    <row r="196" spans="1:20" s="213" customFormat="1" x14ac:dyDescent="0.25">
      <c r="A196" s="308">
        <f>'A) Base RI'!A197</f>
        <v>5718</v>
      </c>
      <c r="B196" s="226" t="str">
        <f>'A) Base RI'!B197</f>
        <v>Genolier</v>
      </c>
      <c r="C196" s="242">
        <v>0</v>
      </c>
      <c r="D196" s="215">
        <f>'B) D RI'!AA197</f>
        <v>1996</v>
      </c>
      <c r="E196" s="216">
        <f>'B) D RI'!S197</f>
        <v>55</v>
      </c>
      <c r="F196" s="10">
        <f>'B) D RI'!R197</f>
        <v>13479525.360000001</v>
      </c>
      <c r="G196" s="10">
        <f>'B) D RI'!U197</f>
        <v>245082.27927272729</v>
      </c>
      <c r="H196" s="41">
        <f>'B) D RI'!T197</f>
        <v>12751842.260000002</v>
      </c>
      <c r="I196" s="10">
        <f t="shared" si="31"/>
        <v>463703.35490909097</v>
      </c>
      <c r="J196" s="31">
        <f t="shared" si="27"/>
        <v>177684.29691948922</v>
      </c>
      <c r="K196" s="10">
        <f t="shared" si="28"/>
        <v>177684.29691948922</v>
      </c>
      <c r="L196" s="10">
        <f t="shared" si="32"/>
        <v>0</v>
      </c>
      <c r="M196" s="10">
        <f>'D) Ecrêtage'!C195</f>
        <v>245082.27927272729</v>
      </c>
      <c r="N196" s="10">
        <f t="shared" si="29"/>
        <v>287886.10416434985</v>
      </c>
      <c r="O196" s="55">
        <f t="shared" si="30"/>
        <v>465570.40108383907</v>
      </c>
      <c r="P196" s="217"/>
      <c r="Q196" s="218"/>
      <c r="R196" s="214"/>
      <c r="S196" s="214"/>
      <c r="T196" s="219"/>
    </row>
    <row r="197" spans="1:20" s="213" customFormat="1" x14ac:dyDescent="0.25">
      <c r="A197" s="308">
        <f>'A) Base RI'!A198</f>
        <v>5719</v>
      </c>
      <c r="B197" s="226" t="str">
        <f>'A) Base RI'!B198</f>
        <v>Gingins</v>
      </c>
      <c r="C197" s="242">
        <v>0</v>
      </c>
      <c r="D197" s="215">
        <f>'B) D RI'!AA198</f>
        <v>1257</v>
      </c>
      <c r="E197" s="216">
        <f>'B) D RI'!S198</f>
        <v>57</v>
      </c>
      <c r="F197" s="10">
        <f>'B) D RI'!R198</f>
        <v>8308400.7133333329</v>
      </c>
      <c r="G197" s="10">
        <f>'B) D RI'!U198</f>
        <v>145761.41602339179</v>
      </c>
      <c r="H197" s="41">
        <f>'B) D RI'!T198</f>
        <v>7892417.0800000001</v>
      </c>
      <c r="I197" s="10">
        <f t="shared" si="31"/>
        <v>276926.91508771927</v>
      </c>
      <c r="J197" s="31">
        <f t="shared" si="27"/>
        <v>111898.37736863625</v>
      </c>
      <c r="K197" s="10">
        <f t="shared" si="28"/>
        <v>111898.37736863625</v>
      </c>
      <c r="L197" s="10">
        <f t="shared" si="32"/>
        <v>0</v>
      </c>
      <c r="M197" s="10">
        <f>'D) Ecrêtage'!C196</f>
        <v>145761.41602339179</v>
      </c>
      <c r="N197" s="10">
        <f t="shared" si="29"/>
        <v>171218.76914551324</v>
      </c>
      <c r="O197" s="55">
        <f t="shared" si="30"/>
        <v>283117.1465141495</v>
      </c>
      <c r="P197" s="217"/>
      <c r="Q197" s="218"/>
      <c r="R197" s="214"/>
      <c r="S197" s="214"/>
      <c r="T197" s="219"/>
    </row>
    <row r="198" spans="1:20" s="213" customFormat="1" x14ac:dyDescent="0.25">
      <c r="A198" s="308">
        <f>'A) Base RI'!A199</f>
        <v>5720</v>
      </c>
      <c r="B198" s="226" t="str">
        <f>'A) Base RI'!B199</f>
        <v>Givrins</v>
      </c>
      <c r="C198" s="242">
        <v>0</v>
      </c>
      <c r="D198" s="215">
        <f>'B) D RI'!AA199</f>
        <v>1031</v>
      </c>
      <c r="E198" s="216">
        <f>'B) D RI'!S199</f>
        <v>67</v>
      </c>
      <c r="F198" s="10">
        <f>'B) D RI'!R199</f>
        <v>5639541.0544444444</v>
      </c>
      <c r="G198" s="10">
        <f>'B) D RI'!U199</f>
        <v>84172.254543946925</v>
      </c>
      <c r="H198" s="41">
        <f>'B) D RI'!T199</f>
        <v>5331330.1100000003</v>
      </c>
      <c r="I198" s="10">
        <f t="shared" si="31"/>
        <v>159144.18238805971</v>
      </c>
      <c r="J198" s="31">
        <f t="shared" si="27"/>
        <v>91779.814691379463</v>
      </c>
      <c r="K198" s="10">
        <f t="shared" si="28"/>
        <v>91779.814691379463</v>
      </c>
      <c r="L198" s="10">
        <f t="shared" si="32"/>
        <v>0</v>
      </c>
      <c r="M198" s="10">
        <f>'D) Ecrêtage'!C197</f>
        <v>84172.254543946925</v>
      </c>
      <c r="N198" s="10">
        <f t="shared" si="29"/>
        <v>98873.009143274307</v>
      </c>
      <c r="O198" s="55">
        <f t="shared" si="30"/>
        <v>190652.82383465377</v>
      </c>
      <c r="P198" s="217"/>
      <c r="Q198" s="218"/>
      <c r="R198" s="214"/>
      <c r="S198" s="214"/>
      <c r="T198" s="219"/>
    </row>
    <row r="199" spans="1:20" s="213" customFormat="1" x14ac:dyDescent="0.25">
      <c r="A199" s="308">
        <f>'A) Base RI'!A200</f>
        <v>5721</v>
      </c>
      <c r="B199" s="226" t="str">
        <f>'A) Base RI'!B200</f>
        <v>Gland</v>
      </c>
      <c r="C199" s="242">
        <v>0</v>
      </c>
      <c r="D199" s="215">
        <f>'B) D RI'!AA200</f>
        <v>13243</v>
      </c>
      <c r="E199" s="216">
        <f>'B) D RI'!S200</f>
        <v>61</v>
      </c>
      <c r="F199" s="10">
        <f>'B) D RI'!R200</f>
        <v>39717529.470000006</v>
      </c>
      <c r="G199" s="10">
        <f>'B) D RI'!U200</f>
        <v>651107.04049180343</v>
      </c>
      <c r="H199" s="41">
        <f>'B) D RI'!T200</f>
        <v>36229475.820000008</v>
      </c>
      <c r="I199" s="10">
        <f t="shared" si="31"/>
        <v>1187851.6662295084</v>
      </c>
      <c r="J199" s="31">
        <f t="shared" si="27"/>
        <v>1178894.3607739459</v>
      </c>
      <c r="K199" s="10">
        <f t="shared" si="28"/>
        <v>1178894.3607739459</v>
      </c>
      <c r="L199" s="10">
        <f t="shared" si="32"/>
        <v>0</v>
      </c>
      <c r="M199" s="10">
        <f>'D) Ecrêtage'!C198</f>
        <v>651107.04049180343</v>
      </c>
      <c r="N199" s="10">
        <f t="shared" si="29"/>
        <v>764823.42924751667</v>
      </c>
      <c r="O199" s="55">
        <f t="shared" si="30"/>
        <v>1943717.7900214626</v>
      </c>
      <c r="P199" s="217"/>
      <c r="Q199" s="218"/>
      <c r="R199" s="214"/>
      <c r="S199" s="214"/>
      <c r="T199" s="219"/>
    </row>
    <row r="200" spans="1:20" s="213" customFormat="1" x14ac:dyDescent="0.25">
      <c r="A200" s="308">
        <f>'A) Base RI'!A201</f>
        <v>5722</v>
      </c>
      <c r="B200" s="226" t="str">
        <f>'A) Base RI'!B201</f>
        <v>Grens</v>
      </c>
      <c r="C200" s="242">
        <v>0</v>
      </c>
      <c r="D200" s="215">
        <f>'B) D RI'!AA201</f>
        <v>405</v>
      </c>
      <c r="E200" s="216">
        <f>'B) D RI'!S201</f>
        <v>62</v>
      </c>
      <c r="F200" s="10">
        <f>'B) D RI'!R201</f>
        <v>1582587.32</v>
      </c>
      <c r="G200" s="10">
        <f>'B) D RI'!U201</f>
        <v>25525.601935483872</v>
      </c>
      <c r="H200" s="41">
        <f>'B) D RI'!T201</f>
        <v>1488451.67</v>
      </c>
      <c r="I200" s="10">
        <f t="shared" si="31"/>
        <v>48014.57</v>
      </c>
      <c r="J200" s="31">
        <f t="shared" si="27"/>
        <v>36053.176479154878</v>
      </c>
      <c r="K200" s="10">
        <f t="shared" si="28"/>
        <v>36053.176479154878</v>
      </c>
      <c r="L200" s="10">
        <f t="shared" si="32"/>
        <v>0</v>
      </c>
      <c r="M200" s="10">
        <f>'D) Ecrêtage'!C199</f>
        <v>25525.601935483872</v>
      </c>
      <c r="N200" s="10">
        <f t="shared" si="29"/>
        <v>29983.669645405389</v>
      </c>
      <c r="O200" s="55">
        <f t="shared" si="30"/>
        <v>66036.846124560267</v>
      </c>
      <c r="P200" s="217"/>
      <c r="Q200" s="218"/>
      <c r="R200" s="214"/>
      <c r="S200" s="214"/>
      <c r="T200" s="219"/>
    </row>
    <row r="201" spans="1:20" s="213" customFormat="1" x14ac:dyDescent="0.25">
      <c r="A201" s="308">
        <f>'A) Base RI'!A202</f>
        <v>5723</v>
      </c>
      <c r="B201" s="226" t="str">
        <f>'A) Base RI'!B202</f>
        <v>Mies</v>
      </c>
      <c r="C201" s="242">
        <v>0</v>
      </c>
      <c r="D201" s="215">
        <f>'B) D RI'!AA202</f>
        <v>2172</v>
      </c>
      <c r="E201" s="216">
        <f>'B) D RI'!S202</f>
        <v>52</v>
      </c>
      <c r="F201" s="10">
        <f>'B) D RI'!R202</f>
        <v>10285869.110000003</v>
      </c>
      <c r="G201" s="10">
        <f>'B) D RI'!U202</f>
        <v>197805.17519230774</v>
      </c>
      <c r="H201" s="41">
        <f>'B) D RI'!T202</f>
        <v>9410013.2600000035</v>
      </c>
      <c r="I201" s="10">
        <f t="shared" si="31"/>
        <v>361923.58692307706</v>
      </c>
      <c r="J201" s="31">
        <f t="shared" si="27"/>
        <v>193351.85015487505</v>
      </c>
      <c r="K201" s="10">
        <f t="shared" si="28"/>
        <v>193351.85015487505</v>
      </c>
      <c r="L201" s="10">
        <f t="shared" si="32"/>
        <v>0</v>
      </c>
      <c r="M201" s="10">
        <f>'D) Ecrêtage'!C200</f>
        <v>197805.17519230774</v>
      </c>
      <c r="N201" s="10">
        <f t="shared" si="29"/>
        <v>232352.01434654291</v>
      </c>
      <c r="O201" s="55">
        <f t="shared" si="30"/>
        <v>425703.86450141796</v>
      </c>
      <c r="P201" s="217"/>
      <c r="Q201" s="218"/>
      <c r="R201" s="214"/>
      <c r="S201" s="214"/>
      <c r="T201" s="219"/>
    </row>
    <row r="202" spans="1:20" s="213" customFormat="1" x14ac:dyDescent="0.25">
      <c r="A202" s="308">
        <f>'A) Base RI'!A203</f>
        <v>5724</v>
      </c>
      <c r="B202" s="226" t="str">
        <f>'A) Base RI'!B203</f>
        <v>Nyon</v>
      </c>
      <c r="C202" s="242">
        <v>1</v>
      </c>
      <c r="D202" s="215">
        <f>'B) D RI'!AA203</f>
        <v>21743</v>
      </c>
      <c r="E202" s="216">
        <f>'B) D RI'!S203</f>
        <v>61</v>
      </c>
      <c r="F202" s="10">
        <f>'B) D RI'!R203</f>
        <v>86359571.243333325</v>
      </c>
      <c r="G202" s="10">
        <f>'B) D RI'!U203</f>
        <v>1415730.6761202184</v>
      </c>
      <c r="H202" s="41">
        <f>'B) D RI'!T203</f>
        <v>79828001.459999993</v>
      </c>
      <c r="I202" s="10">
        <f t="shared" si="31"/>
        <v>2617311.5232786881</v>
      </c>
      <c r="J202" s="31">
        <f t="shared" si="27"/>
        <v>1935565.9658920113</v>
      </c>
      <c r="K202" s="10">
        <f t="shared" si="28"/>
        <v>0</v>
      </c>
      <c r="L202" s="10">
        <f t="shared" si="32"/>
        <v>1935565.9658920113</v>
      </c>
      <c r="M202" s="10">
        <f>'D) Ecrêtage'!C201</f>
        <v>1415730.6761202184</v>
      </c>
      <c r="N202" s="10">
        <f t="shared" si="29"/>
        <v>1662989.2218387118</v>
      </c>
      <c r="O202" s="55">
        <f t="shared" si="30"/>
        <v>1662989.2218387118</v>
      </c>
      <c r="P202" s="217"/>
      <c r="Q202" s="218"/>
      <c r="R202" s="214"/>
      <c r="S202" s="214"/>
      <c r="T202" s="219"/>
    </row>
    <row r="203" spans="1:20" s="213" customFormat="1" x14ac:dyDescent="0.25">
      <c r="A203" s="308">
        <f>'A) Base RI'!A204</f>
        <v>5725</v>
      </c>
      <c r="B203" s="226" t="str">
        <f>'A) Base RI'!B204</f>
        <v>Prangins</v>
      </c>
      <c r="C203" s="242">
        <v>1</v>
      </c>
      <c r="D203" s="215">
        <f>'B) D RI'!AA204</f>
        <v>4101</v>
      </c>
      <c r="E203" s="216">
        <f>'B) D RI'!S204</f>
        <v>55</v>
      </c>
      <c r="F203" s="10">
        <f>'B) D RI'!R204</f>
        <v>17204271.371428572</v>
      </c>
      <c r="G203" s="10">
        <f>'B) D RI'!U204</f>
        <v>312804.93402597401</v>
      </c>
      <c r="H203" s="41">
        <f>'B) D RI'!T204</f>
        <v>16016926.5</v>
      </c>
      <c r="I203" s="10">
        <f t="shared" si="31"/>
        <v>582433.69090909092</v>
      </c>
      <c r="J203" s="31">
        <f t="shared" si="27"/>
        <v>365071.79442225717</v>
      </c>
      <c r="K203" s="10">
        <f t="shared" si="28"/>
        <v>0</v>
      </c>
      <c r="L203" s="10">
        <f t="shared" si="32"/>
        <v>365071.79442225717</v>
      </c>
      <c r="M203" s="10">
        <f>'D) Ecrêtage'!C202</f>
        <v>312804.93402597401</v>
      </c>
      <c r="N203" s="10">
        <f t="shared" si="29"/>
        <v>367436.57716645498</v>
      </c>
      <c r="O203" s="55">
        <f t="shared" si="30"/>
        <v>367436.57716645498</v>
      </c>
      <c r="P203" s="217"/>
      <c r="Q203" s="218"/>
      <c r="R203" s="214"/>
      <c r="S203" s="214"/>
      <c r="T203" s="219"/>
    </row>
    <row r="204" spans="1:20" s="213" customFormat="1" x14ac:dyDescent="0.25">
      <c r="A204" s="308">
        <f>'A) Base RI'!A205</f>
        <v>5726</v>
      </c>
      <c r="B204" s="226" t="str">
        <f>'A) Base RI'!B205</f>
        <v>La Rippe</v>
      </c>
      <c r="C204" s="242">
        <v>0</v>
      </c>
      <c r="D204" s="215">
        <f>'B) D RI'!AA205</f>
        <v>1131</v>
      </c>
      <c r="E204" s="216">
        <f>'B) D RI'!S205</f>
        <v>65</v>
      </c>
      <c r="F204" s="10">
        <f>'B) D RI'!R205</f>
        <v>4311109.67</v>
      </c>
      <c r="G204" s="10">
        <f>'B) D RI'!U205</f>
        <v>66324.764153846147</v>
      </c>
      <c r="H204" s="41">
        <f>'B) D RI'!T205</f>
        <v>4037577.5700000003</v>
      </c>
      <c r="I204" s="10">
        <f t="shared" si="31"/>
        <v>124233.156</v>
      </c>
      <c r="J204" s="31">
        <f t="shared" si="27"/>
        <v>100681.8335751214</v>
      </c>
      <c r="K204" s="10">
        <f t="shared" si="28"/>
        <v>100681.8335751214</v>
      </c>
      <c r="L204" s="10">
        <f t="shared" si="32"/>
        <v>0</v>
      </c>
      <c r="M204" s="10">
        <f>'D) Ecrêtage'!C203</f>
        <v>66324.764153846147</v>
      </c>
      <c r="N204" s="10">
        <f t="shared" si="29"/>
        <v>77908.439641294215</v>
      </c>
      <c r="O204" s="55">
        <f t="shared" si="30"/>
        <v>178590.2732164156</v>
      </c>
      <c r="P204" s="217"/>
      <c r="Q204" s="218"/>
      <c r="R204" s="214"/>
      <c r="S204" s="214"/>
      <c r="T204" s="219"/>
    </row>
    <row r="205" spans="1:20" s="213" customFormat="1" x14ac:dyDescent="0.25">
      <c r="A205" s="308">
        <f>'A) Base RI'!A206</f>
        <v>5727</v>
      </c>
      <c r="B205" s="226" t="str">
        <f>'A) Base RI'!B206</f>
        <v>Saint-Cergue</v>
      </c>
      <c r="C205" s="242">
        <v>0</v>
      </c>
      <c r="D205" s="215">
        <f>'B) D RI'!AA206</f>
        <v>2674</v>
      </c>
      <c r="E205" s="216">
        <f>'B) D RI'!S206</f>
        <v>66</v>
      </c>
      <c r="F205" s="10">
        <f>'B) D RI'!R206</f>
        <v>6938253.3933333335</v>
      </c>
      <c r="G205" s="10">
        <f>'B) D RI'!U206</f>
        <v>105125.05141414142</v>
      </c>
      <c r="H205" s="41">
        <f>'B) D RI'!T206</f>
        <v>6399860.5100000007</v>
      </c>
      <c r="I205" s="10">
        <f t="shared" si="31"/>
        <v>193935.16696969699</v>
      </c>
      <c r="J205" s="31">
        <f t="shared" si="27"/>
        <v>238039.98495125963</v>
      </c>
      <c r="K205" s="10">
        <f t="shared" si="28"/>
        <v>193935.16696969699</v>
      </c>
      <c r="L205" s="10">
        <f t="shared" si="32"/>
        <v>44104.817981562635</v>
      </c>
      <c r="M205" s="10">
        <f>'D) Ecrêtage'!C204</f>
        <v>105125.05141414142</v>
      </c>
      <c r="N205" s="10">
        <f t="shared" si="29"/>
        <v>123485.22949721858</v>
      </c>
      <c r="O205" s="55">
        <f t="shared" si="30"/>
        <v>317420.39646691555</v>
      </c>
      <c r="P205" s="217"/>
      <c r="Q205" s="218"/>
      <c r="R205" s="214"/>
      <c r="S205" s="214"/>
      <c r="T205" s="219"/>
    </row>
    <row r="206" spans="1:20" s="213" customFormat="1" x14ac:dyDescent="0.25">
      <c r="A206" s="308">
        <f>'A) Base RI'!A207</f>
        <v>5728</v>
      </c>
      <c r="B206" s="226" t="str">
        <f>'A) Base RI'!B207</f>
        <v>Signy-Avenex</v>
      </c>
      <c r="C206" s="242">
        <v>0</v>
      </c>
      <c r="D206" s="215">
        <f>'B) D RI'!AA207</f>
        <v>581</v>
      </c>
      <c r="E206" s="216">
        <f>'B) D RI'!S207</f>
        <v>58</v>
      </c>
      <c r="F206" s="10">
        <f>'B) D RI'!R207</f>
        <v>2858635.6100000003</v>
      </c>
      <c r="G206" s="10">
        <f>'B) D RI'!U207</f>
        <v>49286.820862068969</v>
      </c>
      <c r="H206" s="41">
        <f>'B) D RI'!T207</f>
        <v>2580891.7600000002</v>
      </c>
      <c r="I206" s="10">
        <f t="shared" si="31"/>
        <v>88996.267586206901</v>
      </c>
      <c r="J206" s="31">
        <f t="shared" si="27"/>
        <v>51720.729714540699</v>
      </c>
      <c r="K206" s="10">
        <f t="shared" si="28"/>
        <v>51720.729714540699</v>
      </c>
      <c r="L206" s="10">
        <f t="shared" si="32"/>
        <v>0</v>
      </c>
      <c r="M206" s="10">
        <f>'D) Ecrêtage'!C205</f>
        <v>49286.820862068969</v>
      </c>
      <c r="N206" s="10">
        <f t="shared" si="29"/>
        <v>57894.805314903017</v>
      </c>
      <c r="O206" s="55">
        <f t="shared" si="30"/>
        <v>109615.53502944371</v>
      </c>
      <c r="P206" s="217"/>
      <c r="Q206" s="218"/>
      <c r="R206" s="214"/>
      <c r="S206" s="214"/>
      <c r="T206" s="219"/>
    </row>
    <row r="207" spans="1:20" s="213" customFormat="1" x14ac:dyDescent="0.25">
      <c r="A207" s="308">
        <f>'A) Base RI'!A208</f>
        <v>5729</v>
      </c>
      <c r="B207" s="226" t="str">
        <f>'A) Base RI'!B208</f>
        <v>Tannay</v>
      </c>
      <c r="C207" s="242">
        <v>0</v>
      </c>
      <c r="D207" s="215">
        <f>'B) D RI'!AA208</f>
        <v>1636</v>
      </c>
      <c r="E207" s="216">
        <f>'B) D RI'!S208</f>
        <v>60.5</v>
      </c>
      <c r="F207" s="10">
        <f>'B) D RI'!R208</f>
        <v>7915013.4533333331</v>
      </c>
      <c r="G207" s="10">
        <f>'B) D RI'!U208</f>
        <v>130826.66865013774</v>
      </c>
      <c r="H207" s="41">
        <f>'B) D RI'!T208</f>
        <v>7331246.0199999996</v>
      </c>
      <c r="I207" s="10">
        <f t="shared" si="31"/>
        <v>242355.2403305785</v>
      </c>
      <c r="J207" s="31">
        <f t="shared" si="27"/>
        <v>145637.02893801822</v>
      </c>
      <c r="K207" s="10">
        <f t="shared" si="28"/>
        <v>145637.02893801822</v>
      </c>
      <c r="L207" s="10">
        <f t="shared" si="32"/>
        <v>0</v>
      </c>
      <c r="M207" s="10">
        <f>'D) Ecrêtage'!C206</f>
        <v>130826.66865013774</v>
      </c>
      <c r="N207" s="10">
        <f t="shared" si="29"/>
        <v>153675.65566246791</v>
      </c>
      <c r="O207" s="55">
        <f t="shared" si="30"/>
        <v>299312.68460048613</v>
      </c>
      <c r="P207" s="217"/>
      <c r="Q207" s="218"/>
      <c r="R207" s="214"/>
      <c r="S207" s="214"/>
      <c r="T207" s="219"/>
    </row>
    <row r="208" spans="1:20" s="213" customFormat="1" x14ac:dyDescent="0.25">
      <c r="A208" s="308">
        <f>'A) Base RI'!A209</f>
        <v>5730</v>
      </c>
      <c r="B208" s="226" t="str">
        <f>'A) Base RI'!B209</f>
        <v>Trélex</v>
      </c>
      <c r="C208" s="242">
        <v>0</v>
      </c>
      <c r="D208" s="215">
        <f>'B) D RI'!AA209</f>
        <v>1445</v>
      </c>
      <c r="E208" s="216">
        <f>'B) D RI'!S209</f>
        <v>55.5</v>
      </c>
      <c r="F208" s="10">
        <f>'B) D RI'!R209</f>
        <v>6195242.3100000005</v>
      </c>
      <c r="G208" s="10">
        <f>'B) D RI'!U209</f>
        <v>111625.98756756757</v>
      </c>
      <c r="H208" s="41">
        <f>'B) D RI'!T209</f>
        <v>5753786.6100000003</v>
      </c>
      <c r="I208" s="10">
        <f t="shared" si="31"/>
        <v>207343.66162162164</v>
      </c>
      <c r="J208" s="31">
        <f t="shared" si="27"/>
        <v>128634.17287007111</v>
      </c>
      <c r="K208" s="10">
        <f t="shared" si="28"/>
        <v>128634.17287007111</v>
      </c>
      <c r="L208" s="10">
        <f t="shared" si="32"/>
        <v>0</v>
      </c>
      <c r="M208" s="10">
        <f>'D) Ecrêtage'!C207</f>
        <v>111625.98756756757</v>
      </c>
      <c r="N208" s="10">
        <f t="shared" si="29"/>
        <v>131121.55958270957</v>
      </c>
      <c r="O208" s="55">
        <f t="shared" si="30"/>
        <v>259755.73245278068</v>
      </c>
      <c r="P208" s="217"/>
      <c r="Q208" s="218"/>
      <c r="R208" s="214"/>
      <c r="S208" s="214"/>
      <c r="T208" s="219"/>
    </row>
    <row r="209" spans="1:20" s="213" customFormat="1" x14ac:dyDescent="0.25">
      <c r="A209" s="308">
        <f>'A) Base RI'!A210</f>
        <v>5731</v>
      </c>
      <c r="B209" s="226" t="str">
        <f>'A) Base RI'!B210</f>
        <v>Le Vaud</v>
      </c>
      <c r="C209" s="242">
        <v>0</v>
      </c>
      <c r="D209" s="215">
        <f>'B) D RI'!AA210</f>
        <v>1366</v>
      </c>
      <c r="E209" s="216">
        <f>'B) D RI'!S210</f>
        <v>74</v>
      </c>
      <c r="F209" s="10">
        <f>'B) D RI'!R210</f>
        <v>4731723.2866666652</v>
      </c>
      <c r="G209" s="10">
        <f>'B) D RI'!U210</f>
        <v>63942.206576576558</v>
      </c>
      <c r="H209" s="41">
        <f>'B) D RI'!T210</f>
        <v>4460168.2199999988</v>
      </c>
      <c r="I209" s="10">
        <f t="shared" si="31"/>
        <v>120545.087027027</v>
      </c>
      <c r="J209" s="31">
        <f t="shared" si="27"/>
        <v>121601.57795191498</v>
      </c>
      <c r="K209" s="10">
        <f t="shared" si="28"/>
        <v>120545.087027027</v>
      </c>
      <c r="L209" s="10">
        <f t="shared" si="32"/>
        <v>1056.4909248879849</v>
      </c>
      <c r="M209" s="10">
        <f>'D) Ecrêtage'!C208</f>
        <v>63942.206576576558</v>
      </c>
      <c r="N209" s="10">
        <f t="shared" si="29"/>
        <v>75109.766392037709</v>
      </c>
      <c r="O209" s="55">
        <f t="shared" si="30"/>
        <v>195654.85341906472</v>
      </c>
      <c r="P209" s="217"/>
      <c r="Q209" s="218"/>
      <c r="R209" s="214"/>
      <c r="S209" s="214"/>
      <c r="T209" s="219"/>
    </row>
    <row r="210" spans="1:20" s="213" customFormat="1" x14ac:dyDescent="0.25">
      <c r="A210" s="308">
        <f>'A) Base RI'!A211</f>
        <v>5732</v>
      </c>
      <c r="B210" s="226" t="str">
        <f>'A) Base RI'!B211</f>
        <v>Vich</v>
      </c>
      <c r="C210" s="242">
        <v>0</v>
      </c>
      <c r="D210" s="215">
        <f>'B) D RI'!AA211</f>
        <v>1156</v>
      </c>
      <c r="E210" s="216">
        <f>'B) D RI'!S211</f>
        <v>63</v>
      </c>
      <c r="F210" s="10">
        <f>'B) D RI'!R211</f>
        <v>4473439.26</v>
      </c>
      <c r="G210" s="10">
        <f>'B) D RI'!U211</f>
        <v>71006.972380952371</v>
      </c>
      <c r="H210" s="41">
        <f>'B) D RI'!T211</f>
        <v>4081869.06</v>
      </c>
      <c r="I210" s="10">
        <f t="shared" si="31"/>
        <v>129583.14476190477</v>
      </c>
      <c r="J210" s="31">
        <f t="shared" si="27"/>
        <v>102907.33829605689</v>
      </c>
      <c r="K210" s="10">
        <f t="shared" si="28"/>
        <v>102907.33829605689</v>
      </c>
      <c r="L210" s="10">
        <f t="shared" si="32"/>
        <v>0</v>
      </c>
      <c r="M210" s="10">
        <f>'D) Ecrêtage'!C209</f>
        <v>71006.972380952371</v>
      </c>
      <c r="N210" s="10">
        <f t="shared" si="29"/>
        <v>83408.399448212323</v>
      </c>
      <c r="O210" s="55">
        <f t="shared" si="30"/>
        <v>186315.73774426919</v>
      </c>
      <c r="P210" s="217"/>
      <c r="Q210" s="218"/>
      <c r="R210" s="214"/>
      <c r="S210" s="214"/>
      <c r="T210" s="219"/>
    </row>
    <row r="211" spans="1:20" s="213" customFormat="1" x14ac:dyDescent="0.25">
      <c r="A211" s="308">
        <f>'A) Base RI'!A212</f>
        <v>5741</v>
      </c>
      <c r="B211" s="226" t="str">
        <f>'A) Base RI'!B212</f>
        <v>L'Abergement</v>
      </c>
      <c r="C211" s="242">
        <v>0</v>
      </c>
      <c r="D211" s="215">
        <f>'B) D RI'!AA212</f>
        <v>256</v>
      </c>
      <c r="E211" s="216">
        <f>'B) D RI'!S212</f>
        <v>81</v>
      </c>
      <c r="F211" s="10">
        <f>'B) D RI'!R212</f>
        <v>596883.30833333312</v>
      </c>
      <c r="G211" s="10">
        <f>'B) D RI'!U212</f>
        <v>7368.9297325102852</v>
      </c>
      <c r="H211" s="41">
        <f>'B) D RI'!T212</f>
        <v>555617.09999999974</v>
      </c>
      <c r="I211" s="10">
        <f t="shared" si="31"/>
        <v>13718.940740740734</v>
      </c>
      <c r="J211" s="31">
        <f t="shared" si="27"/>
        <v>22789.16834237938</v>
      </c>
      <c r="K211" s="10">
        <f t="shared" si="28"/>
        <v>13718.940740740734</v>
      </c>
      <c r="L211" s="10">
        <f t="shared" si="32"/>
        <v>9070.2276016386459</v>
      </c>
      <c r="M211" s="10">
        <f>'D) Ecrêtage'!C210</f>
        <v>7368.9297325102852</v>
      </c>
      <c r="N211" s="10">
        <f t="shared" si="29"/>
        <v>8655.9194685492748</v>
      </c>
      <c r="O211" s="55">
        <f t="shared" si="30"/>
        <v>22374.860209290011</v>
      </c>
      <c r="P211" s="217"/>
      <c r="Q211" s="218"/>
      <c r="R211" s="214"/>
      <c r="S211" s="214"/>
      <c r="T211" s="219"/>
    </row>
    <row r="212" spans="1:20" s="213" customFormat="1" x14ac:dyDescent="0.25">
      <c r="A212" s="308">
        <f>'A) Base RI'!A213</f>
        <v>5742</v>
      </c>
      <c r="B212" s="226" t="str">
        <f>'A) Base RI'!B213</f>
        <v>Agiez</v>
      </c>
      <c r="C212" s="242">
        <v>0</v>
      </c>
      <c r="D212" s="215">
        <f>'B) D RI'!AA213</f>
        <v>377</v>
      </c>
      <c r="E212" s="216">
        <f>'B) D RI'!S213</f>
        <v>76</v>
      </c>
      <c r="F212" s="10">
        <f>'B) D RI'!R213</f>
        <v>680970.39000000013</v>
      </c>
      <c r="G212" s="10">
        <f>'B) D RI'!U213</f>
        <v>8960.136710526318</v>
      </c>
      <c r="H212" s="41">
        <f>'B) D RI'!T213</f>
        <v>633547.59000000008</v>
      </c>
      <c r="I212" s="10">
        <f t="shared" si="31"/>
        <v>16672.305000000004</v>
      </c>
      <c r="J212" s="31">
        <f t="shared" si="27"/>
        <v>33560.611191707132</v>
      </c>
      <c r="K212" s="10">
        <f t="shared" si="28"/>
        <v>16672.305000000004</v>
      </c>
      <c r="L212" s="10">
        <f t="shared" si="32"/>
        <v>16888.306191707128</v>
      </c>
      <c r="M212" s="10">
        <f>'D) Ecrêtage'!C211</f>
        <v>8960.136710526318</v>
      </c>
      <c r="N212" s="10">
        <f t="shared" si="29"/>
        <v>10525.032075056439</v>
      </c>
      <c r="O212" s="55">
        <f t="shared" si="30"/>
        <v>27197.337075056443</v>
      </c>
      <c r="P212" s="217"/>
      <c r="Q212" s="218"/>
      <c r="R212" s="214"/>
      <c r="S212" s="214"/>
      <c r="T212" s="219"/>
    </row>
    <row r="213" spans="1:20" s="213" customFormat="1" x14ac:dyDescent="0.25">
      <c r="A213" s="308">
        <f>'A) Base RI'!A214</f>
        <v>5743</v>
      </c>
      <c r="B213" s="226" t="str">
        <f>'A) Base RI'!B214</f>
        <v>Arnex-sur-Orbe</v>
      </c>
      <c r="C213" s="242">
        <v>0</v>
      </c>
      <c r="D213" s="215">
        <f>'B) D RI'!AA214</f>
        <v>637</v>
      </c>
      <c r="E213" s="216">
        <f>'B) D RI'!S214</f>
        <v>71</v>
      </c>
      <c r="F213" s="10">
        <f>'B) D RI'!R214</f>
        <v>1459020.5049999999</v>
      </c>
      <c r="G213" s="10">
        <f>'B) D RI'!U214</f>
        <v>20549.584577464786</v>
      </c>
      <c r="H213" s="41">
        <f>'B) D RI'!T214</f>
        <v>1372214.13</v>
      </c>
      <c r="I213" s="10">
        <f t="shared" si="31"/>
        <v>38653.919154929572</v>
      </c>
      <c r="J213" s="31">
        <f t="shared" si="27"/>
        <v>56705.86028943619</v>
      </c>
      <c r="K213" s="10">
        <f t="shared" si="28"/>
        <v>38653.919154929572</v>
      </c>
      <c r="L213" s="10">
        <f t="shared" si="32"/>
        <v>18051.941134506618</v>
      </c>
      <c r="M213" s="10">
        <f>'D) Ecrêtage'!C212</f>
        <v>20549.584577464786</v>
      </c>
      <c r="N213" s="10">
        <f t="shared" si="29"/>
        <v>24138.586697322546</v>
      </c>
      <c r="O213" s="55">
        <f t="shared" si="30"/>
        <v>62792.505852252114</v>
      </c>
      <c r="P213" s="217"/>
      <c r="Q213" s="218"/>
      <c r="R213" s="214"/>
      <c r="S213" s="214"/>
      <c r="T213" s="219"/>
    </row>
    <row r="214" spans="1:20" s="213" customFormat="1" x14ac:dyDescent="0.25">
      <c r="A214" s="308">
        <f>'A) Base RI'!A215</f>
        <v>5744</v>
      </c>
      <c r="B214" s="226" t="str">
        <f>'A) Base RI'!B215</f>
        <v>Ballaigues</v>
      </c>
      <c r="C214" s="242">
        <v>0</v>
      </c>
      <c r="D214" s="215">
        <f>'B) D RI'!AA215</f>
        <v>1143</v>
      </c>
      <c r="E214" s="216">
        <f>'B) D RI'!S215</f>
        <v>65</v>
      </c>
      <c r="F214" s="10">
        <f>'B) D RI'!R215</f>
        <v>2629468.3200000003</v>
      </c>
      <c r="G214" s="10">
        <f>'B) D RI'!U215</f>
        <v>40453.358769230777</v>
      </c>
      <c r="H214" s="41">
        <f>'B) D RI'!T215</f>
        <v>2449034.7700000005</v>
      </c>
      <c r="I214" s="10">
        <f t="shared" si="31"/>
        <v>75354.916000000012</v>
      </c>
      <c r="J214" s="31">
        <f t="shared" si="27"/>
        <v>101750.07584117043</v>
      </c>
      <c r="K214" s="10">
        <f t="shared" si="28"/>
        <v>75354.916000000012</v>
      </c>
      <c r="L214" s="10">
        <f t="shared" si="32"/>
        <v>26395.159841170418</v>
      </c>
      <c r="M214" s="10">
        <f>'D) Ecrêtage'!C213</f>
        <v>40453.358769230777</v>
      </c>
      <c r="N214" s="10">
        <f t="shared" si="29"/>
        <v>47518.571685376628</v>
      </c>
      <c r="O214" s="55">
        <f t="shared" si="30"/>
        <v>122873.48768537663</v>
      </c>
      <c r="P214" s="217"/>
      <c r="Q214" s="218"/>
      <c r="R214" s="214"/>
      <c r="S214" s="214"/>
      <c r="T214" s="219"/>
    </row>
    <row r="215" spans="1:20" s="213" customFormat="1" x14ac:dyDescent="0.25">
      <c r="A215" s="308">
        <f>'A) Base RI'!A216</f>
        <v>5745</v>
      </c>
      <c r="B215" s="226" t="str">
        <f>'A) Base RI'!B216</f>
        <v>Baulmes</v>
      </c>
      <c r="C215" s="242">
        <v>0</v>
      </c>
      <c r="D215" s="215">
        <f>'B) D RI'!AA216</f>
        <v>1074</v>
      </c>
      <c r="E215" s="216">
        <f>'B) D RI'!S216</f>
        <v>76.5</v>
      </c>
      <c r="F215" s="10">
        <f>'B) D RI'!R216</f>
        <v>2052310.5699999996</v>
      </c>
      <c r="G215" s="10">
        <f>'B) D RI'!U216</f>
        <v>26827.589150326792</v>
      </c>
      <c r="H215" s="41">
        <f>'B) D RI'!T216</f>
        <v>1915983.5699999996</v>
      </c>
      <c r="I215" s="10">
        <f t="shared" si="31"/>
        <v>50091.073725490183</v>
      </c>
      <c r="J215" s="31">
        <f t="shared" si="27"/>
        <v>95607.682811388499</v>
      </c>
      <c r="K215" s="10">
        <f t="shared" si="28"/>
        <v>50091.073725490183</v>
      </c>
      <c r="L215" s="10">
        <f t="shared" si="32"/>
        <v>45516.609085898315</v>
      </c>
      <c r="M215" s="10">
        <f>'D) Ecrêtage'!C214</f>
        <v>26827.589150326792</v>
      </c>
      <c r="N215" s="10">
        <f t="shared" si="29"/>
        <v>31513.050015398672</v>
      </c>
      <c r="O215" s="55">
        <f t="shared" si="30"/>
        <v>81604.123740888856</v>
      </c>
      <c r="P215" s="217"/>
      <c r="Q215" s="218"/>
      <c r="R215" s="214"/>
      <c r="S215" s="214"/>
      <c r="T215" s="219"/>
    </row>
    <row r="216" spans="1:20" s="213" customFormat="1" x14ac:dyDescent="0.25">
      <c r="A216" s="308">
        <f>'A) Base RI'!A217</f>
        <v>5746</v>
      </c>
      <c r="B216" s="226" t="str">
        <f>'A) Base RI'!B217</f>
        <v>Bavois</v>
      </c>
      <c r="C216" s="242">
        <v>0</v>
      </c>
      <c r="D216" s="215">
        <f>'B) D RI'!AA217</f>
        <v>994</v>
      </c>
      <c r="E216" s="216">
        <f>'B) D RI'!S217</f>
        <v>73</v>
      </c>
      <c r="F216" s="10">
        <f>'B) D RI'!R217</f>
        <v>2224062.6133333328</v>
      </c>
      <c r="G216" s="10">
        <f>'B) D RI'!U217</f>
        <v>30466.611141552505</v>
      </c>
      <c r="H216" s="41">
        <f>'B) D RI'!T217</f>
        <v>2026809.5299999996</v>
      </c>
      <c r="I216" s="10">
        <f t="shared" si="31"/>
        <v>55529.028219178072</v>
      </c>
      <c r="J216" s="31">
        <f t="shared" si="27"/>
        <v>88486.06770439494</v>
      </c>
      <c r="K216" s="10">
        <f t="shared" si="28"/>
        <v>55529.028219178072</v>
      </c>
      <c r="L216" s="10">
        <f t="shared" si="32"/>
        <v>32957.039485216868</v>
      </c>
      <c r="M216" s="10">
        <f>'D) Ecrêtage'!C215</f>
        <v>30466.611141552505</v>
      </c>
      <c r="N216" s="10">
        <f t="shared" si="29"/>
        <v>35787.630238543119</v>
      </c>
      <c r="O216" s="55">
        <f t="shared" si="30"/>
        <v>91316.658457721191</v>
      </c>
      <c r="P216" s="217"/>
      <c r="Q216" s="218"/>
      <c r="R216" s="214"/>
      <c r="S216" s="214"/>
      <c r="T216" s="219"/>
    </row>
    <row r="217" spans="1:20" s="213" customFormat="1" x14ac:dyDescent="0.25">
      <c r="A217" s="308">
        <f>'A) Base RI'!A218</f>
        <v>5747</v>
      </c>
      <c r="B217" s="226" t="str">
        <f>'A) Base RI'!B218</f>
        <v>Bofflens</v>
      </c>
      <c r="C217" s="242">
        <v>0</v>
      </c>
      <c r="D217" s="215">
        <f>'B) D RI'!AA218</f>
        <v>206</v>
      </c>
      <c r="E217" s="216">
        <f>'B) D RI'!S218</f>
        <v>69</v>
      </c>
      <c r="F217" s="10">
        <f>'B) D RI'!R218</f>
        <v>387005.73</v>
      </c>
      <c r="G217" s="10">
        <f>'B) D RI'!U218</f>
        <v>5608.7786956521741</v>
      </c>
      <c r="H217" s="41">
        <f>'B) D RI'!T218</f>
        <v>354930.82999999996</v>
      </c>
      <c r="I217" s="10">
        <f t="shared" si="31"/>
        <v>10287.850144927535</v>
      </c>
      <c r="J217" s="31">
        <f t="shared" si="27"/>
        <v>18338.158900508406</v>
      </c>
      <c r="K217" s="10">
        <f t="shared" si="28"/>
        <v>10287.850144927535</v>
      </c>
      <c r="L217" s="10">
        <f t="shared" si="32"/>
        <v>8050.3087555808706</v>
      </c>
      <c r="M217" s="10">
        <f>'D) Ecrêtage'!C216</f>
        <v>5608.7786956521741</v>
      </c>
      <c r="N217" s="10">
        <f t="shared" si="29"/>
        <v>6588.3565821357624</v>
      </c>
      <c r="O217" s="55">
        <f t="shared" si="30"/>
        <v>16876.206727063298</v>
      </c>
      <c r="P217" s="217"/>
      <c r="Q217" s="218"/>
      <c r="R217" s="214"/>
      <c r="S217" s="214"/>
      <c r="T217" s="219"/>
    </row>
    <row r="218" spans="1:20" s="213" customFormat="1" x14ac:dyDescent="0.25">
      <c r="A218" s="308">
        <f>'A) Base RI'!A219</f>
        <v>5748</v>
      </c>
      <c r="B218" s="226" t="str">
        <f>'A) Base RI'!B219</f>
        <v>Bretonnières</v>
      </c>
      <c r="C218" s="242">
        <v>0</v>
      </c>
      <c r="D218" s="215">
        <f>'B) D RI'!AA219</f>
        <v>268</v>
      </c>
      <c r="E218" s="216">
        <f>'B) D RI'!S219</f>
        <v>70.5</v>
      </c>
      <c r="F218" s="10">
        <f>'B) D RI'!R219</f>
        <v>408194.18333333329</v>
      </c>
      <c r="G218" s="10">
        <f>'B) D RI'!U219</f>
        <v>5789.9884160756492</v>
      </c>
      <c r="H218" s="41">
        <f>'B) D RI'!T219</f>
        <v>368578.85</v>
      </c>
      <c r="I218" s="10">
        <f t="shared" si="31"/>
        <v>10456.137588652482</v>
      </c>
      <c r="J218" s="31">
        <f t="shared" si="27"/>
        <v>23857.410608428414</v>
      </c>
      <c r="K218" s="10">
        <f t="shared" si="28"/>
        <v>10456.137588652482</v>
      </c>
      <c r="L218" s="10">
        <f t="shared" si="32"/>
        <v>13401.273019775932</v>
      </c>
      <c r="M218" s="10">
        <f>'D) Ecrêtage'!C217</f>
        <v>5789.9884160756492</v>
      </c>
      <c r="N218" s="10">
        <f t="shared" si="29"/>
        <v>6801.2147316691808</v>
      </c>
      <c r="O218" s="55">
        <f t="shared" si="30"/>
        <v>17257.352320321661</v>
      </c>
      <c r="P218" s="217"/>
      <c r="Q218" s="218"/>
      <c r="R218" s="214"/>
      <c r="S218" s="214"/>
      <c r="T218" s="219"/>
    </row>
    <row r="219" spans="1:20" s="213" customFormat="1" x14ac:dyDescent="0.25">
      <c r="A219" s="308">
        <f>'A) Base RI'!A220</f>
        <v>5749</v>
      </c>
      <c r="B219" s="226" t="str">
        <f>'A) Base RI'!B220</f>
        <v>Chavornay</v>
      </c>
      <c r="C219" s="242">
        <v>0</v>
      </c>
      <c r="D219" s="215">
        <f>'B) D RI'!AA220</f>
        <v>5227</v>
      </c>
      <c r="E219" s="216">
        <f>'B) D RI'!S220</f>
        <v>70.5</v>
      </c>
      <c r="F219" s="10">
        <f>'B) D RI'!R220</f>
        <v>9917714.9100000001</v>
      </c>
      <c r="G219" s="10">
        <f>'B) D RI'!U220</f>
        <v>140676.80723404256</v>
      </c>
      <c r="H219" s="41">
        <f>'B) D RI'!T220</f>
        <v>9035063.7100000009</v>
      </c>
      <c r="I219" s="10">
        <f t="shared" ref="I219" si="33">+H219/E219*$I$5</f>
        <v>256313.8641134752</v>
      </c>
      <c r="J219" s="31">
        <f t="shared" ref="J219" si="34">+$I$315/$D$315*D219</f>
        <v>465308.5270531915</v>
      </c>
      <c r="K219" s="10">
        <f t="shared" ref="K219" si="35">IF(C219=1,0,IF(J219&gt;I219,I219,J219))</f>
        <v>256313.8641134752</v>
      </c>
      <c r="L219" s="10">
        <f t="shared" ref="L219" si="36">+J219-K219</f>
        <v>208994.66293971631</v>
      </c>
      <c r="M219" s="10">
        <f>'D) Ecrêtage'!C218</f>
        <v>140676.80723404256</v>
      </c>
      <c r="N219" s="10">
        <f t="shared" ref="N219" si="37">+$N$5*M219</f>
        <v>165246.12918186796</v>
      </c>
      <c r="O219" s="55">
        <f t="shared" ref="O219" si="38">+N219+K219</f>
        <v>421559.99329534313</v>
      </c>
      <c r="P219" s="217"/>
      <c r="Q219" s="218"/>
      <c r="R219" s="214"/>
      <c r="S219" s="214"/>
      <c r="T219" s="219"/>
    </row>
    <row r="220" spans="1:20" s="213" customFormat="1" x14ac:dyDescent="0.25">
      <c r="A220" s="308">
        <f>'A) Base RI'!A221</f>
        <v>5750</v>
      </c>
      <c r="B220" s="226" t="str">
        <f>'A) Base RI'!B221</f>
        <v>Les Clées</v>
      </c>
      <c r="C220" s="242">
        <v>0</v>
      </c>
      <c r="D220" s="215">
        <f>'B) D RI'!AA221</f>
        <v>187</v>
      </c>
      <c r="E220" s="216">
        <f>'B) D RI'!S221</f>
        <v>80</v>
      </c>
      <c r="F220" s="10">
        <f>'B) D RI'!R221</f>
        <v>483035.5</v>
      </c>
      <c r="G220" s="10">
        <f>'B) D RI'!U221</f>
        <v>6037.9437500000004</v>
      </c>
      <c r="H220" s="41">
        <f>'B) D RI'!T221</f>
        <v>459014.7</v>
      </c>
      <c r="I220" s="10">
        <f t="shared" si="31"/>
        <v>11475.3675</v>
      </c>
      <c r="J220" s="31">
        <f t="shared" ref="J220:J243" si="39">+$I$315/$D$315*D220</f>
        <v>16646.775312597438</v>
      </c>
      <c r="K220" s="10">
        <f t="shared" si="28"/>
        <v>11475.3675</v>
      </c>
      <c r="L220" s="10">
        <f t="shared" si="32"/>
        <v>5171.4078125974374</v>
      </c>
      <c r="M220" s="10">
        <f>'D) Ecrêtage'!C219</f>
        <v>6037.9437500000004</v>
      </c>
      <c r="N220" s="10">
        <f t="shared" si="29"/>
        <v>7092.4756718810886</v>
      </c>
      <c r="O220" s="55">
        <f t="shared" si="30"/>
        <v>18567.84317188109</v>
      </c>
      <c r="P220" s="217"/>
      <c r="Q220" s="218"/>
      <c r="R220" s="214"/>
      <c r="S220" s="214"/>
      <c r="T220" s="219"/>
    </row>
    <row r="221" spans="1:20" s="213" customFormat="1" x14ac:dyDescent="0.25">
      <c r="A221" s="308">
        <f>'A) Base RI'!A222</f>
        <v>5752</v>
      </c>
      <c r="B221" s="226" t="str">
        <f>'A) Base RI'!B222</f>
        <v>Croy</v>
      </c>
      <c r="C221" s="242">
        <v>0</v>
      </c>
      <c r="D221" s="215">
        <f>'B) D RI'!AA222</f>
        <v>397</v>
      </c>
      <c r="E221" s="216">
        <f>'B) D RI'!S222</f>
        <v>74</v>
      </c>
      <c r="F221" s="10">
        <f>'B) D RI'!R222</f>
        <v>696842.98714285716</v>
      </c>
      <c r="G221" s="10">
        <f>'B) D RI'!U222</f>
        <v>9416.7971235521236</v>
      </c>
      <c r="H221" s="41">
        <f>'B) D RI'!T222</f>
        <v>635436.73</v>
      </c>
      <c r="I221" s="10">
        <f t="shared" si="31"/>
        <v>17173.965675675674</v>
      </c>
      <c r="J221" s="31">
        <f t="shared" si="39"/>
        <v>35341.014968455522</v>
      </c>
      <c r="K221" s="10">
        <f t="shared" si="28"/>
        <v>17173.965675675674</v>
      </c>
      <c r="L221" s="10">
        <f t="shared" si="32"/>
        <v>18167.049292779848</v>
      </c>
      <c r="M221" s="10">
        <f>'D) Ecrêtage'!C220</f>
        <v>9416.7971235521236</v>
      </c>
      <c r="N221" s="10">
        <f t="shared" si="29"/>
        <v>11061.448610850879</v>
      </c>
      <c r="O221" s="55">
        <f t="shared" si="30"/>
        <v>28235.414286526553</v>
      </c>
      <c r="P221" s="217"/>
      <c r="Q221" s="218"/>
      <c r="R221" s="214"/>
      <c r="S221" s="214"/>
      <c r="T221" s="219"/>
    </row>
    <row r="222" spans="1:20" s="213" customFormat="1" x14ac:dyDescent="0.25">
      <c r="A222" s="308">
        <f>'A) Base RI'!A223</f>
        <v>5754</v>
      </c>
      <c r="B222" s="226" t="str">
        <f>'A) Base RI'!B223</f>
        <v>Juriens</v>
      </c>
      <c r="C222" s="242">
        <v>0</v>
      </c>
      <c r="D222" s="215">
        <f>'B) D RI'!AA223</f>
        <v>336</v>
      </c>
      <c r="E222" s="216">
        <f>'B) D RI'!S223</f>
        <v>79</v>
      </c>
      <c r="F222" s="10">
        <f>'B) D RI'!R223</f>
        <v>635459.09000000008</v>
      </c>
      <c r="G222" s="10">
        <f>'B) D RI'!U223</f>
        <v>8043.7859493670894</v>
      </c>
      <c r="H222" s="41">
        <f>'B) D RI'!T223</f>
        <v>591985.49000000011</v>
      </c>
      <c r="I222" s="10">
        <f t="shared" si="31"/>
        <v>14986.974430379749</v>
      </c>
      <c r="J222" s="31">
        <f t="shared" si="39"/>
        <v>29910.783449372935</v>
      </c>
      <c r="K222" s="10">
        <f t="shared" si="28"/>
        <v>14986.974430379749</v>
      </c>
      <c r="L222" s="10">
        <f t="shared" si="32"/>
        <v>14923.809018993186</v>
      </c>
      <c r="M222" s="10">
        <f>'D) Ecrêtage'!C221</f>
        <v>8043.7859493670894</v>
      </c>
      <c r="N222" s="10">
        <f t="shared" si="29"/>
        <v>9448.6398876612602</v>
      </c>
      <c r="O222" s="55">
        <f t="shared" si="30"/>
        <v>24435.614318041007</v>
      </c>
      <c r="P222" s="217"/>
      <c r="Q222" s="218"/>
      <c r="R222" s="214"/>
      <c r="S222" s="214"/>
      <c r="T222" s="219"/>
    </row>
    <row r="223" spans="1:20" s="213" customFormat="1" x14ac:dyDescent="0.25">
      <c r="A223" s="308">
        <f>'A) Base RI'!A224</f>
        <v>5755</v>
      </c>
      <c r="B223" s="226" t="str">
        <f>'A) Base RI'!B224</f>
        <v>Lignerolle</v>
      </c>
      <c r="C223" s="242">
        <v>0</v>
      </c>
      <c r="D223" s="215">
        <f>'B) D RI'!AA224</f>
        <v>435</v>
      </c>
      <c r="E223" s="216">
        <f>'B) D RI'!S224</f>
        <v>78.5</v>
      </c>
      <c r="F223" s="10">
        <f>'B) D RI'!R224</f>
        <v>710838.98571428563</v>
      </c>
      <c r="G223" s="10">
        <f>'B) D RI'!U224</f>
        <v>9055.2737033666963</v>
      </c>
      <c r="H223" s="41">
        <f>'B) D RI'!T224</f>
        <v>645674.6</v>
      </c>
      <c r="I223" s="10">
        <f t="shared" si="31"/>
        <v>16450.308280254776</v>
      </c>
      <c r="J223" s="31">
        <f t="shared" si="39"/>
        <v>38723.782144277466</v>
      </c>
      <c r="K223" s="10">
        <f t="shared" si="28"/>
        <v>16450.308280254776</v>
      </c>
      <c r="L223" s="10">
        <f t="shared" si="32"/>
        <v>22273.47386402269</v>
      </c>
      <c r="M223" s="10">
        <f>'D) Ecrêtage'!C222</f>
        <v>9055.2737033666963</v>
      </c>
      <c r="N223" s="10">
        <f t="shared" si="29"/>
        <v>10636.784823202908</v>
      </c>
      <c r="O223" s="55">
        <f t="shared" si="30"/>
        <v>27087.093103457686</v>
      </c>
      <c r="P223" s="217"/>
      <c r="Q223" s="218"/>
      <c r="R223" s="214"/>
      <c r="S223" s="214"/>
      <c r="T223" s="219"/>
    </row>
    <row r="224" spans="1:20" s="213" customFormat="1" x14ac:dyDescent="0.25">
      <c r="A224" s="308">
        <f>'A) Base RI'!A225</f>
        <v>5756</v>
      </c>
      <c r="B224" s="226" t="str">
        <f>'A) Base RI'!B225</f>
        <v>Montcherand</v>
      </c>
      <c r="C224" s="242">
        <v>1</v>
      </c>
      <c r="D224" s="215">
        <f>'B) D RI'!AA225</f>
        <v>506</v>
      </c>
      <c r="E224" s="216">
        <f>'B) D RI'!S225</f>
        <v>72</v>
      </c>
      <c r="F224" s="10">
        <f>'B) D RI'!R225</f>
        <v>1134598.22</v>
      </c>
      <c r="G224" s="10">
        <f>'B) D RI'!U225</f>
        <v>15758.308611111112</v>
      </c>
      <c r="H224" s="41">
        <f>'B) D RI'!T225</f>
        <v>1047632.82</v>
      </c>
      <c r="I224" s="10">
        <f t="shared" si="31"/>
        <v>29100.911666666667</v>
      </c>
      <c r="J224" s="31">
        <f t="shared" si="39"/>
        <v>45044.215551734247</v>
      </c>
      <c r="K224" s="10">
        <f t="shared" si="28"/>
        <v>0</v>
      </c>
      <c r="L224" s="10">
        <f t="shared" si="32"/>
        <v>45044.215551734247</v>
      </c>
      <c r="M224" s="10">
        <f>'D) Ecrêtage'!C223</f>
        <v>15758.308611111112</v>
      </c>
      <c r="N224" s="10">
        <f t="shared" si="29"/>
        <v>18510.5103793489</v>
      </c>
      <c r="O224" s="55">
        <f t="shared" si="30"/>
        <v>18510.5103793489</v>
      </c>
      <c r="P224" s="217"/>
      <c r="Q224" s="218"/>
      <c r="R224" s="214"/>
      <c r="S224" s="214"/>
      <c r="T224" s="219"/>
    </row>
    <row r="225" spans="1:20" s="213" customFormat="1" x14ac:dyDescent="0.25">
      <c r="A225" s="308">
        <f>'A) Base RI'!A226</f>
        <v>5757</v>
      </c>
      <c r="B225" s="226" t="str">
        <f>'A) Base RI'!B226</f>
        <v>Orbe</v>
      </c>
      <c r="C225" s="242">
        <v>1</v>
      </c>
      <c r="D225" s="215">
        <f>'B) D RI'!AA226</f>
        <v>7124</v>
      </c>
      <c r="E225" s="216">
        <f>'B) D RI'!S226</f>
        <v>75.5</v>
      </c>
      <c r="F225" s="10">
        <f>'B) D RI'!R226</f>
        <v>15385649.329999998</v>
      </c>
      <c r="G225" s="10">
        <f>'B) D RI'!U226</f>
        <v>203783.43483443707</v>
      </c>
      <c r="H225" s="41">
        <f>'B) D RI'!T226</f>
        <v>13655083.029999997</v>
      </c>
      <c r="I225" s="10">
        <f t="shared" si="31"/>
        <v>361724.05377483438</v>
      </c>
      <c r="J225" s="31">
        <f t="shared" si="39"/>
        <v>634179.82527777622</v>
      </c>
      <c r="K225" s="10">
        <f t="shared" si="28"/>
        <v>0</v>
      </c>
      <c r="L225" s="10">
        <f t="shared" si="32"/>
        <v>634179.82527777622</v>
      </c>
      <c r="M225" s="10">
        <f>'D) Ecrêtage'!C224</f>
        <v>203783.43483443707</v>
      </c>
      <c r="N225" s="10">
        <f t="shared" si="29"/>
        <v>239374.38203123538</v>
      </c>
      <c r="O225" s="55">
        <f t="shared" si="30"/>
        <v>239374.38203123538</v>
      </c>
      <c r="P225" s="217"/>
      <c r="Q225" s="218"/>
      <c r="R225" s="214"/>
      <c r="S225" s="214"/>
      <c r="T225" s="219"/>
    </row>
    <row r="226" spans="1:20" s="213" customFormat="1" x14ac:dyDescent="0.25">
      <c r="A226" s="308">
        <f>'A) Base RI'!A227</f>
        <v>5758</v>
      </c>
      <c r="B226" s="226" t="str">
        <f>'A) Base RI'!B227</f>
        <v>La Praz</v>
      </c>
      <c r="C226" s="242">
        <v>0</v>
      </c>
      <c r="D226" s="215">
        <f>'B) D RI'!AA227</f>
        <v>175</v>
      </c>
      <c r="E226" s="216">
        <f>'B) D RI'!S227</f>
        <v>83</v>
      </c>
      <c r="F226" s="10">
        <f>'B) D RI'!R227</f>
        <v>358011.69999999995</v>
      </c>
      <c r="G226" s="10">
        <f>'B) D RI'!U227</f>
        <v>4313.3939759036139</v>
      </c>
      <c r="H226" s="41">
        <f>'B) D RI'!T227</f>
        <v>328917.19999999995</v>
      </c>
      <c r="I226" s="10">
        <f t="shared" si="31"/>
        <v>7925.7156626506012</v>
      </c>
      <c r="J226" s="31">
        <f t="shared" si="39"/>
        <v>15578.533046548404</v>
      </c>
      <c r="K226" s="10">
        <f t="shared" si="28"/>
        <v>7925.7156626506012</v>
      </c>
      <c r="L226" s="10">
        <f t="shared" si="32"/>
        <v>7652.8173838978028</v>
      </c>
      <c r="M226" s="10">
        <f>'D) Ecrêtage'!C225</f>
        <v>4313.3939759036139</v>
      </c>
      <c r="N226" s="10">
        <f t="shared" si="29"/>
        <v>5066.7318385228118</v>
      </c>
      <c r="O226" s="55">
        <f t="shared" si="30"/>
        <v>12992.447501173414</v>
      </c>
      <c r="P226" s="217"/>
      <c r="Q226" s="218"/>
      <c r="R226" s="214"/>
      <c r="S226" s="214"/>
      <c r="T226" s="219"/>
    </row>
    <row r="227" spans="1:20" s="213" customFormat="1" x14ac:dyDescent="0.25">
      <c r="A227" s="308">
        <f>'A) Base RI'!A228</f>
        <v>5759</v>
      </c>
      <c r="B227" s="226" t="str">
        <f>'A) Base RI'!B228</f>
        <v>Premier</v>
      </c>
      <c r="C227" s="242">
        <v>0</v>
      </c>
      <c r="D227" s="215">
        <f>'B) D RI'!AA228</f>
        <v>218</v>
      </c>
      <c r="E227" s="216">
        <f>'B) D RI'!S228</f>
        <v>79.5</v>
      </c>
      <c r="F227" s="10">
        <f>'B) D RI'!R228</f>
        <v>421944.98000000004</v>
      </c>
      <c r="G227" s="10">
        <f>'B) D RI'!U228</f>
        <v>5307.4840251572332</v>
      </c>
      <c r="H227" s="41">
        <f>'B) D RI'!T228</f>
        <v>391181.33</v>
      </c>
      <c r="I227" s="10">
        <f t="shared" si="31"/>
        <v>9841.0397484276727</v>
      </c>
      <c r="J227" s="31">
        <f t="shared" si="39"/>
        <v>19406.40116655744</v>
      </c>
      <c r="K227" s="10">
        <f t="shared" si="28"/>
        <v>9841.0397484276727</v>
      </c>
      <c r="L227" s="10">
        <f t="shared" si="32"/>
        <v>9565.3614181297671</v>
      </c>
      <c r="M227" s="10">
        <f>'D) Ecrêtage'!C226</f>
        <v>5307.4840251572332</v>
      </c>
      <c r="N227" s="10">
        <f t="shared" si="29"/>
        <v>6234.4405456452268</v>
      </c>
      <c r="O227" s="55">
        <f t="shared" si="30"/>
        <v>16075.480294072899</v>
      </c>
      <c r="P227" s="217"/>
      <c r="Q227" s="218"/>
      <c r="R227" s="214"/>
      <c r="S227" s="214"/>
      <c r="T227" s="219"/>
    </row>
    <row r="228" spans="1:20" s="213" customFormat="1" x14ac:dyDescent="0.25">
      <c r="A228" s="308">
        <f>'A) Base RI'!A229</f>
        <v>5760</v>
      </c>
      <c r="B228" s="226" t="str">
        <f>'A) Base RI'!B229</f>
        <v>Rances</v>
      </c>
      <c r="C228" s="242">
        <v>0</v>
      </c>
      <c r="D228" s="215">
        <f>'B) D RI'!AA229</f>
        <v>513</v>
      </c>
      <c r="E228" s="216">
        <f>'B) D RI'!S229</f>
        <v>76.5</v>
      </c>
      <c r="F228" s="10">
        <f>'B) D RI'!R229</f>
        <v>981190.45333333313</v>
      </c>
      <c r="G228" s="10">
        <f>'B) D RI'!U229</f>
        <v>12826.018997821348</v>
      </c>
      <c r="H228" s="41">
        <f>'B) D RI'!T229</f>
        <v>905697.21999999986</v>
      </c>
      <c r="I228" s="10">
        <f t="shared" si="31"/>
        <v>23678.358692810452</v>
      </c>
      <c r="J228" s="31">
        <f t="shared" si="39"/>
        <v>45667.356873596182</v>
      </c>
      <c r="K228" s="10">
        <f t="shared" si="28"/>
        <v>23678.358692810452</v>
      </c>
      <c r="L228" s="10">
        <f t="shared" si="32"/>
        <v>21988.998180785729</v>
      </c>
      <c r="M228" s="10">
        <f>'D) Ecrêtage'!C227</f>
        <v>12826.018997821348</v>
      </c>
      <c r="N228" s="10">
        <f t="shared" si="29"/>
        <v>15066.093934567138</v>
      </c>
      <c r="O228" s="55">
        <f t="shared" si="30"/>
        <v>38744.452627377592</v>
      </c>
      <c r="P228" s="217"/>
      <c r="Q228" s="218"/>
      <c r="R228" s="214"/>
      <c r="S228" s="214"/>
      <c r="T228" s="219"/>
    </row>
    <row r="229" spans="1:20" s="213" customFormat="1" x14ac:dyDescent="0.25">
      <c r="A229" s="308">
        <f>'A) Base RI'!A230</f>
        <v>5761</v>
      </c>
      <c r="B229" s="226" t="str">
        <f>'A) Base RI'!B230</f>
        <v>Romainmôtier-Envy</v>
      </c>
      <c r="C229" s="242">
        <v>0</v>
      </c>
      <c r="D229" s="215">
        <f>'B) D RI'!AA230</f>
        <v>525</v>
      </c>
      <c r="E229" s="216">
        <f>'B) D RI'!S230</f>
        <v>81</v>
      </c>
      <c r="F229" s="10">
        <f>'B) D RI'!R230</f>
        <v>982935.35454545461</v>
      </c>
      <c r="G229" s="10">
        <f>'B) D RI'!U230</f>
        <v>12135.004377104378</v>
      </c>
      <c r="H229" s="41">
        <f>'B) D RI'!T230</f>
        <v>895994.35</v>
      </c>
      <c r="I229" s="10">
        <f t="shared" si="31"/>
        <v>22123.317283950615</v>
      </c>
      <c r="J229" s="31">
        <f t="shared" si="39"/>
        <v>46735.599139645215</v>
      </c>
      <c r="K229" s="10">
        <f t="shared" si="28"/>
        <v>22123.317283950615</v>
      </c>
      <c r="L229" s="10">
        <f t="shared" si="32"/>
        <v>24612.2818556946</v>
      </c>
      <c r="M229" s="10">
        <f>'D) Ecrêtage'!C228</f>
        <v>12135.004377104378</v>
      </c>
      <c r="N229" s="10">
        <f t="shared" si="29"/>
        <v>14254.393032857142</v>
      </c>
      <c r="O229" s="55">
        <f t="shared" si="30"/>
        <v>36377.710316807759</v>
      </c>
      <c r="P229" s="217"/>
      <c r="Q229" s="218"/>
      <c r="R229" s="214"/>
      <c r="S229" s="214"/>
      <c r="T229" s="219"/>
    </row>
    <row r="230" spans="1:20" s="213" customFormat="1" x14ac:dyDescent="0.25">
      <c r="A230" s="308">
        <f>'A) Base RI'!A231</f>
        <v>5762</v>
      </c>
      <c r="B230" s="226" t="str">
        <f>'A) Base RI'!B231</f>
        <v>Sergey</v>
      </c>
      <c r="C230" s="242">
        <v>0</v>
      </c>
      <c r="D230" s="215">
        <f>'B) D RI'!AA231</f>
        <v>145</v>
      </c>
      <c r="E230" s="216">
        <f>'B) D RI'!S231</f>
        <v>78</v>
      </c>
      <c r="F230" s="10">
        <f>'B) D RI'!R231</f>
        <v>294296.2</v>
      </c>
      <c r="G230" s="10">
        <f>'B) D RI'!U231</f>
        <v>3773.0282051282052</v>
      </c>
      <c r="H230" s="41">
        <f>'B) D RI'!T231</f>
        <v>273704.60000000003</v>
      </c>
      <c r="I230" s="10">
        <f t="shared" si="31"/>
        <v>7018.0666666666675</v>
      </c>
      <c r="J230" s="31">
        <f t="shared" si="39"/>
        <v>12907.927381425821</v>
      </c>
      <c r="K230" s="10">
        <f t="shared" si="28"/>
        <v>7018.0666666666675</v>
      </c>
      <c r="L230" s="10">
        <f t="shared" si="32"/>
        <v>5889.8607147591538</v>
      </c>
      <c r="M230" s="10">
        <f>'D) Ecrêtage'!C229</f>
        <v>3773.0282051282052</v>
      </c>
      <c r="N230" s="10">
        <f t="shared" si="29"/>
        <v>4431.9907342947608</v>
      </c>
      <c r="O230" s="55">
        <f t="shared" si="30"/>
        <v>11450.057400961428</v>
      </c>
      <c r="P230" s="217"/>
      <c r="Q230" s="218"/>
      <c r="R230" s="214"/>
      <c r="S230" s="214"/>
      <c r="T230" s="219"/>
    </row>
    <row r="231" spans="1:20" s="213" customFormat="1" x14ac:dyDescent="0.25">
      <c r="A231" s="308">
        <f>'A) Base RI'!A232</f>
        <v>5763</v>
      </c>
      <c r="B231" s="226" t="str">
        <f>'A) Base RI'!B232</f>
        <v>Valeyres-sous-Rances</v>
      </c>
      <c r="C231" s="242">
        <v>0</v>
      </c>
      <c r="D231" s="215">
        <f>'B) D RI'!AA232</f>
        <v>609</v>
      </c>
      <c r="E231" s="216">
        <f>'B) D RI'!S232</f>
        <v>68</v>
      </c>
      <c r="F231" s="10">
        <f>'B) D RI'!R232</f>
        <v>1391034.1999999997</v>
      </c>
      <c r="G231" s="10">
        <f>'B) D RI'!U232</f>
        <v>20456.385294117645</v>
      </c>
      <c r="H231" s="41">
        <f>'B) D RI'!T232</f>
        <v>1298172.9999999998</v>
      </c>
      <c r="I231" s="10">
        <f t="shared" si="31"/>
        <v>38181.558823529405</v>
      </c>
      <c r="J231" s="31">
        <f t="shared" si="39"/>
        <v>54213.295001988445</v>
      </c>
      <c r="K231" s="10">
        <f t="shared" si="28"/>
        <v>38181.558823529405</v>
      </c>
      <c r="L231" s="10">
        <f t="shared" si="32"/>
        <v>16031.736178459039</v>
      </c>
      <c r="M231" s="10">
        <f>'D) Ecrêtage'!C230</f>
        <v>20456.385294117645</v>
      </c>
      <c r="N231" s="10">
        <f t="shared" si="29"/>
        <v>24029.11008125166</v>
      </c>
      <c r="O231" s="55">
        <f t="shared" si="30"/>
        <v>62210.668904781065</v>
      </c>
      <c r="P231" s="217"/>
      <c r="Q231" s="218"/>
      <c r="R231" s="214"/>
      <c r="S231" s="214"/>
      <c r="T231" s="219"/>
    </row>
    <row r="232" spans="1:20" s="213" customFormat="1" x14ac:dyDescent="0.25">
      <c r="A232" s="308">
        <f>'A) Base RI'!A233</f>
        <v>5764</v>
      </c>
      <c r="B232" s="226" t="str">
        <f>'A) Base RI'!B233</f>
        <v>Vallorbe</v>
      </c>
      <c r="C232" s="242">
        <v>0</v>
      </c>
      <c r="D232" s="215">
        <f>'B) D RI'!AA233</f>
        <v>3874</v>
      </c>
      <c r="E232" s="216">
        <f>'B) D RI'!S233</f>
        <v>71.5</v>
      </c>
      <c r="F232" s="10">
        <f>'B) D RI'!R233</f>
        <v>6028215.379999999</v>
      </c>
      <c r="G232" s="10">
        <f>'B) D RI'!U233</f>
        <v>84310.704615384602</v>
      </c>
      <c r="H232" s="41">
        <f>'B) D RI'!T233</f>
        <v>5523788.0299999993</v>
      </c>
      <c r="I232" s="10">
        <f t="shared" si="31"/>
        <v>154511.55328671326</v>
      </c>
      <c r="J232" s="31">
        <f t="shared" si="39"/>
        <v>344864.21155616298</v>
      </c>
      <c r="K232" s="10">
        <f t="shared" si="28"/>
        <v>154511.55328671326</v>
      </c>
      <c r="L232" s="10">
        <f t="shared" si="32"/>
        <v>190352.65826944972</v>
      </c>
      <c r="M232" s="10">
        <f>'D) Ecrêtage'!C231</f>
        <v>84310.704615384602</v>
      </c>
      <c r="N232" s="10">
        <f t="shared" si="29"/>
        <v>99035.639635392072</v>
      </c>
      <c r="O232" s="55">
        <f t="shared" si="30"/>
        <v>253547.19292210531</v>
      </c>
      <c r="P232" s="217"/>
      <c r="Q232" s="218"/>
      <c r="R232" s="214"/>
      <c r="S232" s="214"/>
      <c r="T232" s="219"/>
    </row>
    <row r="233" spans="1:20" s="213" customFormat="1" x14ac:dyDescent="0.25">
      <c r="A233" s="308">
        <f>'A) Base RI'!A234</f>
        <v>5765</v>
      </c>
      <c r="B233" s="226" t="str">
        <f>'A) Base RI'!B234</f>
        <v>Vaulion</v>
      </c>
      <c r="C233" s="242">
        <v>0</v>
      </c>
      <c r="D233" s="215">
        <f>'B) D RI'!AA234</f>
        <v>506</v>
      </c>
      <c r="E233" s="216">
        <f>'B) D RI'!S234</f>
        <v>81</v>
      </c>
      <c r="F233" s="10">
        <f>'B) D RI'!R234</f>
        <v>916482.36</v>
      </c>
      <c r="G233" s="10">
        <f>'B) D RI'!U234</f>
        <v>11314.597037037036</v>
      </c>
      <c r="H233" s="41">
        <f>'B) D RI'!T234</f>
        <v>851583.76</v>
      </c>
      <c r="I233" s="10">
        <f t="shared" si="31"/>
        <v>21026.759506172839</v>
      </c>
      <c r="J233" s="31">
        <f t="shared" si="39"/>
        <v>45044.215551734247</v>
      </c>
      <c r="K233" s="10">
        <f t="shared" si="28"/>
        <v>21026.759506172839</v>
      </c>
      <c r="L233" s="10">
        <f t="shared" si="32"/>
        <v>24017.456045561408</v>
      </c>
      <c r="M233" s="10">
        <f>'D) Ecrêtage'!C232</f>
        <v>11314.597037037036</v>
      </c>
      <c r="N233" s="10">
        <f t="shared" si="29"/>
        <v>13290.700865228004</v>
      </c>
      <c r="O233" s="55">
        <f t="shared" si="30"/>
        <v>34317.460371400841</v>
      </c>
      <c r="P233" s="217"/>
      <c r="Q233" s="218"/>
      <c r="R233" s="214"/>
      <c r="S233" s="214"/>
      <c r="T233" s="219"/>
    </row>
    <row r="234" spans="1:20" s="213" customFormat="1" x14ac:dyDescent="0.25">
      <c r="A234" s="308">
        <f>'A) Base RI'!A235</f>
        <v>5766</v>
      </c>
      <c r="B234" s="226" t="str">
        <f>'A) Base RI'!B235</f>
        <v>Vuiteboeuf</v>
      </c>
      <c r="C234" s="242">
        <v>0</v>
      </c>
      <c r="D234" s="215">
        <f>'B) D RI'!AA235</f>
        <v>584</v>
      </c>
      <c r="E234" s="216">
        <f>'B) D RI'!S235</f>
        <v>77</v>
      </c>
      <c r="F234" s="10">
        <f>'B) D RI'!R235</f>
        <v>1231504.0899999999</v>
      </c>
      <c r="G234" s="10">
        <f>'B) D RI'!U235</f>
        <v>15993.559610389608</v>
      </c>
      <c r="H234" s="41">
        <f>'B) D RI'!T235</f>
        <v>1152627.94</v>
      </c>
      <c r="I234" s="10">
        <f t="shared" si="31"/>
        <v>29938.388051948052</v>
      </c>
      <c r="J234" s="31">
        <f t="shared" si="39"/>
        <v>51987.790281052963</v>
      </c>
      <c r="K234" s="10">
        <f t="shared" si="28"/>
        <v>29938.388051948052</v>
      </c>
      <c r="L234" s="10">
        <f t="shared" si="32"/>
        <v>22049.402229104911</v>
      </c>
      <c r="M234" s="10">
        <f>'D) Ecrêtage'!C233</f>
        <v>15993.559610389608</v>
      </c>
      <c r="N234" s="10">
        <f t="shared" si="29"/>
        <v>18786.848162251968</v>
      </c>
      <c r="O234" s="55">
        <f t="shared" si="30"/>
        <v>48725.23621420002</v>
      </c>
      <c r="P234" s="217"/>
      <c r="Q234" s="218"/>
      <c r="R234" s="214"/>
      <c r="S234" s="214"/>
      <c r="T234" s="219"/>
    </row>
    <row r="235" spans="1:20" s="213" customFormat="1" x14ac:dyDescent="0.25">
      <c r="A235" s="308">
        <f>'A) Base RI'!A236</f>
        <v>5785</v>
      </c>
      <c r="B235" s="226" t="str">
        <f>'A) Base RI'!B236</f>
        <v>Corcelles-le-Jorat</v>
      </c>
      <c r="C235" s="242">
        <v>0</v>
      </c>
      <c r="D235" s="215">
        <f>'B) D RI'!AA236</f>
        <v>451</v>
      </c>
      <c r="E235" s="216">
        <f>'B) D RI'!S236</f>
        <v>77</v>
      </c>
      <c r="F235" s="10">
        <f>'B) D RI'!R236</f>
        <v>1348013.0100000002</v>
      </c>
      <c r="G235" s="10">
        <f>'B) D RI'!U236</f>
        <v>17506.662467532471</v>
      </c>
      <c r="H235" s="41">
        <f>'B) D RI'!T236</f>
        <v>1272538.6600000001</v>
      </c>
      <c r="I235" s="10">
        <f t="shared" si="31"/>
        <v>33052.952207792208</v>
      </c>
      <c r="J235" s="31">
        <f t="shared" si="39"/>
        <v>40148.10516567617</v>
      </c>
      <c r="K235" s="10">
        <f t="shared" si="28"/>
        <v>33052.952207792208</v>
      </c>
      <c r="L235" s="10">
        <f t="shared" si="32"/>
        <v>7095.1529578839618</v>
      </c>
      <c r="M235" s="10">
        <f>'D) Ecrêtage'!C234</f>
        <v>17506.662467532471</v>
      </c>
      <c r="N235" s="10">
        <f t="shared" si="29"/>
        <v>20564.215697903412</v>
      </c>
      <c r="O235" s="55">
        <f t="shared" si="30"/>
        <v>53617.16790569562</v>
      </c>
      <c r="P235" s="217"/>
      <c r="Q235" s="218"/>
      <c r="R235" s="214"/>
      <c r="S235" s="214"/>
      <c r="T235" s="219"/>
    </row>
    <row r="236" spans="1:20" s="213" customFormat="1" x14ac:dyDescent="0.25">
      <c r="A236" s="308">
        <f>'A) Base RI'!A237</f>
        <v>5788</v>
      </c>
      <c r="B236" s="226" t="str">
        <f>'A) Base RI'!B237</f>
        <v>Essertes</v>
      </c>
      <c r="C236" s="242">
        <v>0</v>
      </c>
      <c r="D236" s="215">
        <f>'B) D RI'!AA237</f>
        <v>389</v>
      </c>
      <c r="E236" s="216">
        <f>'B) D RI'!S237</f>
        <v>71.5</v>
      </c>
      <c r="F236" s="10">
        <f>'B) D RI'!R237</f>
        <v>1160079.8999999997</v>
      </c>
      <c r="G236" s="10">
        <f>'B) D RI'!U237</f>
        <v>16224.893706293702</v>
      </c>
      <c r="H236" s="41">
        <f>'B) D RI'!T237</f>
        <v>1086300.9799999997</v>
      </c>
      <c r="I236" s="10">
        <f t="shared" si="31"/>
        <v>30386.041398601392</v>
      </c>
      <c r="J236" s="31">
        <f t="shared" si="39"/>
        <v>34628.853457756166</v>
      </c>
      <c r="K236" s="10">
        <f t="shared" si="28"/>
        <v>30386.041398601392</v>
      </c>
      <c r="L236" s="10">
        <f t="shared" si="32"/>
        <v>4242.812059154774</v>
      </c>
      <c r="M236" s="10">
        <f>'D) Ecrêtage'!C235</f>
        <v>16224.893706293702</v>
      </c>
      <c r="N236" s="10">
        <f t="shared" si="29"/>
        <v>19058.584951332919</v>
      </c>
      <c r="O236" s="55">
        <f t="shared" si="30"/>
        <v>49444.626349934311</v>
      </c>
      <c r="P236" s="217"/>
      <c r="Q236" s="218"/>
      <c r="R236" s="214"/>
      <c r="S236" s="214"/>
      <c r="T236" s="219"/>
    </row>
    <row r="237" spans="1:20" s="213" customFormat="1" x14ac:dyDescent="0.25">
      <c r="A237" s="308">
        <f>'A) Base RI'!A238</f>
        <v>5790</v>
      </c>
      <c r="B237" s="226" t="str">
        <f>'A) Base RI'!B238</f>
        <v>Maracon</v>
      </c>
      <c r="C237" s="242">
        <v>0</v>
      </c>
      <c r="D237" s="215">
        <f>'B) D RI'!AA238</f>
        <v>538</v>
      </c>
      <c r="E237" s="216">
        <f>'B) D RI'!S238</f>
        <v>74.5</v>
      </c>
      <c r="F237" s="10">
        <f>'B) D RI'!R238</f>
        <v>998157.33000000007</v>
      </c>
      <c r="G237" s="10">
        <f>'B) D RI'!U238</f>
        <v>13398.084966442953</v>
      </c>
      <c r="H237" s="41">
        <f>'B) D RI'!T238</f>
        <v>904397.08000000007</v>
      </c>
      <c r="I237" s="10">
        <f t="shared" si="31"/>
        <v>24279.11624161074</v>
      </c>
      <c r="J237" s="31">
        <f t="shared" si="39"/>
        <v>47892.861594531663</v>
      </c>
      <c r="K237" s="10">
        <f t="shared" si="28"/>
        <v>24279.11624161074</v>
      </c>
      <c r="L237" s="10">
        <f t="shared" si="32"/>
        <v>23613.745352920923</v>
      </c>
      <c r="M237" s="10">
        <f>'D) Ecrêtage'!C236</f>
        <v>13398.084966442953</v>
      </c>
      <c r="N237" s="10">
        <f t="shared" si="29"/>
        <v>15738.071702687259</v>
      </c>
      <c r="O237" s="55">
        <f t="shared" si="30"/>
        <v>40017.187944297999</v>
      </c>
      <c r="P237" s="217"/>
      <c r="Q237" s="218"/>
      <c r="R237" s="214"/>
      <c r="S237" s="214"/>
      <c r="T237" s="219"/>
    </row>
    <row r="238" spans="1:20" s="213" customFormat="1" x14ac:dyDescent="0.25">
      <c r="A238" s="308">
        <f>'A) Base RI'!A239</f>
        <v>5792</v>
      </c>
      <c r="B238" s="226" t="str">
        <f>'A) Base RI'!B239</f>
        <v>Montpreveyres</v>
      </c>
      <c r="C238" s="242">
        <v>0</v>
      </c>
      <c r="D238" s="215">
        <f>'B) D RI'!AA239</f>
        <v>653</v>
      </c>
      <c r="E238" s="216">
        <f>'B) D RI'!S239</f>
        <v>75</v>
      </c>
      <c r="F238" s="10">
        <f>'B) D RI'!R239</f>
        <v>1320692.3099999998</v>
      </c>
      <c r="G238" s="10">
        <f>'B) D RI'!U239</f>
        <v>17609.230799999998</v>
      </c>
      <c r="H238" s="41">
        <f>'B) D RI'!T239</f>
        <v>1204027.9099999999</v>
      </c>
      <c r="I238" s="10">
        <f t="shared" si="31"/>
        <v>32107.410933333333</v>
      </c>
      <c r="J238" s="31">
        <f t="shared" si="39"/>
        <v>58130.183310834902</v>
      </c>
      <c r="K238" s="10">
        <f t="shared" si="28"/>
        <v>32107.410933333333</v>
      </c>
      <c r="L238" s="10">
        <f t="shared" si="32"/>
        <v>26022.772377501569</v>
      </c>
      <c r="M238" s="10">
        <f>'D) Ecrêtage'!C237</f>
        <v>17609.230799999998</v>
      </c>
      <c r="N238" s="10">
        <f t="shared" si="29"/>
        <v>20684.697675353324</v>
      </c>
      <c r="O238" s="55">
        <f t="shared" si="30"/>
        <v>52792.108608686656</v>
      </c>
      <c r="P238" s="217"/>
      <c r="Q238" s="218"/>
      <c r="R238" s="214"/>
      <c r="S238" s="214"/>
      <c r="T238" s="219"/>
    </row>
    <row r="239" spans="1:20" s="213" customFormat="1" x14ac:dyDescent="0.25">
      <c r="A239" s="308">
        <f>'A) Base RI'!A240</f>
        <v>5798</v>
      </c>
      <c r="B239" s="226" t="str">
        <f>'A) Base RI'!B240</f>
        <v>Ropraz</v>
      </c>
      <c r="C239" s="242">
        <v>0</v>
      </c>
      <c r="D239" s="215">
        <f>'B) D RI'!AA240</f>
        <v>528</v>
      </c>
      <c r="E239" s="216">
        <f>'B) D RI'!S240</f>
        <v>77.5</v>
      </c>
      <c r="F239" s="10">
        <f>'B) D RI'!R240</f>
        <v>1221412.78</v>
      </c>
      <c r="G239" s="10">
        <f>'B) D RI'!U240</f>
        <v>15760.164903225806</v>
      </c>
      <c r="H239" s="41">
        <f>'B) D RI'!T240</f>
        <v>1134637.23</v>
      </c>
      <c r="I239" s="10">
        <f t="shared" si="31"/>
        <v>29280.960774193547</v>
      </c>
      <c r="J239" s="31">
        <f t="shared" si="39"/>
        <v>47002.659706157472</v>
      </c>
      <c r="K239" s="10">
        <f t="shared" si="28"/>
        <v>29280.960774193547</v>
      </c>
      <c r="L239" s="10">
        <f t="shared" si="32"/>
        <v>17721.698931963925</v>
      </c>
      <c r="M239" s="10">
        <f>'D) Ecrêtage'!C238</f>
        <v>15760.164903225806</v>
      </c>
      <c r="N239" s="10">
        <f t="shared" si="29"/>
        <v>18512.690874432741</v>
      </c>
      <c r="O239" s="55">
        <f t="shared" si="30"/>
        <v>47793.651648626284</v>
      </c>
      <c r="P239" s="217"/>
      <c r="Q239" s="218"/>
      <c r="R239" s="214"/>
      <c r="S239" s="214"/>
      <c r="T239" s="219"/>
    </row>
    <row r="240" spans="1:20" s="213" customFormat="1" x14ac:dyDescent="0.25">
      <c r="A240" s="308">
        <f>'A) Base RI'!A241</f>
        <v>5799</v>
      </c>
      <c r="B240" s="226" t="str">
        <f>'A) Base RI'!B241</f>
        <v>Servion</v>
      </c>
      <c r="C240" s="242">
        <v>0</v>
      </c>
      <c r="D240" s="215">
        <f>'B) D RI'!AA241</f>
        <v>2076</v>
      </c>
      <c r="E240" s="216">
        <f>'B) D RI'!S241</f>
        <v>69</v>
      </c>
      <c r="F240" s="10">
        <f>'B) D RI'!R241</f>
        <v>4787718.379999999</v>
      </c>
      <c r="G240" s="10">
        <f>'B) D RI'!U241</f>
        <v>69387.22289855071</v>
      </c>
      <c r="H240" s="41">
        <f>'B) D RI'!T241</f>
        <v>4371838.18</v>
      </c>
      <c r="I240" s="10">
        <f t="shared" si="31"/>
        <v>126719.9472463768</v>
      </c>
      <c r="J240" s="31">
        <f t="shared" si="39"/>
        <v>184805.91202648278</v>
      </c>
      <c r="K240" s="10">
        <f t="shared" si="28"/>
        <v>126719.9472463768</v>
      </c>
      <c r="L240" s="10">
        <f t="shared" si="32"/>
        <v>58085.964780105976</v>
      </c>
      <c r="M240" s="10">
        <f>'D) Ecrêtage'!C239</f>
        <v>69387.22289855071</v>
      </c>
      <c r="N240" s="10">
        <f t="shared" si="29"/>
        <v>81505.759365075442</v>
      </c>
      <c r="O240" s="55">
        <f t="shared" si="30"/>
        <v>208225.70661145225</v>
      </c>
      <c r="P240" s="217"/>
      <c r="Q240" s="218"/>
      <c r="R240" s="214"/>
      <c r="S240" s="214"/>
      <c r="T240" s="219"/>
    </row>
    <row r="241" spans="1:20" s="213" customFormat="1" x14ac:dyDescent="0.25">
      <c r="A241" s="308">
        <f>'A) Base RI'!A242</f>
        <v>5803</v>
      </c>
      <c r="B241" s="226" t="str">
        <f>'A) Base RI'!B242</f>
        <v>Vulliens</v>
      </c>
      <c r="C241" s="242">
        <v>0</v>
      </c>
      <c r="D241" s="215">
        <f>'B) D RI'!AA242</f>
        <v>624</v>
      </c>
      <c r="E241" s="216">
        <f>'B) D RI'!S242</f>
        <v>76</v>
      </c>
      <c r="F241" s="10">
        <f>'B) D RI'!R242</f>
        <v>1434570.9400000004</v>
      </c>
      <c r="G241" s="10">
        <f>'B) D RI'!U242</f>
        <v>18875.933421052636</v>
      </c>
      <c r="H241" s="41">
        <f>'B) D RI'!T242</f>
        <v>1329286.0900000003</v>
      </c>
      <c r="I241" s="10">
        <f t="shared" si="31"/>
        <v>34981.212894736847</v>
      </c>
      <c r="J241" s="31">
        <f t="shared" si="39"/>
        <v>55548.597834549742</v>
      </c>
      <c r="K241" s="10">
        <f t="shared" si="28"/>
        <v>34981.212894736847</v>
      </c>
      <c r="L241" s="10">
        <f t="shared" si="32"/>
        <v>20567.384939812895</v>
      </c>
      <c r="M241" s="10">
        <f>'D) Ecrêtage'!C240</f>
        <v>18875.933421052636</v>
      </c>
      <c r="N241" s="10">
        <f t="shared" si="29"/>
        <v>22172.630967763318</v>
      </c>
      <c r="O241" s="55">
        <f t="shared" si="30"/>
        <v>57153.843862500165</v>
      </c>
      <c r="P241" s="217"/>
      <c r="Q241" s="218"/>
      <c r="R241" s="214"/>
      <c r="S241" s="214"/>
      <c r="T241" s="219"/>
    </row>
    <row r="242" spans="1:20" s="213" customFormat="1" x14ac:dyDescent="0.25">
      <c r="A242" s="308">
        <f>'A) Base RI'!A243</f>
        <v>5804</v>
      </c>
      <c r="B242" s="226" t="str">
        <f>'A) Base RI'!B243</f>
        <v>Jorat-Menthue</v>
      </c>
      <c r="C242" s="242">
        <v>0</v>
      </c>
      <c r="D242" s="215">
        <f>'B) D RI'!AA243</f>
        <v>1602</v>
      </c>
      <c r="E242" s="216">
        <f>'B) D RI'!S243</f>
        <v>70.5</v>
      </c>
      <c r="F242" s="10">
        <f>'B) D RI'!R243</f>
        <v>3291846.99</v>
      </c>
      <c r="G242" s="10">
        <f>'B) D RI'!U243</f>
        <v>46692.865106382982</v>
      </c>
      <c r="H242" s="41">
        <f>'B) D RI'!T243</f>
        <v>3017689.5900000003</v>
      </c>
      <c r="I242" s="10">
        <f t="shared" si="31"/>
        <v>85608.215319148949</v>
      </c>
      <c r="J242" s="31">
        <f t="shared" si="39"/>
        <v>142610.34251754597</v>
      </c>
      <c r="K242" s="10">
        <f t="shared" si="28"/>
        <v>85608.215319148949</v>
      </c>
      <c r="L242" s="10">
        <f t="shared" si="32"/>
        <v>57002.127198397022</v>
      </c>
      <c r="M242" s="10">
        <f>'D) Ecrêtage'!C241</f>
        <v>46692.865106382982</v>
      </c>
      <c r="N242" s="10">
        <f t="shared" si="29"/>
        <v>54847.81301870304</v>
      </c>
      <c r="O242" s="55">
        <f t="shared" si="30"/>
        <v>140456.02833785198</v>
      </c>
      <c r="P242" s="217"/>
      <c r="Q242" s="218"/>
      <c r="R242" s="214"/>
      <c r="S242" s="214"/>
      <c r="T242" s="219"/>
    </row>
    <row r="243" spans="1:20" s="213" customFormat="1" x14ac:dyDescent="0.25">
      <c r="A243" s="308">
        <f>'A) Base RI'!A244</f>
        <v>5805</v>
      </c>
      <c r="B243" s="226" t="str">
        <f>'A) Base RI'!B244</f>
        <v>Oron</v>
      </c>
      <c r="C243" s="242">
        <v>0</v>
      </c>
      <c r="D243" s="215">
        <f>'B) D RI'!AA244</f>
        <v>5663</v>
      </c>
      <c r="E243" s="216">
        <f>'B) D RI'!S244</f>
        <v>69</v>
      </c>
      <c r="F243" s="10">
        <f>'B) D RI'!R244</f>
        <v>10676195.472727273</v>
      </c>
      <c r="G243" s="10">
        <f>'B) D RI'!U244</f>
        <v>154727.47061923583</v>
      </c>
      <c r="H243" s="41">
        <f>'B) D RI'!T244</f>
        <v>9734206.6499999985</v>
      </c>
      <c r="I243" s="10">
        <f t="shared" si="31"/>
        <v>282150.91739130428</v>
      </c>
      <c r="J243" s="31">
        <f t="shared" si="39"/>
        <v>504121.32938630634</v>
      </c>
      <c r="K243" s="10">
        <f t="shared" si="28"/>
        <v>282150.91739130428</v>
      </c>
      <c r="L243" s="10">
        <f t="shared" si="32"/>
        <v>221970.41199500207</v>
      </c>
      <c r="M243" s="10">
        <f>'D) Ecrêtage'!C242</f>
        <v>154727.47061923583</v>
      </c>
      <c r="N243" s="10">
        <f t="shared" si="29"/>
        <v>181750.75266950374</v>
      </c>
      <c r="O243" s="55">
        <f t="shared" si="30"/>
        <v>463901.67006080801</v>
      </c>
      <c r="P243" s="217"/>
      <c r="Q243" s="218"/>
      <c r="R243" s="214"/>
      <c r="S243" s="214"/>
      <c r="T243" s="219"/>
    </row>
    <row r="244" spans="1:20" s="213" customFormat="1" x14ac:dyDescent="0.25">
      <c r="A244" s="308">
        <f>'A) Base RI'!A245</f>
        <v>5806</v>
      </c>
      <c r="B244" s="226" t="str">
        <f>'A) Base RI'!B245</f>
        <v>Jorat-Mézières</v>
      </c>
      <c r="C244" s="242">
        <v>0</v>
      </c>
      <c r="D244" s="215">
        <f>'B) D RI'!AA245</f>
        <v>2966</v>
      </c>
      <c r="E244" s="216">
        <f>'B) D RI'!S245</f>
        <v>73</v>
      </c>
      <c r="F244" s="10">
        <f>'B) D RI'!R245</f>
        <v>6648129.6000000006</v>
      </c>
      <c r="G244" s="10">
        <f>'B) D RI'!U245</f>
        <v>91070.268493150696</v>
      </c>
      <c r="H244" s="41">
        <f>'B) D RI'!T245</f>
        <v>6109473.6000000006</v>
      </c>
      <c r="I244" s="10">
        <f t="shared" ref="I244" si="40">+H244/E244*$I$5</f>
        <v>167382.8383561644</v>
      </c>
      <c r="J244" s="31">
        <f t="shared" ref="J244" si="41">+$I$315/$D$315*D244</f>
        <v>264033.88009178609</v>
      </c>
      <c r="K244" s="10">
        <f t="shared" ref="K244" si="42">IF(C244=1,0,IF(J244&gt;I244,I244,J244))</f>
        <v>167382.8383561644</v>
      </c>
      <c r="L244" s="10">
        <f t="shared" ref="L244" si="43">+J244-K244</f>
        <v>96651.041735621693</v>
      </c>
      <c r="M244" s="10">
        <f>'D) Ecrêtage'!C243</f>
        <v>91070.268493150696</v>
      </c>
      <c r="N244" s="10">
        <f t="shared" ref="N244" si="44">+$N$5*M244</f>
        <v>106975.76699341561</v>
      </c>
      <c r="O244" s="55">
        <f t="shared" ref="O244" si="45">+N244+K244</f>
        <v>274358.60534958</v>
      </c>
      <c r="P244" s="217"/>
      <c r="Q244" s="218"/>
      <c r="R244" s="214"/>
      <c r="S244" s="214"/>
      <c r="T244" s="219"/>
    </row>
    <row r="245" spans="1:20" s="213" customFormat="1" x14ac:dyDescent="0.25">
      <c r="A245" s="308">
        <f>'A) Base RI'!A246</f>
        <v>5812</v>
      </c>
      <c r="B245" s="226" t="str">
        <f>'A) Base RI'!B246</f>
        <v>Champtauroz</v>
      </c>
      <c r="C245" s="242">
        <v>0</v>
      </c>
      <c r="D245" s="215">
        <f>'B) D RI'!AA246</f>
        <v>144</v>
      </c>
      <c r="E245" s="216">
        <f>'B) D RI'!S246</f>
        <v>77</v>
      </c>
      <c r="F245" s="10">
        <f>'B) D RI'!R246</f>
        <v>192741.22</v>
      </c>
      <c r="G245" s="10">
        <f>'B) D RI'!U246</f>
        <v>2503.1327272727272</v>
      </c>
      <c r="H245" s="41">
        <f>'B) D RI'!T246</f>
        <v>172318.97</v>
      </c>
      <c r="I245" s="10">
        <f t="shared" si="31"/>
        <v>4475.8174025974022</v>
      </c>
      <c r="J245" s="31">
        <f t="shared" ref="J245:J276" si="46">+$I$315/$D$315*D245</f>
        <v>12818.907192588402</v>
      </c>
      <c r="K245" s="10">
        <f t="shared" si="28"/>
        <v>4475.8174025974022</v>
      </c>
      <c r="L245" s="10">
        <f t="shared" si="32"/>
        <v>8343.0897899909996</v>
      </c>
      <c r="M245" s="10">
        <f>'D) Ecrêtage'!C244</f>
        <v>2503.1327272727272</v>
      </c>
      <c r="N245" s="10">
        <f t="shared" si="29"/>
        <v>2940.3069499730227</v>
      </c>
      <c r="O245" s="55">
        <f t="shared" si="30"/>
        <v>7416.1243525704249</v>
      </c>
      <c r="P245" s="217"/>
      <c r="Q245" s="218"/>
      <c r="R245" s="214"/>
      <c r="S245" s="214"/>
      <c r="T245" s="219"/>
    </row>
    <row r="246" spans="1:20" s="213" customFormat="1" x14ac:dyDescent="0.25">
      <c r="A246" s="308">
        <f>'A) Base RI'!A247</f>
        <v>5813</v>
      </c>
      <c r="B246" s="226" t="str">
        <f>'A) Base RI'!B247</f>
        <v>Chevroux</v>
      </c>
      <c r="C246" s="242">
        <v>0</v>
      </c>
      <c r="D246" s="215">
        <f>'B) D RI'!AA247</f>
        <v>495</v>
      </c>
      <c r="E246" s="216">
        <f>'B) D RI'!S247</f>
        <v>68.5</v>
      </c>
      <c r="F246" s="10">
        <f>'B) D RI'!R247</f>
        <v>1039814.73</v>
      </c>
      <c r="G246" s="10">
        <f>'B) D RI'!U247</f>
        <v>15179.777080291971</v>
      </c>
      <c r="H246" s="41">
        <f>'B) D RI'!T247</f>
        <v>943548.23</v>
      </c>
      <c r="I246" s="10">
        <f t="shared" si="31"/>
        <v>27548.853430656935</v>
      </c>
      <c r="J246" s="31">
        <f t="shared" si="46"/>
        <v>44064.993474522627</v>
      </c>
      <c r="K246" s="10">
        <f t="shared" si="28"/>
        <v>27548.853430656935</v>
      </c>
      <c r="L246" s="10">
        <f t="shared" si="32"/>
        <v>16516.140043865693</v>
      </c>
      <c r="M246" s="10">
        <f>'D) Ecrêtage'!C245</f>
        <v>15179.777080291971</v>
      </c>
      <c r="N246" s="10">
        <f t="shared" si="29"/>
        <v>17830.937833190139</v>
      </c>
      <c r="O246" s="55">
        <f t="shared" si="30"/>
        <v>45379.791263847073</v>
      </c>
      <c r="P246" s="217"/>
      <c r="Q246" s="218"/>
      <c r="R246" s="214"/>
      <c r="S246" s="214"/>
      <c r="T246" s="219"/>
    </row>
    <row r="247" spans="1:20" s="213" customFormat="1" x14ac:dyDescent="0.25">
      <c r="A247" s="308">
        <f>'A) Base RI'!A248</f>
        <v>5816</v>
      </c>
      <c r="B247" s="226" t="str">
        <f>'A) Base RI'!B248</f>
        <v>Corcelles-près-Payerne</v>
      </c>
      <c r="C247" s="242">
        <v>0</v>
      </c>
      <c r="D247" s="215">
        <f>'B) D RI'!AA248</f>
        <v>2681</v>
      </c>
      <c r="E247" s="216">
        <f>'B) D RI'!S248</f>
        <v>68.5</v>
      </c>
      <c r="F247" s="10">
        <f>'B) D RI'!R248</f>
        <v>4146236.2885714285</v>
      </c>
      <c r="G247" s="10">
        <f>'B) D RI'!U248</f>
        <v>60528.996913451512</v>
      </c>
      <c r="H247" s="41">
        <f>'B) D RI'!T248</f>
        <v>3730847.36</v>
      </c>
      <c r="I247" s="10">
        <f t="shared" si="31"/>
        <v>108929.84992700729</v>
      </c>
      <c r="J247" s="31">
        <f t="shared" si="46"/>
        <v>238663.12627312157</v>
      </c>
      <c r="K247" s="10">
        <f t="shared" si="28"/>
        <v>108929.84992700729</v>
      </c>
      <c r="L247" s="10">
        <f t="shared" si="32"/>
        <v>129733.27634611427</v>
      </c>
      <c r="M247" s="10">
        <f>'D) Ecrêtage'!C246</f>
        <v>60528.996913451512</v>
      </c>
      <c r="N247" s="10">
        <f t="shared" si="29"/>
        <v>71100.436808809347</v>
      </c>
      <c r="O247" s="55">
        <f t="shared" si="30"/>
        <v>180030.28673581663</v>
      </c>
      <c r="P247" s="217"/>
      <c r="Q247" s="218"/>
      <c r="R247" s="214"/>
      <c r="S247" s="214"/>
      <c r="T247" s="219"/>
    </row>
    <row r="248" spans="1:20" s="213" customFormat="1" x14ac:dyDescent="0.25">
      <c r="A248" s="308">
        <f>'A) Base RI'!A249</f>
        <v>5817</v>
      </c>
      <c r="B248" s="226" t="str">
        <f>'A) Base RI'!B249</f>
        <v>Grandcour</v>
      </c>
      <c r="C248" s="242">
        <v>0</v>
      </c>
      <c r="D248" s="215">
        <f>'B) D RI'!AA249</f>
        <v>967</v>
      </c>
      <c r="E248" s="216">
        <f>'B) D RI'!S249</f>
        <v>73.5</v>
      </c>
      <c r="F248" s="10">
        <f>'B) D RI'!R249</f>
        <v>1606324</v>
      </c>
      <c r="G248" s="10">
        <f>'B) D RI'!U249</f>
        <v>21854.748299319726</v>
      </c>
      <c r="H248" s="41">
        <f>'B) D RI'!T249</f>
        <v>1465617.6500000001</v>
      </c>
      <c r="I248" s="10">
        <f t="shared" si="31"/>
        <v>39880.752380952385</v>
      </c>
      <c r="J248" s="31">
        <f t="shared" si="46"/>
        <v>86082.522605784616</v>
      </c>
      <c r="K248" s="10">
        <f t="shared" si="28"/>
        <v>39880.752380952385</v>
      </c>
      <c r="L248" s="10">
        <f t="shared" si="32"/>
        <v>46201.770224832231</v>
      </c>
      <c r="M248" s="10">
        <f>'D) Ecrêtage'!C247</f>
        <v>21854.748299319726</v>
      </c>
      <c r="N248" s="10">
        <f t="shared" si="29"/>
        <v>25671.698353932123</v>
      </c>
      <c r="O248" s="55">
        <f t="shared" si="30"/>
        <v>65552.450734884507</v>
      </c>
      <c r="P248" s="217"/>
      <c r="Q248" s="218"/>
      <c r="R248" s="214"/>
      <c r="S248" s="214"/>
      <c r="T248" s="219"/>
    </row>
    <row r="249" spans="1:20" s="213" customFormat="1" x14ac:dyDescent="0.25">
      <c r="A249" s="308">
        <f>'A) Base RI'!A250</f>
        <v>5819</v>
      </c>
      <c r="B249" s="226" t="str">
        <f>'A) Base RI'!B250</f>
        <v>Henniez</v>
      </c>
      <c r="C249" s="242">
        <v>0</v>
      </c>
      <c r="D249" s="215">
        <f>'B) D RI'!AA250</f>
        <v>396</v>
      </c>
      <c r="E249" s="216">
        <f>'B) D RI'!S250</f>
        <v>69</v>
      </c>
      <c r="F249" s="10">
        <f>'B) D RI'!R250</f>
        <v>791307.03000000014</v>
      </c>
      <c r="G249" s="10">
        <f>'B) D RI'!U250</f>
        <v>11468.217826086959</v>
      </c>
      <c r="H249" s="41">
        <f>'B) D RI'!T250</f>
        <v>704970.4800000001</v>
      </c>
      <c r="I249" s="10">
        <f t="shared" si="31"/>
        <v>20433.926956521744</v>
      </c>
      <c r="J249" s="31">
        <f t="shared" si="46"/>
        <v>35251.9947796181</v>
      </c>
      <c r="K249" s="10">
        <f t="shared" si="28"/>
        <v>20433.926956521744</v>
      </c>
      <c r="L249" s="10">
        <f t="shared" si="32"/>
        <v>14818.067823096357</v>
      </c>
      <c r="M249" s="10">
        <f>'D) Ecrêtage'!C248</f>
        <v>11468.217826086959</v>
      </c>
      <c r="N249" s="10">
        <f t="shared" si="29"/>
        <v>13471.151653467254</v>
      </c>
      <c r="O249" s="55">
        <f t="shared" si="30"/>
        <v>33905.078609988996</v>
      </c>
      <c r="P249" s="217"/>
      <c r="Q249" s="218"/>
      <c r="R249" s="214"/>
      <c r="S249" s="214"/>
      <c r="T249" s="219"/>
    </row>
    <row r="250" spans="1:20" s="213" customFormat="1" x14ac:dyDescent="0.25">
      <c r="A250" s="308">
        <f>'A) Base RI'!A251</f>
        <v>5821</v>
      </c>
      <c r="B250" s="226" t="str">
        <f>'A) Base RI'!B251</f>
        <v>Missy</v>
      </c>
      <c r="C250" s="242">
        <v>0</v>
      </c>
      <c r="D250" s="215">
        <f>'B) D RI'!AA251</f>
        <v>368</v>
      </c>
      <c r="E250" s="216">
        <f>'B) D RI'!S251</f>
        <v>72</v>
      </c>
      <c r="F250" s="10">
        <f>'B) D RI'!R251</f>
        <v>566836.83000000007</v>
      </c>
      <c r="G250" s="10">
        <f>'B) D RI'!U251</f>
        <v>7872.7337500000012</v>
      </c>
      <c r="H250" s="41">
        <f>'B) D RI'!T251</f>
        <v>513822.03</v>
      </c>
      <c r="I250" s="10">
        <f t="shared" si="31"/>
        <v>14272.834166666667</v>
      </c>
      <c r="J250" s="31">
        <f t="shared" si="46"/>
        <v>32759.429492170359</v>
      </c>
      <c r="K250" s="10">
        <f t="shared" si="28"/>
        <v>14272.834166666667</v>
      </c>
      <c r="L250" s="10">
        <f t="shared" si="32"/>
        <v>18486.595325503691</v>
      </c>
      <c r="M250" s="10">
        <f>'D) Ecrêtage'!C249</f>
        <v>7872.7337500000012</v>
      </c>
      <c r="N250" s="10">
        <f t="shared" si="29"/>
        <v>9247.7132787254232</v>
      </c>
      <c r="O250" s="55">
        <f t="shared" si="30"/>
        <v>23520.547445392091</v>
      </c>
      <c r="P250" s="217"/>
      <c r="Q250" s="218"/>
      <c r="R250" s="214"/>
      <c r="S250" s="214"/>
      <c r="T250" s="219"/>
    </row>
    <row r="251" spans="1:20" s="213" customFormat="1" x14ac:dyDescent="0.25">
      <c r="A251" s="308">
        <f>'A) Base RI'!A252</f>
        <v>5822</v>
      </c>
      <c r="B251" s="226" t="str">
        <f>'A) Base RI'!B252</f>
        <v>Payerne</v>
      </c>
      <c r="C251" s="242">
        <v>0</v>
      </c>
      <c r="D251" s="215">
        <f>'B) D RI'!AA252</f>
        <v>10108</v>
      </c>
      <c r="E251" s="216">
        <f>'B) D RI'!S252</f>
        <v>73</v>
      </c>
      <c r="F251" s="10">
        <f>'B) D RI'!R252</f>
        <v>17363164.739999998</v>
      </c>
      <c r="G251" s="10">
        <f>'B) D RI'!U252</f>
        <v>237851.57178082189</v>
      </c>
      <c r="H251" s="41">
        <f>'B) D RI'!T252</f>
        <v>15732336.189999999</v>
      </c>
      <c r="I251" s="10">
        <f t="shared" si="31"/>
        <v>431022.90931506851</v>
      </c>
      <c r="J251" s="31">
        <f t="shared" si="46"/>
        <v>899816.06876863586</v>
      </c>
      <c r="K251" s="10">
        <f t="shared" si="28"/>
        <v>431022.90931506851</v>
      </c>
      <c r="L251" s="10">
        <f t="shared" si="32"/>
        <v>468793.15945356735</v>
      </c>
      <c r="M251" s="10">
        <f>'D) Ecrêtage'!C250</f>
        <v>237851.57178082189</v>
      </c>
      <c r="N251" s="10">
        <f t="shared" si="29"/>
        <v>279392.54756624019</v>
      </c>
      <c r="O251" s="55">
        <f t="shared" si="30"/>
        <v>710415.4568813087</v>
      </c>
      <c r="P251" s="217"/>
      <c r="Q251" s="218"/>
      <c r="R251" s="214"/>
      <c r="S251" s="214"/>
      <c r="T251" s="219"/>
    </row>
    <row r="252" spans="1:20" s="213" customFormat="1" x14ac:dyDescent="0.25">
      <c r="A252" s="308">
        <f>'A) Base RI'!A253</f>
        <v>5827</v>
      </c>
      <c r="B252" s="226" t="str">
        <f>'A) Base RI'!B253</f>
        <v>Trey</v>
      </c>
      <c r="C252" s="242">
        <v>0</v>
      </c>
      <c r="D252" s="215">
        <f>'B) D RI'!AA253</f>
        <v>302</v>
      </c>
      <c r="E252" s="216">
        <f>'B) D RI'!S253</f>
        <v>78</v>
      </c>
      <c r="F252" s="10">
        <f>'B) D RI'!R253</f>
        <v>480763.07</v>
      </c>
      <c r="G252" s="10">
        <f>'B) D RI'!U253</f>
        <v>6163.6291025641031</v>
      </c>
      <c r="H252" s="41">
        <f>'B) D RI'!T253</f>
        <v>441278.57</v>
      </c>
      <c r="I252" s="10">
        <f t="shared" si="31"/>
        <v>11314.835128205128</v>
      </c>
      <c r="J252" s="31">
        <f t="shared" si="46"/>
        <v>26884.097028900676</v>
      </c>
      <c r="K252" s="10">
        <f t="shared" si="28"/>
        <v>11314.835128205128</v>
      </c>
      <c r="L252" s="10">
        <f t="shared" si="32"/>
        <v>15569.261900695548</v>
      </c>
      <c r="M252" s="10">
        <f>'D) Ecrêtage'!C251</f>
        <v>6163.6291025641031</v>
      </c>
      <c r="N252" s="10">
        <f t="shared" si="29"/>
        <v>7240.1120763064682</v>
      </c>
      <c r="O252" s="55">
        <f t="shared" si="30"/>
        <v>18554.947204511598</v>
      </c>
      <c r="P252" s="217"/>
      <c r="Q252" s="218"/>
      <c r="R252" s="214"/>
      <c r="S252" s="214"/>
      <c r="T252" s="219"/>
    </row>
    <row r="253" spans="1:20" s="213" customFormat="1" x14ac:dyDescent="0.25">
      <c r="A253" s="308">
        <f>'A) Base RI'!A254</f>
        <v>5828</v>
      </c>
      <c r="B253" s="226" t="str">
        <f>'A) Base RI'!B254</f>
        <v>Treytorrens (Payerne)</v>
      </c>
      <c r="C253" s="242">
        <v>0</v>
      </c>
      <c r="D253" s="215">
        <f>'B) D RI'!AA254</f>
        <v>114</v>
      </c>
      <c r="E253" s="216">
        <f>'B) D RI'!S254</f>
        <v>84</v>
      </c>
      <c r="F253" s="10">
        <f>'B) D RI'!R254</f>
        <v>192226.94666666666</v>
      </c>
      <c r="G253" s="10">
        <f>'B) D RI'!U254</f>
        <v>2288.4160317460314</v>
      </c>
      <c r="H253" s="41">
        <f>'B) D RI'!T254</f>
        <v>175807.08</v>
      </c>
      <c r="I253" s="10">
        <f t="shared" si="31"/>
        <v>4185.8828571428567</v>
      </c>
      <c r="J253" s="31">
        <f t="shared" si="46"/>
        <v>10148.301527465817</v>
      </c>
      <c r="K253" s="10">
        <f t="shared" si="28"/>
        <v>4185.8828571428567</v>
      </c>
      <c r="L253" s="10">
        <f t="shared" si="32"/>
        <v>5962.4186703229607</v>
      </c>
      <c r="M253" s="10">
        <f>'D) Ecrêtage'!C252</f>
        <v>2288.4160317460314</v>
      </c>
      <c r="N253" s="10">
        <f t="shared" si="29"/>
        <v>2688.0898041326382</v>
      </c>
      <c r="O253" s="55">
        <f t="shared" si="30"/>
        <v>6873.9726612754948</v>
      </c>
      <c r="P253" s="217"/>
      <c r="Q253" s="218"/>
      <c r="R253" s="214"/>
      <c r="S253" s="214"/>
      <c r="T253" s="219"/>
    </row>
    <row r="254" spans="1:20" s="213" customFormat="1" x14ac:dyDescent="0.25">
      <c r="A254" s="308">
        <f>'A) Base RI'!A255</f>
        <v>5830</v>
      </c>
      <c r="B254" s="226" t="str">
        <f>'A) Base RI'!B255</f>
        <v>Villarzel</v>
      </c>
      <c r="C254" s="242">
        <v>0</v>
      </c>
      <c r="D254" s="215">
        <f>'B) D RI'!AA255</f>
        <v>477</v>
      </c>
      <c r="E254" s="216">
        <f>'B) D RI'!S255</f>
        <v>77</v>
      </c>
      <c r="F254" s="10">
        <f>'B) D RI'!R255</f>
        <v>960260.55</v>
      </c>
      <c r="G254" s="10">
        <f>'B) D RI'!U255</f>
        <v>12470.916233766235</v>
      </c>
      <c r="H254" s="41">
        <f>'B) D RI'!T255</f>
        <v>900755.85000000009</v>
      </c>
      <c r="I254" s="10">
        <f t="shared" si="31"/>
        <v>23396.255844155847</v>
      </c>
      <c r="J254" s="31">
        <f t="shared" si="46"/>
        <v>42462.63007544908</v>
      </c>
      <c r="K254" s="10">
        <f t="shared" ref="K254:K303" si="47">IF(C254=1,0,IF(J254&gt;I254,I254,J254))</f>
        <v>23396.255844155847</v>
      </c>
      <c r="L254" s="10">
        <f t="shared" si="32"/>
        <v>19066.374231293234</v>
      </c>
      <c r="M254" s="10">
        <f>'D) Ecrêtage'!C253</f>
        <v>12470.916233766235</v>
      </c>
      <c r="N254" s="10">
        <f t="shared" ref="N254:N313" si="48">+$N$5*M254</f>
        <v>14648.972176008421</v>
      </c>
      <c r="O254" s="55">
        <f t="shared" ref="O254:O314" si="49">+N254+K254</f>
        <v>38045.228020164272</v>
      </c>
      <c r="P254" s="217"/>
      <c r="Q254" s="218"/>
      <c r="R254" s="214"/>
      <c r="S254" s="214"/>
      <c r="T254" s="219"/>
    </row>
    <row r="255" spans="1:20" s="213" customFormat="1" x14ac:dyDescent="0.25">
      <c r="A255" s="308">
        <f>'A) Base RI'!A256</f>
        <v>5831</v>
      </c>
      <c r="B255" s="226" t="str">
        <f>'A) Base RI'!B256</f>
        <v>Valbroye</v>
      </c>
      <c r="C255" s="242">
        <v>0</v>
      </c>
      <c r="D255" s="215">
        <f>'B) D RI'!AA256</f>
        <v>3373</v>
      </c>
      <c r="E255" s="216">
        <f>'B) D RI'!S256</f>
        <v>70.5</v>
      </c>
      <c r="F255" s="10">
        <f>'B) D RI'!R256</f>
        <v>5904849.6600000001</v>
      </c>
      <c r="G255" s="10">
        <f>'B) D RI'!U256</f>
        <v>83756.732765957451</v>
      </c>
      <c r="H255" s="41">
        <f>'B) D RI'!T256</f>
        <v>5387820.8600000003</v>
      </c>
      <c r="I255" s="10">
        <f t="shared" ref="I255:I286" si="50">+H255/E255*$I$5</f>
        <v>152845.98184397165</v>
      </c>
      <c r="J255" s="31">
        <f t="shared" si="46"/>
        <v>300265.0969486158</v>
      </c>
      <c r="K255" s="10">
        <f t="shared" si="47"/>
        <v>152845.98184397165</v>
      </c>
      <c r="L255" s="10">
        <f t="shared" ref="L255:L314" si="51">+J255-K255</f>
        <v>147419.11510464415</v>
      </c>
      <c r="M255" s="10">
        <f>'D) Ecrêtage'!C254</f>
        <v>83756.732765957451</v>
      </c>
      <c r="N255" s="10">
        <f t="shared" si="48"/>
        <v>98384.916139505076</v>
      </c>
      <c r="O255" s="55">
        <f t="shared" si="49"/>
        <v>251230.89798347672</v>
      </c>
      <c r="P255" s="217"/>
      <c r="Q255" s="218"/>
      <c r="R255" s="214"/>
      <c r="S255" s="214"/>
      <c r="T255" s="219"/>
    </row>
    <row r="256" spans="1:20" s="213" customFormat="1" x14ac:dyDescent="0.25">
      <c r="A256" s="308">
        <f>'A) Base RI'!A257</f>
        <v>5841</v>
      </c>
      <c r="B256" s="226" t="str">
        <f>'A) Base RI'!B257</f>
        <v>Château-d'Oex</v>
      </c>
      <c r="C256" s="242">
        <v>0</v>
      </c>
      <c r="D256" s="215">
        <f>'B) D RI'!AA257</f>
        <v>3494</v>
      </c>
      <c r="E256" s="216">
        <f>'B) D RI'!S257</f>
        <v>81.5</v>
      </c>
      <c r="F256" s="10">
        <f>'B) D RI'!R257</f>
        <v>8855658.8399999999</v>
      </c>
      <c r="G256" s="10">
        <f>'B) D RI'!U257</f>
        <v>108658.39067484663</v>
      </c>
      <c r="H256" s="41">
        <f>'B) D RI'!T257</f>
        <v>7832270.8899999997</v>
      </c>
      <c r="I256" s="10">
        <f t="shared" si="50"/>
        <v>192202.96662576686</v>
      </c>
      <c r="J256" s="31">
        <f t="shared" si="46"/>
        <v>311036.53979794355</v>
      </c>
      <c r="K256" s="10">
        <f t="shared" si="47"/>
        <v>192202.96662576686</v>
      </c>
      <c r="L256" s="10">
        <f t="shared" si="51"/>
        <v>118833.57317217669</v>
      </c>
      <c r="M256" s="10">
        <f>'D) Ecrêtage'!C255</f>
        <v>108658.39067484663</v>
      </c>
      <c r="N256" s="10">
        <f t="shared" si="48"/>
        <v>127635.66941263746</v>
      </c>
      <c r="O256" s="55">
        <f t="shared" si="49"/>
        <v>319838.63603840431</v>
      </c>
      <c r="P256" s="217"/>
      <c r="Q256" s="218"/>
      <c r="R256" s="214"/>
      <c r="S256" s="214"/>
      <c r="T256" s="219"/>
    </row>
    <row r="257" spans="1:20" s="213" customFormat="1" x14ac:dyDescent="0.25">
      <c r="A257" s="308">
        <f>'A) Base RI'!A258</f>
        <v>5842</v>
      </c>
      <c r="B257" s="226" t="str">
        <f>'A) Base RI'!B258</f>
        <v>Rossinière</v>
      </c>
      <c r="C257" s="242">
        <v>0</v>
      </c>
      <c r="D257" s="215">
        <f>'B) D RI'!AA258</f>
        <v>537</v>
      </c>
      <c r="E257" s="216">
        <f>'B) D RI'!S258</f>
        <v>81</v>
      </c>
      <c r="F257" s="10">
        <f>'B) D RI'!R258</f>
        <v>1175306.0333333332</v>
      </c>
      <c r="G257" s="10">
        <f>'B) D RI'!U258</f>
        <v>14509.951028806583</v>
      </c>
      <c r="H257" s="41">
        <f>'B) D RI'!T258</f>
        <v>1077534.9499999997</v>
      </c>
      <c r="I257" s="10">
        <f t="shared" si="50"/>
        <v>26605.801234567894</v>
      </c>
      <c r="J257" s="31">
        <f t="shared" si="46"/>
        <v>47803.841405694249</v>
      </c>
      <c r="K257" s="10">
        <f t="shared" si="47"/>
        <v>26605.801234567894</v>
      </c>
      <c r="L257" s="10">
        <f t="shared" si="51"/>
        <v>21198.040171126355</v>
      </c>
      <c r="M257" s="10">
        <f>'D) Ecrêtage'!C256</f>
        <v>14509.951028806583</v>
      </c>
      <c r="N257" s="10">
        <f t="shared" si="48"/>
        <v>17044.126102035425</v>
      </c>
      <c r="O257" s="55">
        <f t="shared" si="49"/>
        <v>43649.927336603316</v>
      </c>
      <c r="P257" s="217"/>
      <c r="Q257" s="218"/>
      <c r="R257" s="214"/>
      <c r="S257" s="214"/>
      <c r="T257" s="219"/>
    </row>
    <row r="258" spans="1:20" s="213" customFormat="1" x14ac:dyDescent="0.25">
      <c r="A258" s="308">
        <f>'A) Base RI'!A259</f>
        <v>5843</v>
      </c>
      <c r="B258" s="226" t="str">
        <f>'A) Base RI'!B259</f>
        <v>Rougemont</v>
      </c>
      <c r="C258" s="242">
        <v>0</v>
      </c>
      <c r="D258" s="215">
        <f>'B) D RI'!AA259</f>
        <v>863</v>
      </c>
      <c r="E258" s="216">
        <f>'B) D RI'!S259</f>
        <v>74</v>
      </c>
      <c r="F258" s="10">
        <f>'B) D RI'!R259</f>
        <v>7434705.8499999996</v>
      </c>
      <c r="G258" s="10">
        <f>'B) D RI'!U259</f>
        <v>100468.99797297297</v>
      </c>
      <c r="H258" s="41">
        <f>'B) D RI'!T259</f>
        <v>6606523</v>
      </c>
      <c r="I258" s="10">
        <f t="shared" si="50"/>
        <v>178554.67567567568</v>
      </c>
      <c r="J258" s="31">
        <f t="shared" si="46"/>
        <v>76824.42296669299</v>
      </c>
      <c r="K258" s="10">
        <f t="shared" si="47"/>
        <v>76824.42296669299</v>
      </c>
      <c r="L258" s="10">
        <f t="shared" si="51"/>
        <v>0</v>
      </c>
      <c r="M258" s="10">
        <f>'D) Ecrêtage'!C257</f>
        <v>100468.99797297297</v>
      </c>
      <c r="N258" s="10">
        <f t="shared" si="48"/>
        <v>118015.99243145999</v>
      </c>
      <c r="O258" s="55">
        <f t="shared" si="49"/>
        <v>194840.41539815298</v>
      </c>
      <c r="P258" s="217"/>
      <c r="Q258" s="218"/>
      <c r="R258" s="214"/>
      <c r="S258" s="214"/>
      <c r="T258" s="219"/>
    </row>
    <row r="259" spans="1:20" s="213" customFormat="1" x14ac:dyDescent="0.25">
      <c r="A259" s="308">
        <f>'A) Base RI'!A260</f>
        <v>5851</v>
      </c>
      <c r="B259" s="226" t="str">
        <f>'A) Base RI'!B260</f>
        <v>Allaman</v>
      </c>
      <c r="C259" s="242">
        <v>0</v>
      </c>
      <c r="D259" s="215">
        <f>'B) D RI'!AA260</f>
        <v>443</v>
      </c>
      <c r="E259" s="216">
        <f>'B) D RI'!S260</f>
        <v>60</v>
      </c>
      <c r="F259" s="10">
        <f>'B) D RI'!R260</f>
        <v>1458852.8372727272</v>
      </c>
      <c r="G259" s="10">
        <f>'B) D RI'!U260</f>
        <v>24314.213954545452</v>
      </c>
      <c r="H259" s="41">
        <f>'B) D RI'!T260</f>
        <v>1207399.46</v>
      </c>
      <c r="I259" s="10">
        <f t="shared" si="50"/>
        <v>40246.648666666668</v>
      </c>
      <c r="J259" s="31">
        <f t="shared" si="46"/>
        <v>39435.943654976822</v>
      </c>
      <c r="K259" s="10">
        <f t="shared" si="47"/>
        <v>39435.943654976822</v>
      </c>
      <c r="L259" s="10">
        <f t="shared" si="51"/>
        <v>0</v>
      </c>
      <c r="M259" s="10">
        <f>'D) Ecrêtage'!C258</f>
        <v>24314.213954545452</v>
      </c>
      <c r="N259" s="10">
        <f t="shared" si="48"/>
        <v>28560.711741232317</v>
      </c>
      <c r="O259" s="55">
        <f t="shared" si="49"/>
        <v>67996.655396209142</v>
      </c>
      <c r="P259" s="217"/>
      <c r="Q259" s="218"/>
      <c r="R259" s="214"/>
      <c r="S259" s="214"/>
      <c r="T259" s="219"/>
    </row>
    <row r="260" spans="1:20" s="213" customFormat="1" x14ac:dyDescent="0.25">
      <c r="A260" s="308">
        <f>'A) Base RI'!A261</f>
        <v>5852</v>
      </c>
      <c r="B260" s="226" t="str">
        <f>'A) Base RI'!B261</f>
        <v>Bursinel</v>
      </c>
      <c r="C260" s="242">
        <v>0</v>
      </c>
      <c r="D260" s="215">
        <f>'B) D RI'!AA261</f>
        <v>491</v>
      </c>
      <c r="E260" s="216">
        <f>'B) D RI'!S261</f>
        <v>65.5</v>
      </c>
      <c r="F260" s="10">
        <f>'B) D RI'!R261</f>
        <v>2666257.1233333335</v>
      </c>
      <c r="G260" s="10">
        <f>'B) D RI'!U261</f>
        <v>40706.215623409669</v>
      </c>
      <c r="H260" s="41">
        <f>'B) D RI'!T261</f>
        <v>2472951.44</v>
      </c>
      <c r="I260" s="10">
        <f t="shared" si="50"/>
        <v>75509.967633587788</v>
      </c>
      <c r="J260" s="31">
        <f t="shared" si="46"/>
        <v>43708.912719172949</v>
      </c>
      <c r="K260" s="10">
        <f t="shared" si="47"/>
        <v>43708.912719172949</v>
      </c>
      <c r="L260" s="10">
        <f t="shared" si="51"/>
        <v>0</v>
      </c>
      <c r="M260" s="10">
        <f>'D) Ecrêtage'!C259</f>
        <v>40706.215623409669</v>
      </c>
      <c r="N260" s="10">
        <f t="shared" si="48"/>
        <v>47815.590200451756</v>
      </c>
      <c r="O260" s="55">
        <f t="shared" si="49"/>
        <v>91524.502919624705</v>
      </c>
      <c r="P260" s="217"/>
      <c r="Q260" s="218"/>
      <c r="R260" s="214"/>
      <c r="S260" s="214"/>
      <c r="T260" s="219"/>
    </row>
    <row r="261" spans="1:20" s="213" customFormat="1" x14ac:dyDescent="0.25">
      <c r="A261" s="308">
        <f>'A) Base RI'!A262</f>
        <v>5853</v>
      </c>
      <c r="B261" s="226" t="str">
        <f>'A) Base RI'!B262</f>
        <v>Bursins</v>
      </c>
      <c r="C261" s="242">
        <v>0</v>
      </c>
      <c r="D261" s="215">
        <f>'B) D RI'!AA262</f>
        <v>773</v>
      </c>
      <c r="E261" s="216">
        <f>'B) D RI'!S262</f>
        <v>71</v>
      </c>
      <c r="F261" s="10">
        <f>'B) D RI'!R262</f>
        <v>2983127.6099999994</v>
      </c>
      <c r="G261" s="10">
        <f>'B) D RI'!U262</f>
        <v>42015.881830985905</v>
      </c>
      <c r="H261" s="41">
        <f>'B) D RI'!T262</f>
        <v>2756743.6599999997</v>
      </c>
      <c r="I261" s="10">
        <f t="shared" si="50"/>
        <v>77654.750985915482</v>
      </c>
      <c r="J261" s="31">
        <f t="shared" si="46"/>
        <v>68812.605971325233</v>
      </c>
      <c r="K261" s="10">
        <f t="shared" si="47"/>
        <v>68812.605971325233</v>
      </c>
      <c r="L261" s="10">
        <f t="shared" si="51"/>
        <v>0</v>
      </c>
      <c r="M261" s="10">
        <f>'D) Ecrêtage'!C260</f>
        <v>42015.881830985905</v>
      </c>
      <c r="N261" s="10">
        <f t="shared" si="48"/>
        <v>49353.99070567661</v>
      </c>
      <c r="O261" s="55">
        <f t="shared" si="49"/>
        <v>118166.59667700184</v>
      </c>
      <c r="P261" s="217"/>
      <c r="Q261" s="218"/>
      <c r="R261" s="214"/>
      <c r="S261" s="214"/>
      <c r="T261" s="219"/>
    </row>
    <row r="262" spans="1:20" s="213" customFormat="1" x14ac:dyDescent="0.25">
      <c r="A262" s="308">
        <f>'A) Base RI'!A263</f>
        <v>5854</v>
      </c>
      <c r="B262" s="226" t="str">
        <f>'A) Base RI'!B263</f>
        <v>Burtigny</v>
      </c>
      <c r="C262" s="242">
        <v>0</v>
      </c>
      <c r="D262" s="215">
        <f>'B) D RI'!AA263</f>
        <v>404</v>
      </c>
      <c r="E262" s="216">
        <f>'B) D RI'!S263</f>
        <v>80</v>
      </c>
      <c r="F262" s="10">
        <f>'B) D RI'!R263</f>
        <v>862631.51666666684</v>
      </c>
      <c r="G262" s="10">
        <f>'B) D RI'!U263</f>
        <v>10782.893958333336</v>
      </c>
      <c r="H262" s="41">
        <f>'B) D RI'!T263</f>
        <v>785896.85000000009</v>
      </c>
      <c r="I262" s="10">
        <f t="shared" si="50"/>
        <v>19647.421250000003</v>
      </c>
      <c r="J262" s="31">
        <f t="shared" si="46"/>
        <v>35964.156290317456</v>
      </c>
      <c r="K262" s="10">
        <f t="shared" si="47"/>
        <v>19647.421250000003</v>
      </c>
      <c r="L262" s="10">
        <f t="shared" si="51"/>
        <v>16316.735040317453</v>
      </c>
      <c r="M262" s="10">
        <f>'D) Ecrêtage'!C261</f>
        <v>10782.893958333336</v>
      </c>
      <c r="N262" s="10">
        <f t="shared" si="48"/>
        <v>12666.135399481447</v>
      </c>
      <c r="O262" s="55">
        <f t="shared" si="49"/>
        <v>32313.556649481448</v>
      </c>
      <c r="P262" s="217"/>
      <c r="Q262" s="218"/>
      <c r="R262" s="214"/>
      <c r="S262" s="214"/>
      <c r="T262" s="219"/>
    </row>
    <row r="263" spans="1:20" s="213" customFormat="1" x14ac:dyDescent="0.25">
      <c r="A263" s="308">
        <f>'A) Base RI'!A264</f>
        <v>5855</v>
      </c>
      <c r="B263" s="226" t="str">
        <f>'A) Base RI'!B264</f>
        <v>Dully</v>
      </c>
      <c r="C263" s="242">
        <v>0</v>
      </c>
      <c r="D263" s="215">
        <f>'B) D RI'!AA264</f>
        <v>628</v>
      </c>
      <c r="E263" s="216">
        <f>'B) D RI'!S264</f>
        <v>49</v>
      </c>
      <c r="F263" s="10">
        <f>'B) D RI'!R264</f>
        <v>4809767.2299999995</v>
      </c>
      <c r="G263" s="10">
        <f>'B) D RI'!U264</f>
        <v>98158.514897959176</v>
      </c>
      <c r="H263" s="41">
        <f>'B) D RI'!T264</f>
        <v>4086432.8299999996</v>
      </c>
      <c r="I263" s="10">
        <f t="shared" si="50"/>
        <v>166793.17673469387</v>
      </c>
      <c r="J263" s="31">
        <f t="shared" si="46"/>
        <v>55904.67858989942</v>
      </c>
      <c r="K263" s="10">
        <f t="shared" si="47"/>
        <v>55904.67858989942</v>
      </c>
      <c r="L263" s="10">
        <f t="shared" si="51"/>
        <v>0</v>
      </c>
      <c r="M263" s="10">
        <f>'D) Ecrêtage'!C262</f>
        <v>98158.514897959176</v>
      </c>
      <c r="N263" s="10">
        <f t="shared" si="48"/>
        <v>115301.98155651132</v>
      </c>
      <c r="O263" s="55">
        <f t="shared" si="49"/>
        <v>171206.66014641075</v>
      </c>
      <c r="P263" s="217"/>
      <c r="Q263" s="218"/>
      <c r="R263" s="214"/>
      <c r="S263" s="214"/>
      <c r="T263" s="219"/>
    </row>
    <row r="264" spans="1:20" s="213" customFormat="1" x14ac:dyDescent="0.25">
      <c r="A264" s="308">
        <f>'A) Base RI'!A265</f>
        <v>5856</v>
      </c>
      <c r="B264" s="226" t="str">
        <f>'A) Base RI'!B265</f>
        <v>Essertines-sur-Rolle</v>
      </c>
      <c r="C264" s="242">
        <v>0</v>
      </c>
      <c r="D264" s="215">
        <f>'B) D RI'!AA265</f>
        <v>740</v>
      </c>
      <c r="E264" s="216">
        <f>'B) D RI'!S265</f>
        <v>66.5</v>
      </c>
      <c r="F264" s="10">
        <f>'B) D RI'!R265</f>
        <v>2374824.6276923078</v>
      </c>
      <c r="G264" s="10">
        <f>'B) D RI'!U265</f>
        <v>35711.648536726432</v>
      </c>
      <c r="H264" s="41">
        <f>'B) D RI'!T265</f>
        <v>2185073.5700000003</v>
      </c>
      <c r="I264" s="10">
        <f t="shared" si="50"/>
        <v>65716.498345864675</v>
      </c>
      <c r="J264" s="31">
        <f t="shared" si="46"/>
        <v>65874.939739690395</v>
      </c>
      <c r="K264" s="10">
        <f t="shared" si="47"/>
        <v>65716.498345864675</v>
      </c>
      <c r="L264" s="10">
        <f t="shared" si="51"/>
        <v>158.4413938257203</v>
      </c>
      <c r="M264" s="10">
        <f>'D) Ecrêtage'!C263</f>
        <v>35711.648536726432</v>
      </c>
      <c r="N264" s="10">
        <f t="shared" si="48"/>
        <v>41948.717798091457</v>
      </c>
      <c r="O264" s="55">
        <f t="shared" si="49"/>
        <v>107665.21614395613</v>
      </c>
      <c r="P264" s="217"/>
      <c r="Q264" s="218"/>
      <c r="R264" s="214"/>
      <c r="S264" s="214"/>
      <c r="T264" s="219"/>
    </row>
    <row r="265" spans="1:20" s="213" customFormat="1" x14ac:dyDescent="0.25">
      <c r="A265" s="308">
        <f>'A) Base RI'!A266</f>
        <v>5857</v>
      </c>
      <c r="B265" s="226" t="str">
        <f>'A) Base RI'!B266</f>
        <v>Gilly</v>
      </c>
      <c r="C265" s="242">
        <v>0</v>
      </c>
      <c r="D265" s="215">
        <f>'B) D RI'!AA266</f>
        <v>1428</v>
      </c>
      <c r="E265" s="216">
        <f>'B) D RI'!S266</f>
        <v>64.5</v>
      </c>
      <c r="F265" s="10">
        <f>'B) D RI'!R266</f>
        <v>5297283.3299999991</v>
      </c>
      <c r="G265" s="10">
        <f>'B) D RI'!U266</f>
        <v>82128.423720930223</v>
      </c>
      <c r="H265" s="41">
        <f>'B) D RI'!T266</f>
        <v>4868485.63</v>
      </c>
      <c r="I265" s="10">
        <f t="shared" si="50"/>
        <v>150960.79472868217</v>
      </c>
      <c r="J265" s="31">
        <f t="shared" si="46"/>
        <v>127120.82965983498</v>
      </c>
      <c r="K265" s="10">
        <f t="shared" si="47"/>
        <v>127120.82965983498</v>
      </c>
      <c r="L265" s="10">
        <f t="shared" si="51"/>
        <v>0</v>
      </c>
      <c r="M265" s="10">
        <f>'D) Ecrêtage'!C264</f>
        <v>82128.423720930223</v>
      </c>
      <c r="N265" s="10">
        <f t="shared" si="48"/>
        <v>96472.221558976817</v>
      </c>
      <c r="O265" s="55">
        <f t="shared" si="49"/>
        <v>223593.0512188118</v>
      </c>
      <c r="P265" s="217"/>
      <c r="Q265" s="218"/>
      <c r="R265" s="214"/>
      <c r="S265" s="214"/>
      <c r="T265" s="219"/>
    </row>
    <row r="266" spans="1:20" s="213" customFormat="1" x14ac:dyDescent="0.25">
      <c r="A266" s="308">
        <f>'A) Base RI'!A267</f>
        <v>5858</v>
      </c>
      <c r="B266" s="226" t="str">
        <f>'A) Base RI'!B267</f>
        <v>Luins</v>
      </c>
      <c r="C266" s="242">
        <v>0</v>
      </c>
      <c r="D266" s="215">
        <f>'B) D RI'!AA267</f>
        <v>619</v>
      </c>
      <c r="E266" s="216">
        <f>'B) D RI'!S267</f>
        <v>58.5</v>
      </c>
      <c r="F266" s="10">
        <f>'B) D RI'!R267</f>
        <v>2357004.6266666665</v>
      </c>
      <c r="G266" s="10">
        <f>'B) D RI'!U267</f>
        <v>40290.677378917375</v>
      </c>
      <c r="H266" s="41">
        <f>'B) D RI'!T267</f>
        <v>2200253.61</v>
      </c>
      <c r="I266" s="10">
        <f t="shared" si="50"/>
        <v>75222.345641025633</v>
      </c>
      <c r="J266" s="31">
        <f t="shared" si="46"/>
        <v>55103.496890362643</v>
      </c>
      <c r="K266" s="10">
        <f t="shared" si="47"/>
        <v>55103.496890362643</v>
      </c>
      <c r="L266" s="10">
        <f t="shared" si="51"/>
        <v>0</v>
      </c>
      <c r="M266" s="10">
        <f>'D) Ecrêtage'!C265</f>
        <v>40290.677378917375</v>
      </c>
      <c r="N266" s="10">
        <f t="shared" si="48"/>
        <v>47327.477854291232</v>
      </c>
      <c r="O266" s="55">
        <f t="shared" si="49"/>
        <v>102430.97474465388</v>
      </c>
      <c r="P266" s="217"/>
      <c r="Q266" s="218"/>
      <c r="R266" s="214"/>
      <c r="S266" s="214"/>
      <c r="T266" s="219"/>
    </row>
    <row r="267" spans="1:20" s="213" customFormat="1" x14ac:dyDescent="0.25">
      <c r="A267" s="308">
        <f>'A) Base RI'!A268</f>
        <v>5859</v>
      </c>
      <c r="B267" s="226" t="str">
        <f>'A) Base RI'!B268</f>
        <v>Mont-sur-Rolle</v>
      </c>
      <c r="C267" s="242">
        <v>0</v>
      </c>
      <c r="D267" s="215">
        <f>'B) D RI'!AA268</f>
        <v>2646</v>
      </c>
      <c r="E267" s="216">
        <f>'B) D RI'!S268</f>
        <v>63.5</v>
      </c>
      <c r="F267" s="10">
        <f>'B) D RI'!R268</f>
        <v>9300577.1899999976</v>
      </c>
      <c r="G267" s="10">
        <f>'B) D RI'!U268</f>
        <v>146465.78251968499</v>
      </c>
      <c r="H267" s="41">
        <f>'B) D RI'!T268</f>
        <v>8612683.589999998</v>
      </c>
      <c r="I267" s="10">
        <f t="shared" si="50"/>
        <v>271265.62488188973</v>
      </c>
      <c r="J267" s="31">
        <f t="shared" si="46"/>
        <v>235547.41966381189</v>
      </c>
      <c r="K267" s="10">
        <f t="shared" si="47"/>
        <v>235547.41966381189</v>
      </c>
      <c r="L267" s="10">
        <f t="shared" si="51"/>
        <v>0</v>
      </c>
      <c r="M267" s="10">
        <f>'D) Ecrêtage'!C266</f>
        <v>146465.78251968499</v>
      </c>
      <c r="N267" s="10">
        <f t="shared" si="48"/>
        <v>172046.1538390271</v>
      </c>
      <c r="O267" s="55">
        <f t="shared" si="49"/>
        <v>407593.57350283896</v>
      </c>
      <c r="P267" s="217"/>
      <c r="Q267" s="218"/>
      <c r="R267" s="214"/>
      <c r="S267" s="214"/>
      <c r="T267" s="219"/>
    </row>
    <row r="268" spans="1:20" s="213" customFormat="1" x14ac:dyDescent="0.25">
      <c r="A268" s="308">
        <f>'A) Base RI'!A269</f>
        <v>5860</v>
      </c>
      <c r="B268" s="226" t="str">
        <f>'A) Base RI'!B269</f>
        <v>Perroy</v>
      </c>
      <c r="C268" s="242">
        <v>0</v>
      </c>
      <c r="D268" s="215">
        <f>'B) D RI'!AA269</f>
        <v>1518</v>
      </c>
      <c r="E268" s="216">
        <f>'B) D RI'!S269</f>
        <v>58.5</v>
      </c>
      <c r="F268" s="10">
        <f>'B) D RI'!R269</f>
        <v>10949769.33923077</v>
      </c>
      <c r="G268" s="10">
        <f>'B) D RI'!U269</f>
        <v>187175.54426035503</v>
      </c>
      <c r="H268" s="41">
        <f>'B) D RI'!T269</f>
        <v>10402887.77</v>
      </c>
      <c r="I268" s="10">
        <f t="shared" si="50"/>
        <v>355654.28273504274</v>
      </c>
      <c r="J268" s="31">
        <f t="shared" si="46"/>
        <v>135132.64665520273</v>
      </c>
      <c r="K268" s="10">
        <f t="shared" si="47"/>
        <v>135132.64665520273</v>
      </c>
      <c r="L268" s="10">
        <f t="shared" si="51"/>
        <v>0</v>
      </c>
      <c r="M268" s="10">
        <f>'D) Ecrêtage'!C267</f>
        <v>187175.54426035503</v>
      </c>
      <c r="N268" s="10">
        <f t="shared" si="48"/>
        <v>219865.90948908226</v>
      </c>
      <c r="O268" s="55">
        <f t="shared" si="49"/>
        <v>354998.55614428502</v>
      </c>
      <c r="P268" s="217"/>
      <c r="Q268" s="218"/>
      <c r="R268" s="214"/>
      <c r="S268" s="214"/>
      <c r="T268" s="219"/>
    </row>
    <row r="269" spans="1:20" s="213" customFormat="1" x14ac:dyDescent="0.25">
      <c r="A269" s="308">
        <f>'A) Base RI'!A270</f>
        <v>5861</v>
      </c>
      <c r="B269" s="226" t="str">
        <f>'A) Base RI'!B270</f>
        <v>Rolle</v>
      </c>
      <c r="C269" s="242">
        <v>0</v>
      </c>
      <c r="D269" s="215">
        <f>'B) D RI'!AA270</f>
        <v>6259</v>
      </c>
      <c r="E269" s="216">
        <f>'B) D RI'!S270</f>
        <v>59.5</v>
      </c>
      <c r="F269" s="10">
        <f>'B) D RI'!R270</f>
        <v>115330984.11</v>
      </c>
      <c r="G269" s="10">
        <f>'B) D RI'!U270</f>
        <v>1938335.8673949579</v>
      </c>
      <c r="H269" s="41">
        <f>'B) D RI'!T270</f>
        <v>113338874.26000001</v>
      </c>
      <c r="I269" s="10">
        <f t="shared" si="50"/>
        <v>3809710.059159664</v>
      </c>
      <c r="J269" s="31">
        <f t="shared" si="46"/>
        <v>557177.36193340831</v>
      </c>
      <c r="K269" s="10">
        <f t="shared" si="47"/>
        <v>557177.36193340831</v>
      </c>
      <c r="L269" s="10">
        <f t="shared" si="51"/>
        <v>0</v>
      </c>
      <c r="M269" s="10">
        <f>'D) Ecrêtage'!C268</f>
        <v>1938335.8673949579</v>
      </c>
      <c r="N269" s="10">
        <f t="shared" si="48"/>
        <v>2276867.8465136853</v>
      </c>
      <c r="O269" s="55">
        <f t="shared" si="49"/>
        <v>2834045.2084470936</v>
      </c>
      <c r="P269" s="217"/>
      <c r="Q269" s="218"/>
      <c r="R269" s="214"/>
      <c r="S269" s="214"/>
      <c r="T269" s="219"/>
    </row>
    <row r="270" spans="1:20" s="213" customFormat="1" x14ac:dyDescent="0.25">
      <c r="A270" s="308">
        <f>'A) Base RI'!A271</f>
        <v>5862</v>
      </c>
      <c r="B270" s="226" t="str">
        <f>'A) Base RI'!B271</f>
        <v>Tartegnin</v>
      </c>
      <c r="C270" s="242">
        <v>0</v>
      </c>
      <c r="D270" s="215">
        <f>'B) D RI'!AA271</f>
        <v>236</v>
      </c>
      <c r="E270" s="216">
        <f>'B) D RI'!S271</f>
        <v>79</v>
      </c>
      <c r="F270" s="10">
        <f>'B) D RI'!R271</f>
        <v>639618.60999999987</v>
      </c>
      <c r="G270" s="10">
        <f>'B) D RI'!U271</f>
        <v>8096.4381012658214</v>
      </c>
      <c r="H270" s="41">
        <f>'B) D RI'!T271</f>
        <v>589960.10999999987</v>
      </c>
      <c r="I270" s="10">
        <f t="shared" si="50"/>
        <v>14935.69898734177</v>
      </c>
      <c r="J270" s="31">
        <f t="shared" si="46"/>
        <v>21008.764565630991</v>
      </c>
      <c r="K270" s="10">
        <f t="shared" si="47"/>
        <v>14935.69898734177</v>
      </c>
      <c r="L270" s="10">
        <f t="shared" si="51"/>
        <v>6073.0655782892209</v>
      </c>
      <c r="M270" s="10">
        <f>'D) Ecrêtage'!C269</f>
        <v>8096.4381012658214</v>
      </c>
      <c r="N270" s="10">
        <f t="shared" si="48"/>
        <v>9510.4877818908044</v>
      </c>
      <c r="O270" s="55">
        <f t="shared" si="49"/>
        <v>24446.186769232576</v>
      </c>
      <c r="P270" s="217"/>
      <c r="Q270" s="218"/>
      <c r="R270" s="214"/>
      <c r="S270" s="214"/>
      <c r="T270" s="219"/>
    </row>
    <row r="271" spans="1:20" s="213" customFormat="1" x14ac:dyDescent="0.25">
      <c r="A271" s="308">
        <f>'A) Base RI'!A272</f>
        <v>5863</v>
      </c>
      <c r="B271" s="226" t="str">
        <f>'A) Base RI'!B272</f>
        <v>Vinzel</v>
      </c>
      <c r="C271" s="242">
        <v>0</v>
      </c>
      <c r="D271" s="215">
        <f>'B) D RI'!AA272</f>
        <v>385</v>
      </c>
      <c r="E271" s="216">
        <f>'B) D RI'!S272</f>
        <v>67</v>
      </c>
      <c r="F271" s="10">
        <f>'B) D RI'!R272</f>
        <v>1469557.5600000003</v>
      </c>
      <c r="G271" s="10">
        <f>'B) D RI'!U272</f>
        <v>21933.69492537314</v>
      </c>
      <c r="H271" s="41">
        <f>'B) D RI'!T272</f>
        <v>1382727.8600000003</v>
      </c>
      <c r="I271" s="10">
        <f t="shared" si="50"/>
        <v>41275.458507462696</v>
      </c>
      <c r="J271" s="31">
        <f t="shared" si="46"/>
        <v>34272.772702406488</v>
      </c>
      <c r="K271" s="10">
        <f t="shared" si="47"/>
        <v>34272.772702406488</v>
      </c>
      <c r="L271" s="10">
        <f t="shared" si="51"/>
        <v>0</v>
      </c>
      <c r="M271" s="10">
        <f>'D) Ecrêtage'!C270</f>
        <v>21933.69492537314</v>
      </c>
      <c r="N271" s="10">
        <f t="shared" si="48"/>
        <v>25764.433074201905</v>
      </c>
      <c r="O271" s="55">
        <f t="shared" si="49"/>
        <v>60037.205776608389</v>
      </c>
      <c r="P271" s="217"/>
      <c r="Q271" s="218"/>
      <c r="R271" s="214"/>
      <c r="S271" s="214"/>
      <c r="T271" s="219"/>
    </row>
    <row r="272" spans="1:20" s="213" customFormat="1" x14ac:dyDescent="0.25">
      <c r="A272" s="308">
        <f>'A) Base RI'!A273</f>
        <v>5871</v>
      </c>
      <c r="B272" s="226" t="str">
        <f>'A) Base RI'!B273</f>
        <v>L'Abbaye</v>
      </c>
      <c r="C272" s="242">
        <v>0</v>
      </c>
      <c r="D272" s="215">
        <f>'B) D RI'!AA273</f>
        <v>1473</v>
      </c>
      <c r="E272" s="216">
        <f>'B) D RI'!S273</f>
        <v>77.56</v>
      </c>
      <c r="F272" s="10">
        <f>'B) D RI'!R273</f>
        <v>3840268.7100000004</v>
      </c>
      <c r="G272" s="10">
        <f>'B) D RI'!U273</f>
        <v>49513.521273852508</v>
      </c>
      <c r="H272" s="41">
        <f>'B) D RI'!T273</f>
        <v>3563854.2600000002</v>
      </c>
      <c r="I272" s="10">
        <f t="shared" si="50"/>
        <v>91899.284682826197</v>
      </c>
      <c r="J272" s="31">
        <f t="shared" si="46"/>
        <v>131126.73815751885</v>
      </c>
      <c r="K272" s="10">
        <f t="shared" si="47"/>
        <v>91899.284682826197</v>
      </c>
      <c r="L272" s="10">
        <f t="shared" si="51"/>
        <v>39227.453474692651</v>
      </c>
      <c r="M272" s="10">
        <f>'D) Ecrêtage'!C271</f>
        <v>49513.521273852508</v>
      </c>
      <c r="N272" s="10">
        <f t="shared" si="48"/>
        <v>58161.099143059357</v>
      </c>
      <c r="O272" s="55">
        <f t="shared" si="49"/>
        <v>150060.38382588554</v>
      </c>
      <c r="P272" s="217"/>
      <c r="Q272" s="218"/>
      <c r="R272" s="214"/>
      <c r="S272" s="214"/>
      <c r="T272" s="219"/>
    </row>
    <row r="273" spans="1:20" s="213" customFormat="1" x14ac:dyDescent="0.25">
      <c r="A273" s="308">
        <f>'A) Base RI'!A274</f>
        <v>5872</v>
      </c>
      <c r="B273" s="226" t="str">
        <f>'A) Base RI'!B274</f>
        <v>Le Chenit</v>
      </c>
      <c r="C273" s="242">
        <v>0</v>
      </c>
      <c r="D273" s="215">
        <f>'B) D RI'!AA274</f>
        <v>4600</v>
      </c>
      <c r="E273" s="216">
        <f>'B) D RI'!S274</f>
        <v>66.95</v>
      </c>
      <c r="F273" s="10">
        <f>'B) D RI'!R274</f>
        <v>15803064.270000001</v>
      </c>
      <c r="G273" s="10">
        <f>'B) D RI'!U274</f>
        <v>236042.78222554145</v>
      </c>
      <c r="H273" s="41">
        <f>'B) D RI'!T274</f>
        <v>14988543.970000001</v>
      </c>
      <c r="I273" s="10">
        <f t="shared" si="50"/>
        <v>447753.36728902167</v>
      </c>
      <c r="J273" s="31">
        <f t="shared" si="46"/>
        <v>409492.86865212949</v>
      </c>
      <c r="K273" s="10">
        <f t="shared" si="47"/>
        <v>409492.86865212949</v>
      </c>
      <c r="L273" s="10">
        <f t="shared" si="51"/>
        <v>0</v>
      </c>
      <c r="M273" s="10">
        <f>'D) Ecrêtage'!C272</f>
        <v>236042.78222554145</v>
      </c>
      <c r="N273" s="10">
        <f t="shared" si="48"/>
        <v>277267.85140351439</v>
      </c>
      <c r="O273" s="55">
        <f t="shared" si="49"/>
        <v>686760.72005564393</v>
      </c>
      <c r="P273" s="217"/>
      <c r="Q273" s="218"/>
      <c r="R273" s="214"/>
      <c r="S273" s="214"/>
      <c r="T273" s="219"/>
    </row>
    <row r="274" spans="1:20" s="213" customFormat="1" x14ac:dyDescent="0.25">
      <c r="A274" s="308">
        <f>'A) Base RI'!A275</f>
        <v>5873</v>
      </c>
      <c r="B274" s="226" t="str">
        <f>'A) Base RI'!B275</f>
        <v>Le Lieu</v>
      </c>
      <c r="C274" s="242">
        <v>0</v>
      </c>
      <c r="D274" s="215">
        <f>'B) D RI'!AA275</f>
        <v>888</v>
      </c>
      <c r="E274" s="216">
        <f>'B) D RI'!S275</f>
        <v>70</v>
      </c>
      <c r="F274" s="10">
        <f>'B) D RI'!R275</f>
        <v>2130828.5875000004</v>
      </c>
      <c r="G274" s="10">
        <f>'B) D RI'!U275</f>
        <v>30440.408392857149</v>
      </c>
      <c r="H274" s="41">
        <f>'B) D RI'!T275</f>
        <v>1986685.1500000001</v>
      </c>
      <c r="I274" s="10">
        <f t="shared" si="50"/>
        <v>56762.432857142863</v>
      </c>
      <c r="J274" s="31">
        <f t="shared" si="46"/>
        <v>79049.927687628471</v>
      </c>
      <c r="K274" s="10">
        <f t="shared" si="47"/>
        <v>56762.432857142863</v>
      </c>
      <c r="L274" s="10">
        <f t="shared" si="51"/>
        <v>22287.494830485608</v>
      </c>
      <c r="M274" s="10">
        <f>'D) Ecrêtage'!C273</f>
        <v>30440.408392857149</v>
      </c>
      <c r="N274" s="10">
        <f t="shared" si="48"/>
        <v>35756.851157890334</v>
      </c>
      <c r="O274" s="55">
        <f t="shared" si="49"/>
        <v>92519.28401503319</v>
      </c>
      <c r="P274" s="217"/>
      <c r="Q274" s="218"/>
      <c r="R274" s="214"/>
      <c r="S274" s="214"/>
      <c r="T274" s="219"/>
    </row>
    <row r="275" spans="1:20" s="213" customFormat="1" x14ac:dyDescent="0.25">
      <c r="A275" s="308">
        <f>'A) Base RI'!A276</f>
        <v>5881</v>
      </c>
      <c r="B275" s="226" t="str">
        <f>'A) Base RI'!B276</f>
        <v>Blonay</v>
      </c>
      <c r="C275" s="242">
        <v>1</v>
      </c>
      <c r="D275" s="215">
        <f>'B) D RI'!AA276</f>
        <v>6215</v>
      </c>
      <c r="E275" s="216">
        <f>'B) D RI'!S276</f>
        <v>68.5</v>
      </c>
      <c r="F275" s="10">
        <f>'B) D RI'!R276</f>
        <v>24883750.459999997</v>
      </c>
      <c r="G275" s="10">
        <f>'B) D RI'!U276</f>
        <v>363266.43007299263</v>
      </c>
      <c r="H275" s="41">
        <f>'B) D RI'!T276</f>
        <v>23115866.759999998</v>
      </c>
      <c r="I275" s="10">
        <f t="shared" si="50"/>
        <v>674915.8178102189</v>
      </c>
      <c r="J275" s="31">
        <f t="shared" si="46"/>
        <v>553260.47362456191</v>
      </c>
      <c r="K275" s="10">
        <f t="shared" si="47"/>
        <v>0</v>
      </c>
      <c r="L275" s="10">
        <f t="shared" si="51"/>
        <v>553260.47362456191</v>
      </c>
      <c r="M275" s="10">
        <f>'D) Ecrêtage'!C274</f>
        <v>363266.43007299263</v>
      </c>
      <c r="N275" s="10">
        <f t="shared" si="48"/>
        <v>426711.21566904173</v>
      </c>
      <c r="O275" s="55">
        <f t="shared" si="49"/>
        <v>426711.21566904173</v>
      </c>
      <c r="P275" s="217"/>
      <c r="Q275" s="218"/>
      <c r="R275" s="214"/>
      <c r="S275" s="214"/>
      <c r="T275" s="219"/>
    </row>
    <row r="276" spans="1:20" s="213" customFormat="1" x14ac:dyDescent="0.25">
      <c r="A276" s="308">
        <f>'A) Base RI'!A277</f>
        <v>5882</v>
      </c>
      <c r="B276" s="226" t="str">
        <f>'A) Base RI'!B277</f>
        <v>Chardonne</v>
      </c>
      <c r="C276" s="242">
        <v>1</v>
      </c>
      <c r="D276" s="215">
        <f>'B) D RI'!AA277</f>
        <v>3093</v>
      </c>
      <c r="E276" s="216">
        <f>'B) D RI'!S277</f>
        <v>68</v>
      </c>
      <c r="F276" s="10">
        <f>'B) D RI'!R277</f>
        <v>12174201.430000002</v>
      </c>
      <c r="G276" s="10">
        <f>'B) D RI'!U277</f>
        <v>179032.37397058826</v>
      </c>
      <c r="H276" s="41">
        <f>'B) D RI'!T277</f>
        <v>11119599.630000001</v>
      </c>
      <c r="I276" s="10">
        <f t="shared" si="50"/>
        <v>327047.04794117651</v>
      </c>
      <c r="J276" s="31">
        <f t="shared" si="46"/>
        <v>275339.44407413836</v>
      </c>
      <c r="K276" s="10">
        <f t="shared" si="47"/>
        <v>0</v>
      </c>
      <c r="L276" s="10">
        <f t="shared" si="51"/>
        <v>275339.44407413836</v>
      </c>
      <c r="M276" s="10">
        <f>'D) Ecrêtage'!C275</f>
        <v>179032.37397058826</v>
      </c>
      <c r="N276" s="10">
        <f t="shared" si="48"/>
        <v>210300.52770291446</v>
      </c>
      <c r="O276" s="55">
        <f t="shared" si="49"/>
        <v>210300.52770291446</v>
      </c>
      <c r="P276" s="217"/>
      <c r="Q276" s="218"/>
      <c r="R276" s="214"/>
      <c r="S276" s="214"/>
      <c r="T276" s="219"/>
    </row>
    <row r="277" spans="1:20" s="213" customFormat="1" x14ac:dyDescent="0.25">
      <c r="A277" s="308">
        <f>'A) Base RI'!A278</f>
        <v>5883</v>
      </c>
      <c r="B277" s="226" t="str">
        <f>'A) Base RI'!B278</f>
        <v>Corseaux</v>
      </c>
      <c r="C277" s="242">
        <v>1</v>
      </c>
      <c r="D277" s="215">
        <f>'B) D RI'!AA278</f>
        <v>2311</v>
      </c>
      <c r="E277" s="216">
        <f>'B) D RI'!S278</f>
        <v>67.5</v>
      </c>
      <c r="F277" s="10">
        <f>'B) D RI'!R278</f>
        <v>11332804.550000001</v>
      </c>
      <c r="G277" s="10">
        <f>'B) D RI'!U278</f>
        <v>167893.40074074076</v>
      </c>
      <c r="H277" s="41">
        <f>'B) D RI'!T278</f>
        <v>10654391.300000001</v>
      </c>
      <c r="I277" s="10">
        <f t="shared" si="50"/>
        <v>315685.66814814816</v>
      </c>
      <c r="J277" s="31">
        <f t="shared" ref="J277:J308" si="52">+$I$315/$D$315*D277</f>
        <v>205725.65640327637</v>
      </c>
      <c r="K277" s="10">
        <f t="shared" si="47"/>
        <v>0</v>
      </c>
      <c r="L277" s="10">
        <f t="shared" si="51"/>
        <v>205725.65640327637</v>
      </c>
      <c r="M277" s="10">
        <f>'D) Ecrêtage'!C276</f>
        <v>167893.40074074076</v>
      </c>
      <c r="N277" s="10">
        <f t="shared" si="48"/>
        <v>197216.12348957144</v>
      </c>
      <c r="O277" s="55">
        <f t="shared" si="49"/>
        <v>197216.12348957144</v>
      </c>
      <c r="P277" s="217"/>
      <c r="Q277" s="218"/>
      <c r="R277" s="214"/>
      <c r="S277" s="214"/>
      <c r="T277" s="219"/>
    </row>
    <row r="278" spans="1:20" s="213" customFormat="1" x14ac:dyDescent="0.25">
      <c r="A278" s="308">
        <f>'A) Base RI'!A279</f>
        <v>5884</v>
      </c>
      <c r="B278" s="226" t="str">
        <f>'A) Base RI'!B279</f>
        <v>Corsier-sur-Vevey</v>
      </c>
      <c r="C278" s="242">
        <v>1</v>
      </c>
      <c r="D278" s="215">
        <f>'B) D RI'!AA279</f>
        <v>3420</v>
      </c>
      <c r="E278" s="216">
        <f>'B) D RI'!S279</f>
        <v>66</v>
      </c>
      <c r="F278" s="10">
        <f>'B) D RI'!R279</f>
        <v>8063268.9516666671</v>
      </c>
      <c r="G278" s="10">
        <f>'B) D RI'!U279</f>
        <v>122170.7416919192</v>
      </c>
      <c r="H278" s="41">
        <f>'B) D RI'!T279</f>
        <v>7071338.71</v>
      </c>
      <c r="I278" s="10">
        <f t="shared" si="50"/>
        <v>214282.99121212121</v>
      </c>
      <c r="J278" s="31">
        <f t="shared" si="52"/>
        <v>304449.04582397453</v>
      </c>
      <c r="K278" s="10">
        <f t="shared" si="47"/>
        <v>0</v>
      </c>
      <c r="L278" s="10">
        <f t="shared" si="51"/>
        <v>304449.04582397453</v>
      </c>
      <c r="M278" s="10">
        <f>'D) Ecrêtage'!C277</f>
        <v>122170.7416919192</v>
      </c>
      <c r="N278" s="10">
        <f t="shared" si="48"/>
        <v>143507.96382718961</v>
      </c>
      <c r="O278" s="55">
        <f t="shared" si="49"/>
        <v>143507.96382718961</v>
      </c>
      <c r="P278" s="217"/>
      <c r="Q278" s="218"/>
      <c r="R278" s="214"/>
      <c r="S278" s="214"/>
      <c r="T278" s="219"/>
    </row>
    <row r="279" spans="1:20" s="213" customFormat="1" x14ac:dyDescent="0.25">
      <c r="A279" s="308">
        <f>'A) Base RI'!A280</f>
        <v>5885</v>
      </c>
      <c r="B279" s="226" t="str">
        <f>'A) Base RI'!B280</f>
        <v>Jongny</v>
      </c>
      <c r="C279" s="242">
        <v>1</v>
      </c>
      <c r="D279" s="215">
        <f>'B) D RI'!AA280</f>
        <v>1670</v>
      </c>
      <c r="E279" s="216">
        <f>'B) D RI'!S280</f>
        <v>69.5</v>
      </c>
      <c r="F279" s="10">
        <f>'B) D RI'!R280</f>
        <v>5914534.3083333327</v>
      </c>
      <c r="G279" s="10">
        <f>'B) D RI'!U280</f>
        <v>85101.213069544348</v>
      </c>
      <c r="H279" s="41">
        <f>'B) D RI'!T280</f>
        <v>5502960.6499999994</v>
      </c>
      <c r="I279" s="10">
        <f t="shared" si="50"/>
        <v>158358.5798561151</v>
      </c>
      <c r="J279" s="31">
        <f t="shared" si="52"/>
        <v>148663.71535849047</v>
      </c>
      <c r="K279" s="10">
        <f t="shared" si="47"/>
        <v>0</v>
      </c>
      <c r="L279" s="10">
        <f t="shared" si="51"/>
        <v>148663.71535849047</v>
      </c>
      <c r="M279" s="10">
        <f>'D) Ecrêtage'!C278</f>
        <v>85101.213069544348</v>
      </c>
      <c r="N279" s="10">
        <f t="shared" si="48"/>
        <v>99964.211051703183</v>
      </c>
      <c r="O279" s="55">
        <f t="shared" si="49"/>
        <v>99964.211051703183</v>
      </c>
      <c r="P279" s="217"/>
      <c r="Q279" s="218"/>
      <c r="R279" s="214"/>
      <c r="S279" s="214"/>
      <c r="T279" s="219"/>
    </row>
    <row r="280" spans="1:20" s="213" customFormat="1" x14ac:dyDescent="0.25">
      <c r="A280" s="308">
        <f>'A) Base RI'!A281</f>
        <v>5886</v>
      </c>
      <c r="B280" s="226" t="str">
        <f>'A) Base RI'!B281</f>
        <v>Montreux</v>
      </c>
      <c r="C280" s="242">
        <v>1</v>
      </c>
      <c r="D280" s="215">
        <f>'B) D RI'!AA281</f>
        <v>26180</v>
      </c>
      <c r="E280" s="216">
        <f>'B) D RI'!S281</f>
        <v>65</v>
      </c>
      <c r="F280" s="10">
        <f>'B) D RI'!R281</f>
        <v>71309900.643333316</v>
      </c>
      <c r="G280" s="10">
        <f>'B) D RI'!U281</f>
        <v>1097075.3945128203</v>
      </c>
      <c r="H280" s="41">
        <f>'B) D RI'!T281</f>
        <v>63056906.25999999</v>
      </c>
      <c r="I280" s="10">
        <f t="shared" si="50"/>
        <v>1940212.500307692</v>
      </c>
      <c r="J280" s="31">
        <f t="shared" si="52"/>
        <v>2330548.5437636413</v>
      </c>
      <c r="K280" s="10">
        <f t="shared" si="47"/>
        <v>0</v>
      </c>
      <c r="L280" s="10">
        <f t="shared" si="51"/>
        <v>2330548.5437636413</v>
      </c>
      <c r="M280" s="10">
        <f>'D) Ecrêtage'!C279</f>
        <v>1097075.3945128203</v>
      </c>
      <c r="N280" s="10">
        <f t="shared" si="48"/>
        <v>1288680.5289965686</v>
      </c>
      <c r="O280" s="55">
        <f t="shared" si="49"/>
        <v>1288680.5289965686</v>
      </c>
      <c r="P280" s="217"/>
      <c r="Q280" s="218"/>
      <c r="R280" s="214"/>
      <c r="S280" s="214"/>
      <c r="T280" s="219"/>
    </row>
    <row r="281" spans="1:20" s="213" customFormat="1" x14ac:dyDescent="0.25">
      <c r="A281" s="308">
        <f>'A) Base RI'!A282</f>
        <v>5888</v>
      </c>
      <c r="B281" s="226" t="str">
        <f>'A) Base RI'!B282</f>
        <v>Saint-Légier-La Chiésaz</v>
      </c>
      <c r="C281" s="242">
        <v>1</v>
      </c>
      <c r="D281" s="215">
        <f>'B) D RI'!AA282</f>
        <v>5522</v>
      </c>
      <c r="E281" s="216">
        <f>'B) D RI'!S282</f>
        <v>68.5</v>
      </c>
      <c r="F281" s="10">
        <f>'B) D RI'!R282</f>
        <v>22302676.728333332</v>
      </c>
      <c r="G281" s="10">
        <f>'B) D RI'!U282</f>
        <v>325586.52158150851</v>
      </c>
      <c r="H281" s="41">
        <f>'B) D RI'!T282</f>
        <v>20684706.52</v>
      </c>
      <c r="I281" s="10">
        <f t="shared" si="50"/>
        <v>603933.03708029201</v>
      </c>
      <c r="J281" s="31">
        <f t="shared" si="52"/>
        <v>491569.4827602302</v>
      </c>
      <c r="K281" s="10">
        <f t="shared" si="47"/>
        <v>0</v>
      </c>
      <c r="L281" s="10">
        <f t="shared" si="51"/>
        <v>491569.4827602302</v>
      </c>
      <c r="M281" s="10">
        <f>'D) Ecrêtage'!C280</f>
        <v>325586.52158150851</v>
      </c>
      <c r="N281" s="10">
        <f t="shared" si="48"/>
        <v>382450.47967020824</v>
      </c>
      <c r="O281" s="55">
        <f t="shared" si="49"/>
        <v>382450.47967020824</v>
      </c>
      <c r="P281" s="217"/>
      <c r="Q281" s="218"/>
      <c r="R281" s="214"/>
      <c r="S281" s="214"/>
      <c r="T281" s="219"/>
    </row>
    <row r="282" spans="1:20" s="213" customFormat="1" x14ac:dyDescent="0.25">
      <c r="A282" s="308">
        <f>'A) Base RI'!A283</f>
        <v>5889</v>
      </c>
      <c r="B282" s="226" t="str">
        <f>'A) Base RI'!B283</f>
        <v>La Tour-de-Peilz</v>
      </c>
      <c r="C282" s="242">
        <v>1</v>
      </c>
      <c r="D282" s="215">
        <f>'B) D RI'!AA283</f>
        <v>12088</v>
      </c>
      <c r="E282" s="216">
        <f>'B) D RI'!S283</f>
        <v>64</v>
      </c>
      <c r="F282" s="10">
        <f>'B) D RI'!R283</f>
        <v>43261612.810000002</v>
      </c>
      <c r="G282" s="10">
        <f>'B) D RI'!U283</f>
        <v>675962.70015625004</v>
      </c>
      <c r="H282" s="41">
        <f>'B) D RI'!T283</f>
        <v>40560441.910000004</v>
      </c>
      <c r="I282" s="10">
        <f t="shared" si="50"/>
        <v>1267513.8096875001</v>
      </c>
      <c r="J282" s="31">
        <f t="shared" si="52"/>
        <v>1076076.0426667263</v>
      </c>
      <c r="K282" s="10">
        <f t="shared" si="47"/>
        <v>0</v>
      </c>
      <c r="L282" s="10">
        <f t="shared" si="51"/>
        <v>1076076.0426667263</v>
      </c>
      <c r="M282" s="10">
        <f>'D) Ecrêtage'!C281</f>
        <v>675962.70015625004</v>
      </c>
      <c r="N282" s="10">
        <f t="shared" si="48"/>
        <v>794020.15064437361</v>
      </c>
      <c r="O282" s="55">
        <f t="shared" si="49"/>
        <v>794020.15064437361</v>
      </c>
      <c r="P282" s="217"/>
      <c r="Q282" s="218"/>
      <c r="R282" s="214"/>
      <c r="S282" s="214"/>
      <c r="T282" s="219"/>
    </row>
    <row r="283" spans="1:20" s="213" customFormat="1" x14ac:dyDescent="0.25">
      <c r="A283" s="308">
        <f>'A) Base RI'!A284</f>
        <v>5890</v>
      </c>
      <c r="B283" s="226" t="str">
        <f>'A) Base RI'!B284</f>
        <v>Vevey</v>
      </c>
      <c r="C283" s="242">
        <v>1</v>
      </c>
      <c r="D283" s="215">
        <f>'B) D RI'!AA284</f>
        <v>19780</v>
      </c>
      <c r="E283" s="216">
        <f>'B) D RI'!S284</f>
        <v>74.5</v>
      </c>
      <c r="F283" s="10">
        <f>'B) D RI'!R284</f>
        <v>64265626.583333343</v>
      </c>
      <c r="G283" s="10">
        <f>'B) D RI'!U284</f>
        <v>862625.86017897108</v>
      </c>
      <c r="H283" s="41">
        <f>'B) D RI'!T284</f>
        <v>59733290.99000001</v>
      </c>
      <c r="I283" s="10">
        <f t="shared" si="50"/>
        <v>1603578.2816107385</v>
      </c>
      <c r="J283" s="31">
        <f t="shared" si="52"/>
        <v>1760819.3352041568</v>
      </c>
      <c r="K283" s="10">
        <f t="shared" si="47"/>
        <v>0</v>
      </c>
      <c r="L283" s="10">
        <f t="shared" si="51"/>
        <v>1760819.3352041568</v>
      </c>
      <c r="M283" s="10">
        <f>'D) Ecrêtage'!C282</f>
        <v>862625.86017897108</v>
      </c>
      <c r="N283" s="10">
        <f t="shared" si="48"/>
        <v>1013284.1875605168</v>
      </c>
      <c r="O283" s="55">
        <f t="shared" si="49"/>
        <v>1013284.1875605168</v>
      </c>
      <c r="P283" s="217"/>
      <c r="Q283" s="218"/>
      <c r="R283" s="214"/>
      <c r="S283" s="214"/>
      <c r="T283" s="219"/>
    </row>
    <row r="284" spans="1:20" s="213" customFormat="1" x14ac:dyDescent="0.25">
      <c r="A284" s="308">
        <f>'A) Base RI'!A285</f>
        <v>5891</v>
      </c>
      <c r="B284" s="226" t="str">
        <f>'A) Base RI'!B285</f>
        <v>Veytaux</v>
      </c>
      <c r="C284" s="242">
        <v>1</v>
      </c>
      <c r="D284" s="215">
        <f>'B) D RI'!AA285</f>
        <v>956</v>
      </c>
      <c r="E284" s="216">
        <f>'B) D RI'!S285</f>
        <v>69.5</v>
      </c>
      <c r="F284" s="10">
        <f>'B) D RI'!R285</f>
        <v>3054551.8033333332</v>
      </c>
      <c r="G284" s="10">
        <f>'B) D RI'!U285</f>
        <v>43950.38565947242</v>
      </c>
      <c r="H284" s="41">
        <f>'B) D RI'!T285</f>
        <v>2742444.42</v>
      </c>
      <c r="I284" s="10">
        <f t="shared" si="50"/>
        <v>78919.263884892091</v>
      </c>
      <c r="J284" s="31">
        <f t="shared" si="52"/>
        <v>85103.300528573003</v>
      </c>
      <c r="K284" s="10">
        <f t="shared" si="47"/>
        <v>0</v>
      </c>
      <c r="L284" s="10">
        <f t="shared" si="51"/>
        <v>85103.300528573003</v>
      </c>
      <c r="M284" s="10">
        <f>'D) Ecrêtage'!C283</f>
        <v>43950.38565947242</v>
      </c>
      <c r="N284" s="10">
        <f t="shared" si="48"/>
        <v>51626.357244484032</v>
      </c>
      <c r="O284" s="55">
        <f t="shared" si="49"/>
        <v>51626.357244484032</v>
      </c>
      <c r="P284" s="217"/>
      <c r="Q284" s="218"/>
      <c r="R284" s="214"/>
      <c r="S284" s="214"/>
      <c r="T284" s="219"/>
    </row>
    <row r="285" spans="1:20" s="213" customFormat="1" x14ac:dyDescent="0.25">
      <c r="A285" s="308">
        <f>'A) Base RI'!A286</f>
        <v>5902</v>
      </c>
      <c r="B285" s="226" t="str">
        <f>'A) Base RI'!B286</f>
        <v>Belmont-sur-Yverdon</v>
      </c>
      <c r="C285" s="242">
        <v>0</v>
      </c>
      <c r="D285" s="215">
        <f>'B) D RI'!AA286</f>
        <v>396</v>
      </c>
      <c r="E285" s="216">
        <f>'B) D RI'!S286</f>
        <v>70</v>
      </c>
      <c r="F285" s="10">
        <f>'B) D RI'!R286</f>
        <v>820351.7200000002</v>
      </c>
      <c r="G285" s="10">
        <f>'B) D RI'!U286</f>
        <v>11719.310285714289</v>
      </c>
      <c r="H285" s="41">
        <f>'B) D RI'!T286</f>
        <v>763795.79000000015</v>
      </c>
      <c r="I285" s="10">
        <f t="shared" si="50"/>
        <v>21822.736857142863</v>
      </c>
      <c r="J285" s="31">
        <f t="shared" si="52"/>
        <v>35251.9947796181</v>
      </c>
      <c r="K285" s="10">
        <f t="shared" si="47"/>
        <v>21822.736857142863</v>
      </c>
      <c r="L285" s="10">
        <f t="shared" si="51"/>
        <v>13429.257922475237</v>
      </c>
      <c r="M285" s="10">
        <f>'D) Ecrêtage'!C284</f>
        <v>11719.310285714289</v>
      </c>
      <c r="N285" s="10">
        <f t="shared" si="48"/>
        <v>13766.097621007881</v>
      </c>
      <c r="O285" s="55">
        <f t="shared" si="49"/>
        <v>35588.834478150748</v>
      </c>
      <c r="P285" s="217"/>
      <c r="Q285" s="218"/>
      <c r="R285" s="214"/>
      <c r="S285" s="214"/>
      <c r="T285" s="219"/>
    </row>
    <row r="286" spans="1:20" s="213" customFormat="1" x14ac:dyDescent="0.25">
      <c r="A286" s="308">
        <f>'A) Base RI'!A287</f>
        <v>5903</v>
      </c>
      <c r="B286" s="226" t="str">
        <f>'A) Base RI'!B287</f>
        <v>Bioley-Magnoux</v>
      </c>
      <c r="C286" s="242">
        <v>0</v>
      </c>
      <c r="D286" s="215">
        <f>'B) D RI'!AA287</f>
        <v>230</v>
      </c>
      <c r="E286" s="216">
        <f>'B) D RI'!S287</f>
        <v>72</v>
      </c>
      <c r="F286" s="10">
        <f>'B) D RI'!R287</f>
        <v>361239.35571428569</v>
      </c>
      <c r="G286" s="10">
        <f>'B) D RI'!U287</f>
        <v>5017.2132738095233</v>
      </c>
      <c r="H286" s="41">
        <f>'B) D RI'!T287</f>
        <v>324595.06999999995</v>
      </c>
      <c r="I286" s="10">
        <f t="shared" si="50"/>
        <v>9016.5297222222216</v>
      </c>
      <c r="J286" s="31">
        <f t="shared" si="52"/>
        <v>20474.643432606474</v>
      </c>
      <c r="K286" s="10">
        <f t="shared" si="47"/>
        <v>9016.5297222222216</v>
      </c>
      <c r="L286" s="10">
        <f t="shared" si="51"/>
        <v>11458.113710384252</v>
      </c>
      <c r="M286" s="10">
        <f>'D) Ecrêtage'!C285</f>
        <v>5017.2132738095233</v>
      </c>
      <c r="N286" s="10">
        <f t="shared" si="48"/>
        <v>5893.4737649937388</v>
      </c>
      <c r="O286" s="55">
        <f t="shared" si="49"/>
        <v>14910.003487215959</v>
      </c>
      <c r="P286" s="217"/>
      <c r="Q286" s="218"/>
      <c r="R286" s="214"/>
      <c r="S286" s="214"/>
      <c r="T286" s="219"/>
    </row>
    <row r="287" spans="1:20" s="213" customFormat="1" x14ac:dyDescent="0.25">
      <c r="A287" s="308">
        <f>'A) Base RI'!A288</f>
        <v>5904</v>
      </c>
      <c r="B287" s="226" t="str">
        <f>'A) Base RI'!B288</f>
        <v>Chamblon</v>
      </c>
      <c r="C287" s="242">
        <v>1</v>
      </c>
      <c r="D287" s="215">
        <f>'B) D RI'!AA288</f>
        <v>559</v>
      </c>
      <c r="E287" s="216">
        <f>'B) D RI'!S288</f>
        <v>66</v>
      </c>
      <c r="F287" s="10">
        <f>'B) D RI'!R288</f>
        <v>1431807.7199999997</v>
      </c>
      <c r="G287" s="10">
        <f>'B) D RI'!U288</f>
        <v>21694.056363636359</v>
      </c>
      <c r="H287" s="41">
        <f>'B) D RI'!T288</f>
        <v>1331978.9699999997</v>
      </c>
      <c r="I287" s="10">
        <f t="shared" ref="I287:I314" si="53">+H287/E287*$I$5</f>
        <v>40362.999090909085</v>
      </c>
      <c r="J287" s="31">
        <f t="shared" si="52"/>
        <v>49762.285560117474</v>
      </c>
      <c r="K287" s="10">
        <f t="shared" si="47"/>
        <v>0</v>
      </c>
      <c r="L287" s="10">
        <f t="shared" si="51"/>
        <v>49762.285560117474</v>
      </c>
      <c r="M287" s="10">
        <f>'D) Ecrêtage'!C286</f>
        <v>21694.056363636359</v>
      </c>
      <c r="N287" s="10">
        <f t="shared" si="48"/>
        <v>25482.941437390498</v>
      </c>
      <c r="O287" s="55">
        <f t="shared" si="49"/>
        <v>25482.941437390498</v>
      </c>
      <c r="P287" s="217"/>
      <c r="Q287" s="218"/>
      <c r="R287" s="214"/>
      <c r="S287" s="214"/>
      <c r="T287" s="219"/>
    </row>
    <row r="288" spans="1:20" s="213" customFormat="1" x14ac:dyDescent="0.25">
      <c r="A288" s="308">
        <f>'A) Base RI'!A289</f>
        <v>5905</v>
      </c>
      <c r="B288" s="226" t="str">
        <f>'A) Base RI'!B289</f>
        <v>Champvent</v>
      </c>
      <c r="C288" s="242">
        <v>0</v>
      </c>
      <c r="D288" s="215">
        <f>'B) D RI'!AA289</f>
        <v>696</v>
      </c>
      <c r="E288" s="216">
        <f>'B) D RI'!S289</f>
        <v>71</v>
      </c>
      <c r="F288" s="10">
        <f>'B) D RI'!R289</f>
        <v>1538808.7600000002</v>
      </c>
      <c r="G288" s="10">
        <f>'B) D RI'!U289</f>
        <v>21673.362816901412</v>
      </c>
      <c r="H288" s="41">
        <f>'B) D RI'!T289</f>
        <v>1438380.6600000001</v>
      </c>
      <c r="I288" s="10">
        <f t="shared" si="53"/>
        <v>40517.765070422538</v>
      </c>
      <c r="J288" s="31">
        <f t="shared" si="52"/>
        <v>61958.051430843938</v>
      </c>
      <c r="K288" s="10">
        <f t="shared" si="47"/>
        <v>40517.765070422538</v>
      </c>
      <c r="L288" s="10">
        <f t="shared" si="51"/>
        <v>21440.2863604214</v>
      </c>
      <c r="M288" s="10">
        <f>'D) Ecrêtage'!C287</f>
        <v>21673.362816901412</v>
      </c>
      <c r="N288" s="10">
        <f t="shared" si="48"/>
        <v>25458.63374542458</v>
      </c>
      <c r="O288" s="55">
        <f t="shared" si="49"/>
        <v>65976.398815847118</v>
      </c>
      <c r="P288" s="217"/>
      <c r="Q288" s="218"/>
      <c r="R288" s="214"/>
      <c r="S288" s="214"/>
      <c r="T288" s="219"/>
    </row>
    <row r="289" spans="1:20" s="213" customFormat="1" x14ac:dyDescent="0.25">
      <c r="A289" s="308">
        <f>'A) Base RI'!A290</f>
        <v>5907</v>
      </c>
      <c r="B289" s="226" t="str">
        <f>'A) Base RI'!B290</f>
        <v>Chavannes-le-Chêne</v>
      </c>
      <c r="C289" s="242">
        <v>0</v>
      </c>
      <c r="D289" s="215">
        <f>'B) D RI'!AA290</f>
        <v>324</v>
      </c>
      <c r="E289" s="216">
        <f>'B) D RI'!S290</f>
        <v>75</v>
      </c>
      <c r="F289" s="10">
        <f>'B) D RI'!R290</f>
        <v>741828.42</v>
      </c>
      <c r="G289" s="10">
        <f>'B) D RI'!U290</f>
        <v>9891.0456000000013</v>
      </c>
      <c r="H289" s="41">
        <f>'B) D RI'!T290</f>
        <v>694699.47000000009</v>
      </c>
      <c r="I289" s="10">
        <f t="shared" si="53"/>
        <v>18525.319200000002</v>
      </c>
      <c r="J289" s="31">
        <f t="shared" si="52"/>
        <v>28842.541183323901</v>
      </c>
      <c r="K289" s="10">
        <f t="shared" si="47"/>
        <v>18525.319200000002</v>
      </c>
      <c r="L289" s="10">
        <f t="shared" si="51"/>
        <v>10317.2219833239</v>
      </c>
      <c r="M289" s="10">
        <f>'D) Ecrêtage'!C288</f>
        <v>9891.0456000000013</v>
      </c>
      <c r="N289" s="10">
        <f t="shared" si="48"/>
        <v>11618.524980042501</v>
      </c>
      <c r="O289" s="55">
        <f t="shared" si="49"/>
        <v>30143.844180042503</v>
      </c>
      <c r="P289" s="217"/>
      <c r="Q289" s="218"/>
      <c r="R289" s="214"/>
      <c r="S289" s="214"/>
      <c r="T289" s="219"/>
    </row>
    <row r="290" spans="1:20" s="213" customFormat="1" x14ac:dyDescent="0.25">
      <c r="A290" s="308">
        <f>'A) Base RI'!A291</f>
        <v>5908</v>
      </c>
      <c r="B290" s="226" t="str">
        <f>'A) Base RI'!B291</f>
        <v>Chêne-Pâquier</v>
      </c>
      <c r="C290" s="242">
        <v>0</v>
      </c>
      <c r="D290" s="215">
        <f>'B) D RI'!AA291</f>
        <v>144</v>
      </c>
      <c r="E290" s="216">
        <f>'B) D RI'!S291</f>
        <v>79</v>
      </c>
      <c r="F290" s="10">
        <f>'B) D RI'!R291</f>
        <v>513696.42000000004</v>
      </c>
      <c r="G290" s="10">
        <f>'B) D RI'!U291</f>
        <v>6502.4863291139245</v>
      </c>
      <c r="H290" s="41">
        <f>'B) D RI'!T291</f>
        <v>492275.22000000003</v>
      </c>
      <c r="I290" s="10">
        <f t="shared" si="53"/>
        <v>12462.663797468354</v>
      </c>
      <c r="J290" s="31">
        <f t="shared" si="52"/>
        <v>12818.907192588402</v>
      </c>
      <c r="K290" s="10">
        <f t="shared" si="47"/>
        <v>12462.663797468354</v>
      </c>
      <c r="L290" s="10">
        <f t="shared" si="51"/>
        <v>356.24339512004735</v>
      </c>
      <c r="M290" s="10">
        <f>'D) Ecrêtage'!C289</f>
        <v>6502.4863291139245</v>
      </c>
      <c r="N290" s="10">
        <f t="shared" si="48"/>
        <v>7638.1510006581084</v>
      </c>
      <c r="O290" s="55">
        <f t="shared" si="49"/>
        <v>20100.814798126463</v>
      </c>
      <c r="P290" s="217"/>
      <c r="Q290" s="218"/>
      <c r="R290" s="214"/>
      <c r="S290" s="214"/>
      <c r="T290" s="219"/>
    </row>
    <row r="291" spans="1:20" s="213" customFormat="1" x14ac:dyDescent="0.25">
      <c r="A291" s="308">
        <f>'A) Base RI'!A292</f>
        <v>5909</v>
      </c>
      <c r="B291" s="226" t="str">
        <f>'A) Base RI'!B292</f>
        <v>Cheseaux-Noréaz</v>
      </c>
      <c r="C291" s="242">
        <v>1</v>
      </c>
      <c r="D291" s="215">
        <f>'B) D RI'!AA292</f>
        <v>741</v>
      </c>
      <c r="E291" s="216">
        <f>'B) D RI'!S292</f>
        <v>67</v>
      </c>
      <c r="F291" s="10">
        <f>'B) D RI'!R292</f>
        <v>2630360.8000000003</v>
      </c>
      <c r="G291" s="10">
        <f>'B) D RI'!U292</f>
        <v>39259.116417910453</v>
      </c>
      <c r="H291" s="41">
        <f>'B) D RI'!T292</f>
        <v>2469858.85</v>
      </c>
      <c r="I291" s="10">
        <f t="shared" si="53"/>
        <v>73727.129850746278</v>
      </c>
      <c r="J291" s="31">
        <f t="shared" si="52"/>
        <v>65963.959928527809</v>
      </c>
      <c r="K291" s="10">
        <f t="shared" si="47"/>
        <v>0</v>
      </c>
      <c r="L291" s="10">
        <f t="shared" si="51"/>
        <v>65963.959928527809</v>
      </c>
      <c r="M291" s="10">
        <f>'D) Ecrêtage'!C290</f>
        <v>39259.116417910453</v>
      </c>
      <c r="N291" s="10">
        <f t="shared" si="48"/>
        <v>46115.753909363149</v>
      </c>
      <c r="O291" s="55">
        <f t="shared" si="49"/>
        <v>46115.753909363149</v>
      </c>
      <c r="P291" s="217"/>
      <c r="Q291" s="218"/>
      <c r="R291" s="214"/>
      <c r="S291" s="214"/>
      <c r="T291" s="219"/>
    </row>
    <row r="292" spans="1:20" s="213" customFormat="1" x14ac:dyDescent="0.25">
      <c r="A292" s="308">
        <f>'A) Base RI'!A293</f>
        <v>5910</v>
      </c>
      <c r="B292" s="226" t="str">
        <f>'A) Base RI'!B293</f>
        <v>Cronay</v>
      </c>
      <c r="C292" s="242">
        <v>0</v>
      </c>
      <c r="D292" s="215">
        <f>'B) D RI'!AA293</f>
        <v>393</v>
      </c>
      <c r="E292" s="216">
        <f>'B) D RI'!S293</f>
        <v>77</v>
      </c>
      <c r="F292" s="10">
        <f>'B) D RI'!R293</f>
        <v>768152.1599999998</v>
      </c>
      <c r="G292" s="10">
        <f>'B) D RI'!U293</f>
        <v>9976.0020779220758</v>
      </c>
      <c r="H292" s="41">
        <f>'B) D RI'!T293</f>
        <v>709342.1599999998</v>
      </c>
      <c r="I292" s="10">
        <f t="shared" si="53"/>
        <v>18424.471688311682</v>
      </c>
      <c r="J292" s="31">
        <f t="shared" si="52"/>
        <v>34984.934213105844</v>
      </c>
      <c r="K292" s="10">
        <f t="shared" si="47"/>
        <v>18424.471688311682</v>
      </c>
      <c r="L292" s="10">
        <f t="shared" si="51"/>
        <v>16560.462524794162</v>
      </c>
      <c r="M292" s="10">
        <f>'D) Ecrêtage'!C291</f>
        <v>9976.0020779220758</v>
      </c>
      <c r="N292" s="10">
        <f t="shared" si="48"/>
        <v>11718.319177832273</v>
      </c>
      <c r="O292" s="55">
        <f t="shared" si="49"/>
        <v>30142.790866143954</v>
      </c>
      <c r="P292" s="217"/>
      <c r="Q292" s="527"/>
      <c r="R292" s="214"/>
      <c r="S292" s="214"/>
      <c r="T292" s="219"/>
    </row>
    <row r="293" spans="1:20" s="213" customFormat="1" x14ac:dyDescent="0.25">
      <c r="A293" s="308">
        <f>'A) Base RI'!A294</f>
        <v>5911</v>
      </c>
      <c r="B293" s="226" t="str">
        <f>'A) Base RI'!B294</f>
        <v>Cuarny</v>
      </c>
      <c r="C293" s="242">
        <v>0</v>
      </c>
      <c r="D293" s="215">
        <f>'B) D RI'!AA294</f>
        <v>234</v>
      </c>
      <c r="E293" s="216">
        <f>'B) D RI'!S294</f>
        <v>77</v>
      </c>
      <c r="F293" s="10">
        <f>'B) D RI'!R294</f>
        <v>534338.96</v>
      </c>
      <c r="G293" s="10">
        <f>'B) D RI'!U294</f>
        <v>6939.4670129870128</v>
      </c>
      <c r="H293" s="41">
        <f>'B) D RI'!T294</f>
        <v>498166.16000000003</v>
      </c>
      <c r="I293" s="10">
        <f t="shared" si="53"/>
        <v>12939.380779220781</v>
      </c>
      <c r="J293" s="31">
        <f t="shared" si="52"/>
        <v>20830.724187956152</v>
      </c>
      <c r="K293" s="10">
        <f t="shared" si="47"/>
        <v>12939.380779220781</v>
      </c>
      <c r="L293" s="10">
        <f t="shared" si="51"/>
        <v>7891.3434087353708</v>
      </c>
      <c r="M293" s="10">
        <f>'D) Ecrêtage'!C292</f>
        <v>6939.4670129870128</v>
      </c>
      <c r="N293" s="10">
        <f t="shared" si="48"/>
        <v>8151.4507261568497</v>
      </c>
      <c r="O293" s="55">
        <f t="shared" si="49"/>
        <v>21090.831505377631</v>
      </c>
      <c r="P293" s="217"/>
      <c r="Q293" s="218"/>
      <c r="R293" s="214"/>
      <c r="S293" s="214"/>
      <c r="T293" s="219"/>
    </row>
    <row r="294" spans="1:20" s="213" customFormat="1" x14ac:dyDescent="0.25">
      <c r="A294" s="308">
        <f>'A) Base RI'!A295</f>
        <v>5912</v>
      </c>
      <c r="B294" s="226" t="str">
        <f>'A) Base RI'!B295</f>
        <v>Démoret</v>
      </c>
      <c r="C294" s="242">
        <v>0</v>
      </c>
      <c r="D294" s="215">
        <f>'B) D RI'!AA295</f>
        <v>158</v>
      </c>
      <c r="E294" s="216">
        <f>'B) D RI'!S295</f>
        <v>81</v>
      </c>
      <c r="F294" s="10">
        <f>'B) D RI'!R295</f>
        <v>329721.11999999994</v>
      </c>
      <c r="G294" s="10">
        <f>'B) D RI'!U295</f>
        <v>4070.6311111111104</v>
      </c>
      <c r="H294" s="41">
        <f>'B) D RI'!T295</f>
        <v>307789.81999999995</v>
      </c>
      <c r="I294" s="10">
        <f t="shared" si="53"/>
        <v>7599.7486419753077</v>
      </c>
      <c r="J294" s="31">
        <f t="shared" si="52"/>
        <v>14065.189836312275</v>
      </c>
      <c r="K294" s="10">
        <f t="shared" si="47"/>
        <v>7599.7486419753077</v>
      </c>
      <c r="L294" s="10">
        <f t="shared" si="51"/>
        <v>6465.4411943369669</v>
      </c>
      <c r="M294" s="10">
        <f>'D) Ecrêtage'!C293</f>
        <v>4070.6311111111104</v>
      </c>
      <c r="N294" s="10">
        <f t="shared" si="48"/>
        <v>4781.570236516005</v>
      </c>
      <c r="O294" s="55">
        <f t="shared" si="49"/>
        <v>12381.318878491313</v>
      </c>
      <c r="P294" s="217"/>
      <c r="Q294" s="218"/>
      <c r="R294" s="214"/>
      <c r="S294" s="214"/>
      <c r="T294" s="219"/>
    </row>
    <row r="295" spans="1:20" s="213" customFormat="1" x14ac:dyDescent="0.25">
      <c r="A295" s="308">
        <f>'A) Base RI'!A296</f>
        <v>5913</v>
      </c>
      <c r="B295" s="226" t="str">
        <f>'A) Base RI'!B296</f>
        <v>Donneloye</v>
      </c>
      <c r="C295" s="242">
        <v>0</v>
      </c>
      <c r="D295" s="215">
        <f>'B) D RI'!AA296</f>
        <v>829</v>
      </c>
      <c r="E295" s="216">
        <f>'B) D RI'!S296</f>
        <v>73</v>
      </c>
      <c r="F295" s="10">
        <f>'B) D RI'!R296</f>
        <v>1451300.4799999997</v>
      </c>
      <c r="G295" s="10">
        <f>'B) D RI'!U296</f>
        <v>19880.828493150682</v>
      </c>
      <c r="H295" s="41">
        <f>'B) D RI'!T296</f>
        <v>1332179.6299999999</v>
      </c>
      <c r="I295" s="10">
        <f t="shared" si="53"/>
        <v>36498.072054794517</v>
      </c>
      <c r="J295" s="31">
        <f t="shared" si="52"/>
        <v>73797.736546220724</v>
      </c>
      <c r="K295" s="10">
        <f t="shared" si="47"/>
        <v>36498.072054794517</v>
      </c>
      <c r="L295" s="10">
        <f t="shared" si="51"/>
        <v>37299.664491426207</v>
      </c>
      <c r="M295" s="10">
        <f>'D) Ecrêtage'!C294</f>
        <v>19880.828493150682</v>
      </c>
      <c r="N295" s="10">
        <f t="shared" si="48"/>
        <v>23353.031803999758</v>
      </c>
      <c r="O295" s="55">
        <f t="shared" si="49"/>
        <v>59851.103858794275</v>
      </c>
      <c r="P295" s="217"/>
      <c r="Q295" s="218"/>
      <c r="R295" s="214"/>
      <c r="S295" s="214"/>
      <c r="T295" s="219"/>
    </row>
    <row r="296" spans="1:20" s="213" customFormat="1" x14ac:dyDescent="0.25">
      <c r="A296" s="308">
        <f>'A) Base RI'!A297</f>
        <v>5914</v>
      </c>
      <c r="B296" s="226" t="str">
        <f>'A) Base RI'!B297</f>
        <v>Ependes</v>
      </c>
      <c r="C296" s="242">
        <v>1</v>
      </c>
      <c r="D296" s="215">
        <f>'B) D RI'!AA297</f>
        <v>388</v>
      </c>
      <c r="E296" s="216">
        <f>'B) D RI'!S297</f>
        <v>73.5</v>
      </c>
      <c r="F296" s="10">
        <f>'B) D RI'!R297</f>
        <v>783662.51</v>
      </c>
      <c r="G296" s="10">
        <f>'B) D RI'!U297</f>
        <v>10662.074965986394</v>
      </c>
      <c r="H296" s="41">
        <f>'B) D RI'!T297</f>
        <v>716182.41</v>
      </c>
      <c r="I296" s="10">
        <f t="shared" si="53"/>
        <v>19487.956734693878</v>
      </c>
      <c r="J296" s="31">
        <f t="shared" si="52"/>
        <v>34539.833268918745</v>
      </c>
      <c r="K296" s="10">
        <f t="shared" si="47"/>
        <v>0</v>
      </c>
      <c r="L296" s="10">
        <f t="shared" si="51"/>
        <v>34539.833268918745</v>
      </c>
      <c r="M296" s="10">
        <f>'D) Ecrêtage'!C295</f>
        <v>10662.074965986394</v>
      </c>
      <c r="N296" s="10">
        <f t="shared" si="48"/>
        <v>12524.215269151999</v>
      </c>
      <c r="O296" s="55">
        <f t="shared" si="49"/>
        <v>12524.215269151999</v>
      </c>
      <c r="P296" s="217"/>
      <c r="Q296" s="218"/>
      <c r="R296" s="214"/>
      <c r="S296" s="214"/>
      <c r="T296" s="219"/>
    </row>
    <row r="297" spans="1:20" s="213" customFormat="1" x14ac:dyDescent="0.25">
      <c r="A297" s="308">
        <f>'A) Base RI'!A298</f>
        <v>5919</v>
      </c>
      <c r="B297" s="226" t="str">
        <f>'A) Base RI'!B298</f>
        <v>Mathod</v>
      </c>
      <c r="C297" s="242">
        <v>1</v>
      </c>
      <c r="D297" s="215">
        <f>'B) D RI'!AA298</f>
        <v>651</v>
      </c>
      <c r="E297" s="216">
        <f>'B) D RI'!S298</f>
        <v>72</v>
      </c>
      <c r="F297" s="10">
        <f>'B) D RI'!R298</f>
        <v>1552723.0616666668</v>
      </c>
      <c r="G297" s="10">
        <f>'B) D RI'!U298</f>
        <v>21565.598078703704</v>
      </c>
      <c r="H297" s="41">
        <f>'B) D RI'!T298</f>
        <v>1424942.32</v>
      </c>
      <c r="I297" s="10">
        <f t="shared" si="53"/>
        <v>39581.731111111112</v>
      </c>
      <c r="J297" s="31">
        <f t="shared" si="52"/>
        <v>57952.142933160067</v>
      </c>
      <c r="K297" s="10">
        <f t="shared" si="47"/>
        <v>0</v>
      </c>
      <c r="L297" s="10">
        <f t="shared" si="51"/>
        <v>57952.142933160067</v>
      </c>
      <c r="M297" s="10">
        <f>'D) Ecrêtage'!C296</f>
        <v>21565.598078703704</v>
      </c>
      <c r="N297" s="10">
        <f t="shared" si="48"/>
        <v>25332.047805641043</v>
      </c>
      <c r="O297" s="55">
        <f t="shared" si="49"/>
        <v>25332.047805641043</v>
      </c>
      <c r="P297" s="217"/>
      <c r="Q297" s="218"/>
      <c r="R297" s="214"/>
      <c r="S297" s="214"/>
      <c r="T297" s="219"/>
    </row>
    <row r="298" spans="1:20" s="213" customFormat="1" x14ac:dyDescent="0.25">
      <c r="A298" s="308">
        <f>'A) Base RI'!A299</f>
        <v>5921</v>
      </c>
      <c r="B298" s="226" t="str">
        <f>'A) Base RI'!B299</f>
        <v>Molondin</v>
      </c>
      <c r="C298" s="242">
        <v>0</v>
      </c>
      <c r="D298" s="215">
        <f>'B) D RI'!AA299</f>
        <v>252</v>
      </c>
      <c r="E298" s="216">
        <f>'B) D RI'!S299</f>
        <v>81</v>
      </c>
      <c r="F298" s="10">
        <f>'B) D RI'!R299</f>
        <v>459747.36</v>
      </c>
      <c r="G298" s="10">
        <f>'B) D RI'!U299</f>
        <v>5675.8933333333334</v>
      </c>
      <c r="H298" s="41">
        <f>'B) D RI'!T299</f>
        <v>426034.11</v>
      </c>
      <c r="I298" s="10">
        <f t="shared" si="53"/>
        <v>10519.36074074074</v>
      </c>
      <c r="J298" s="31">
        <f t="shared" si="52"/>
        <v>22433.087587029702</v>
      </c>
      <c r="K298" s="10">
        <f t="shared" si="47"/>
        <v>10519.36074074074</v>
      </c>
      <c r="L298" s="10">
        <f t="shared" si="51"/>
        <v>11913.726846288962</v>
      </c>
      <c r="M298" s="10">
        <f>'D) Ecrêtage'!C297</f>
        <v>5675.8933333333334</v>
      </c>
      <c r="N298" s="10">
        <f t="shared" si="48"/>
        <v>6667.1928473760163</v>
      </c>
      <c r="O298" s="55">
        <f t="shared" si="49"/>
        <v>17186.553588116756</v>
      </c>
      <c r="P298" s="217"/>
      <c r="Q298" s="218"/>
      <c r="R298" s="214"/>
      <c r="S298" s="214"/>
      <c r="T298" s="219"/>
    </row>
    <row r="299" spans="1:20" s="213" customFormat="1" x14ac:dyDescent="0.25">
      <c r="A299" s="308">
        <f>'A) Base RI'!A300</f>
        <v>5922</v>
      </c>
      <c r="B299" s="226" t="str">
        <f>'A) Base RI'!B300</f>
        <v>Montagny-près-Yverdon</v>
      </c>
      <c r="C299" s="242">
        <v>0</v>
      </c>
      <c r="D299" s="215">
        <f>'B) D RI'!AA300</f>
        <v>737</v>
      </c>
      <c r="E299" s="216">
        <f>'B) D RI'!S300</f>
        <v>63.5</v>
      </c>
      <c r="F299" s="10">
        <f>'B) D RI'!R300</f>
        <v>2116226.2824999997</v>
      </c>
      <c r="G299" s="10">
        <f>'B) D RI'!U300</f>
        <v>33326.398149606292</v>
      </c>
      <c r="H299" s="41">
        <f>'B) D RI'!T300</f>
        <v>1792885.8699999996</v>
      </c>
      <c r="I299" s="10">
        <f t="shared" si="53"/>
        <v>56468.846299212586</v>
      </c>
      <c r="J299" s="31">
        <f t="shared" si="52"/>
        <v>65607.879173178138</v>
      </c>
      <c r="K299" s="10">
        <f t="shared" si="47"/>
        <v>56468.846299212586</v>
      </c>
      <c r="L299" s="10">
        <f t="shared" si="51"/>
        <v>9139.0328739655524</v>
      </c>
      <c r="M299" s="10">
        <f>'D) Ecrêtage'!C298</f>
        <v>33326.398149606292</v>
      </c>
      <c r="N299" s="10">
        <f t="shared" si="48"/>
        <v>39146.881437493605</v>
      </c>
      <c r="O299" s="55">
        <f t="shared" si="49"/>
        <v>95615.727736706191</v>
      </c>
      <c r="P299" s="217"/>
      <c r="Q299" s="218"/>
      <c r="R299" s="214"/>
      <c r="S299" s="214"/>
      <c r="T299" s="219"/>
    </row>
    <row r="300" spans="1:20" s="213" customFormat="1" x14ac:dyDescent="0.25">
      <c r="A300" s="308">
        <f>'A) Base RI'!A301</f>
        <v>5923</v>
      </c>
      <c r="B300" s="226" t="str">
        <f>'A) Base RI'!B301</f>
        <v>Oppens</v>
      </c>
      <c r="C300" s="242">
        <v>0</v>
      </c>
      <c r="D300" s="215">
        <f>'B) D RI'!AA301</f>
        <v>201</v>
      </c>
      <c r="E300" s="216">
        <f>'B) D RI'!S301</f>
        <v>81</v>
      </c>
      <c r="F300" s="10">
        <f>'B) D RI'!R301</f>
        <v>388738.49000000005</v>
      </c>
      <c r="G300" s="10">
        <f>'B) D RI'!U301</f>
        <v>4799.240617283951</v>
      </c>
      <c r="H300" s="41">
        <f>'B) D RI'!T301</f>
        <v>362908.09</v>
      </c>
      <c r="I300" s="10">
        <f t="shared" si="53"/>
        <v>8960.6935802469143</v>
      </c>
      <c r="J300" s="31">
        <f t="shared" si="52"/>
        <v>17893.05795632131</v>
      </c>
      <c r="K300" s="10">
        <f t="shared" si="47"/>
        <v>8960.6935802469143</v>
      </c>
      <c r="L300" s="10">
        <f t="shared" si="51"/>
        <v>8932.3643760743962</v>
      </c>
      <c r="M300" s="10">
        <f>'D) Ecrêtage'!C299</f>
        <v>4799.240617283951</v>
      </c>
      <c r="N300" s="10">
        <f t="shared" si="48"/>
        <v>5637.4320018449989</v>
      </c>
      <c r="O300" s="55">
        <f t="shared" si="49"/>
        <v>14598.125582091914</v>
      </c>
      <c r="P300" s="217"/>
      <c r="Q300" s="218"/>
      <c r="R300" s="214"/>
      <c r="S300" s="214"/>
      <c r="T300" s="219"/>
    </row>
    <row r="301" spans="1:20" s="213" customFormat="1" x14ac:dyDescent="0.25">
      <c r="A301" s="308">
        <f>'A) Base RI'!A302</f>
        <v>5924</v>
      </c>
      <c r="B301" s="226" t="str">
        <f>'A) Base RI'!B302</f>
        <v>Orges</v>
      </c>
      <c r="C301" s="242">
        <v>0</v>
      </c>
      <c r="D301" s="215">
        <f>'B) D RI'!AA302</f>
        <v>343</v>
      </c>
      <c r="E301" s="216">
        <f>'B) D RI'!S302</f>
        <v>74</v>
      </c>
      <c r="F301" s="10">
        <f>'B) D RI'!R302</f>
        <v>926881.47</v>
      </c>
      <c r="G301" s="10">
        <f>'B) D RI'!U302</f>
        <v>12525.425270270271</v>
      </c>
      <c r="H301" s="41">
        <f>'B) D RI'!T302</f>
        <v>868354.47</v>
      </c>
      <c r="I301" s="10">
        <f t="shared" si="53"/>
        <v>23469.039729729728</v>
      </c>
      <c r="J301" s="31">
        <f t="shared" si="52"/>
        <v>30533.924771234873</v>
      </c>
      <c r="K301" s="10">
        <f t="shared" si="47"/>
        <v>23469.039729729728</v>
      </c>
      <c r="L301" s="10">
        <f t="shared" si="51"/>
        <v>7064.8850415051456</v>
      </c>
      <c r="M301" s="10">
        <f>'D) Ecrêtage'!C300</f>
        <v>12525.425270270271</v>
      </c>
      <c r="N301" s="10">
        <f t="shared" si="48"/>
        <v>14713.001261291396</v>
      </c>
      <c r="O301" s="55">
        <f t="shared" si="49"/>
        <v>38182.040991021124</v>
      </c>
      <c r="P301" s="217"/>
      <c r="Q301" s="218"/>
      <c r="R301" s="214"/>
      <c r="S301" s="214"/>
      <c r="T301" s="219"/>
    </row>
    <row r="302" spans="1:20" s="213" customFormat="1" x14ac:dyDescent="0.25">
      <c r="A302" s="308">
        <f>'A) Base RI'!A303</f>
        <v>5925</v>
      </c>
      <c r="B302" s="226" t="str">
        <f>'A) Base RI'!B303</f>
        <v>Orzens</v>
      </c>
      <c r="C302" s="242">
        <v>0</v>
      </c>
      <c r="D302" s="215">
        <f>'B) D RI'!AA303</f>
        <v>201</v>
      </c>
      <c r="E302" s="216">
        <f>'B) D RI'!S303</f>
        <v>79</v>
      </c>
      <c r="F302" s="10">
        <f>'B) D RI'!R303</f>
        <v>464477.47</v>
      </c>
      <c r="G302" s="10">
        <f>'B) D RI'!U303</f>
        <v>5879.4616455696196</v>
      </c>
      <c r="H302" s="41">
        <f>'B) D RI'!T303</f>
        <v>431459.37</v>
      </c>
      <c r="I302" s="10">
        <f t="shared" si="53"/>
        <v>10923.022025316455</v>
      </c>
      <c r="J302" s="31">
        <f t="shared" si="52"/>
        <v>17893.05795632131</v>
      </c>
      <c r="K302" s="10">
        <f t="shared" si="47"/>
        <v>10923.022025316455</v>
      </c>
      <c r="L302" s="10">
        <f t="shared" si="51"/>
        <v>6970.0359310048552</v>
      </c>
      <c r="M302" s="10">
        <f>'D) Ecrêtage'!C301</f>
        <v>5879.4616455696196</v>
      </c>
      <c r="N302" s="10">
        <f t="shared" si="48"/>
        <v>6906.3145354675553</v>
      </c>
      <c r="O302" s="55">
        <f t="shared" si="49"/>
        <v>17829.33656078401</v>
      </c>
      <c r="P302" s="217"/>
      <c r="Q302" s="218"/>
      <c r="R302" s="214"/>
      <c r="S302" s="214"/>
      <c r="T302" s="219"/>
    </row>
    <row r="303" spans="1:20" s="213" customFormat="1" x14ac:dyDescent="0.25">
      <c r="A303" s="308">
        <f>'A) Base RI'!A304</f>
        <v>5926</v>
      </c>
      <c r="B303" s="226" t="str">
        <f>'A) Base RI'!B304</f>
        <v>Pomy</v>
      </c>
      <c r="C303" s="242">
        <v>1</v>
      </c>
      <c r="D303" s="215">
        <f>'B) D RI'!AA304</f>
        <v>803</v>
      </c>
      <c r="E303" s="216">
        <f>'B) D RI'!S304</f>
        <v>71</v>
      </c>
      <c r="F303" s="10">
        <f>'B) D RI'!R304</f>
        <v>1942786.22</v>
      </c>
      <c r="G303" s="10">
        <f>'B) D RI'!U304</f>
        <v>27363.186197183099</v>
      </c>
      <c r="H303" s="41">
        <f>'B) D RI'!T304</f>
        <v>1819852.82</v>
      </c>
      <c r="I303" s="10">
        <f t="shared" si="53"/>
        <v>51263.459718309859</v>
      </c>
      <c r="J303" s="31">
        <f t="shared" si="52"/>
        <v>71483.211636447828</v>
      </c>
      <c r="K303" s="10">
        <f t="shared" si="47"/>
        <v>0</v>
      </c>
      <c r="L303" s="10">
        <f t="shared" si="51"/>
        <v>71483.211636447828</v>
      </c>
      <c r="M303" s="10">
        <f>'D) Ecrêtage'!C302</f>
        <v>27363.186197183099</v>
      </c>
      <c r="N303" s="10">
        <f t="shared" si="48"/>
        <v>32142.189534089899</v>
      </c>
      <c r="O303" s="55">
        <f t="shared" si="49"/>
        <v>32142.189534089899</v>
      </c>
      <c r="P303" s="217"/>
      <c r="Q303" s="218"/>
      <c r="R303" s="214"/>
      <c r="S303" s="214"/>
      <c r="T303" s="219"/>
    </row>
    <row r="304" spans="1:20" s="213" customFormat="1" x14ac:dyDescent="0.25">
      <c r="A304" s="308">
        <f>'A) Base RI'!A305</f>
        <v>5928</v>
      </c>
      <c r="B304" s="226" t="str">
        <f>'A) Base RI'!B305</f>
        <v>Rovray</v>
      </c>
      <c r="C304" s="242">
        <v>0</v>
      </c>
      <c r="D304" s="215">
        <f>'B) D RI'!AA305</f>
        <v>204</v>
      </c>
      <c r="E304" s="216">
        <f>'B) D RI'!S305</f>
        <v>71.5</v>
      </c>
      <c r="F304" s="10">
        <f>'B) D RI'!R305</f>
        <v>397783.52999999997</v>
      </c>
      <c r="G304" s="10">
        <f>'B) D RI'!U305</f>
        <v>5563.4060139860139</v>
      </c>
      <c r="H304" s="41">
        <f>'B) D RI'!T305</f>
        <v>375136.52999999997</v>
      </c>
      <c r="I304" s="10">
        <f t="shared" si="53"/>
        <v>10493.32951048951</v>
      </c>
      <c r="J304" s="31">
        <f t="shared" si="52"/>
        <v>18160.118522833567</v>
      </c>
      <c r="K304" s="10">
        <f t="shared" ref="K304:K314" si="54">IF(C304=1,0,IF(J304&gt;I304,I304,J304))</f>
        <v>10493.32951048951</v>
      </c>
      <c r="L304" s="10">
        <f t="shared" si="51"/>
        <v>7666.7890123440575</v>
      </c>
      <c r="M304" s="10">
        <f>'D) Ecrêtage'!C303</f>
        <v>5563.4060139860139</v>
      </c>
      <c r="N304" s="10">
        <f t="shared" si="48"/>
        <v>6535.0595236984018</v>
      </c>
      <c r="O304" s="55">
        <f t="shared" si="49"/>
        <v>17028.389034187912</v>
      </c>
      <c r="P304" s="217"/>
      <c r="Q304" s="218"/>
      <c r="R304" s="214"/>
      <c r="S304" s="214"/>
      <c r="T304" s="219"/>
    </row>
    <row r="305" spans="1:20" s="213" customFormat="1" x14ac:dyDescent="0.25">
      <c r="A305" s="308">
        <f>'A) Base RI'!A306</f>
        <v>5929</v>
      </c>
      <c r="B305" s="226" t="str">
        <f>'A) Base RI'!B306</f>
        <v>Suchy</v>
      </c>
      <c r="C305" s="242">
        <v>1</v>
      </c>
      <c r="D305" s="215">
        <f>'B) D RI'!AA306</f>
        <v>656</v>
      </c>
      <c r="E305" s="216">
        <f>'B) D RI'!S306</f>
        <v>70</v>
      </c>
      <c r="F305" s="10">
        <f>'B) D RI'!R306</f>
        <v>1387918.2224999999</v>
      </c>
      <c r="G305" s="10">
        <f>'B) D RI'!U306</f>
        <v>19827.403178571429</v>
      </c>
      <c r="H305" s="41">
        <f>'B) D RI'!T306</f>
        <v>1274094.1599999999</v>
      </c>
      <c r="I305" s="10">
        <f t="shared" si="53"/>
        <v>36402.690285714285</v>
      </c>
      <c r="J305" s="31">
        <f t="shared" si="52"/>
        <v>58397.243877347159</v>
      </c>
      <c r="K305" s="10">
        <f t="shared" si="54"/>
        <v>0</v>
      </c>
      <c r="L305" s="10">
        <f t="shared" si="51"/>
        <v>58397.243877347159</v>
      </c>
      <c r="M305" s="10">
        <f>'D) Ecrêtage'!C304</f>
        <v>19827.403178571429</v>
      </c>
      <c r="N305" s="10">
        <f t="shared" si="48"/>
        <v>23290.275713581403</v>
      </c>
      <c r="O305" s="55">
        <f t="shared" si="49"/>
        <v>23290.275713581403</v>
      </c>
      <c r="P305" s="217"/>
      <c r="Q305" s="218"/>
      <c r="R305" s="214"/>
      <c r="S305" s="214"/>
      <c r="T305" s="219"/>
    </row>
    <row r="306" spans="1:20" s="213" customFormat="1" x14ac:dyDescent="0.25">
      <c r="A306" s="308">
        <f>'A) Base RI'!A307</f>
        <v>5930</v>
      </c>
      <c r="B306" s="226" t="str">
        <f>'A) Base RI'!B307</f>
        <v>Suscévaz</v>
      </c>
      <c r="C306" s="242">
        <v>1</v>
      </c>
      <c r="D306" s="215">
        <f>'B) D RI'!AA307</f>
        <v>204</v>
      </c>
      <c r="E306" s="216">
        <f>'B) D RI'!S307</f>
        <v>72</v>
      </c>
      <c r="F306" s="10">
        <f>'B) D RI'!R307</f>
        <v>415379.14999999997</v>
      </c>
      <c r="G306" s="10">
        <f>'B) D RI'!U307</f>
        <v>5769.1548611111102</v>
      </c>
      <c r="H306" s="41">
        <f>'B) D RI'!T307</f>
        <v>384010.39999999997</v>
      </c>
      <c r="I306" s="10">
        <f t="shared" si="53"/>
        <v>10666.955555555554</v>
      </c>
      <c r="J306" s="31">
        <f t="shared" si="52"/>
        <v>18160.118522833567</v>
      </c>
      <c r="K306" s="10">
        <f t="shared" si="54"/>
        <v>0</v>
      </c>
      <c r="L306" s="10">
        <f t="shared" si="51"/>
        <v>18160.118522833567</v>
      </c>
      <c r="M306" s="10">
        <f>'D) Ecrêtage'!C305</f>
        <v>5769.1548611111102</v>
      </c>
      <c r="N306" s="10">
        <f t="shared" si="48"/>
        <v>6776.7425789193658</v>
      </c>
      <c r="O306" s="55">
        <f t="shared" si="49"/>
        <v>6776.7425789193658</v>
      </c>
      <c r="P306" s="217"/>
      <c r="Q306" s="218"/>
      <c r="R306" s="214"/>
      <c r="S306" s="214"/>
      <c r="T306" s="219"/>
    </row>
    <row r="307" spans="1:20" s="213" customFormat="1" x14ac:dyDescent="0.25">
      <c r="A307" s="308">
        <f>'A) Base RI'!A308</f>
        <v>5931</v>
      </c>
      <c r="B307" s="226" t="str">
        <f>'A) Base RI'!B308</f>
        <v>Treycovagnes</v>
      </c>
      <c r="C307" s="242">
        <v>1</v>
      </c>
      <c r="D307" s="215">
        <f>'B) D RI'!AA308</f>
        <v>485</v>
      </c>
      <c r="E307" s="216">
        <f>'B) D RI'!S308</f>
        <v>75</v>
      </c>
      <c r="F307" s="10">
        <f>'B) D RI'!R308</f>
        <v>1153770.2299999997</v>
      </c>
      <c r="G307" s="10">
        <f>'B) D RI'!U308</f>
        <v>15383.603066666663</v>
      </c>
      <c r="H307" s="41">
        <f>'B) D RI'!T308</f>
        <v>1074260.0299999998</v>
      </c>
      <c r="I307" s="10">
        <f t="shared" si="53"/>
        <v>28646.934133333329</v>
      </c>
      <c r="J307" s="31">
        <f t="shared" si="52"/>
        <v>43174.791586148436</v>
      </c>
      <c r="K307" s="10">
        <f t="shared" si="54"/>
        <v>0</v>
      </c>
      <c r="L307" s="10">
        <f t="shared" si="51"/>
        <v>43174.791586148436</v>
      </c>
      <c r="M307" s="10">
        <f>'D) Ecrêtage'!C306</f>
        <v>15383.603066666663</v>
      </c>
      <c r="N307" s="10">
        <f t="shared" si="48"/>
        <v>18070.362198423696</v>
      </c>
      <c r="O307" s="55">
        <f t="shared" si="49"/>
        <v>18070.362198423696</v>
      </c>
      <c r="P307" s="217"/>
      <c r="Q307" s="218"/>
      <c r="R307" s="214"/>
      <c r="S307" s="214"/>
      <c r="T307" s="219"/>
    </row>
    <row r="308" spans="1:20" s="213" customFormat="1" x14ac:dyDescent="0.25">
      <c r="A308" s="308">
        <f>'A) Base RI'!A309</f>
        <v>5932</v>
      </c>
      <c r="B308" s="226" t="str">
        <f>'A) Base RI'!B309</f>
        <v>Ursins</v>
      </c>
      <c r="C308" s="242">
        <v>0</v>
      </c>
      <c r="D308" s="215">
        <f>'B) D RI'!AA309</f>
        <v>238</v>
      </c>
      <c r="E308" s="216">
        <f>'B) D RI'!S309</f>
        <v>75</v>
      </c>
      <c r="F308" s="10">
        <f>'B) D RI'!R309</f>
        <v>511455.18</v>
      </c>
      <c r="G308" s="10">
        <f>'B) D RI'!U309</f>
        <v>6819.4023999999999</v>
      </c>
      <c r="H308" s="41">
        <f>'B) D RI'!T309</f>
        <v>476178.98</v>
      </c>
      <c r="I308" s="10">
        <f t="shared" si="53"/>
        <v>12698.106133333333</v>
      </c>
      <c r="J308" s="31">
        <f t="shared" si="52"/>
        <v>21186.80494330583</v>
      </c>
      <c r="K308" s="10">
        <f t="shared" si="54"/>
        <v>12698.106133333333</v>
      </c>
      <c r="L308" s="10">
        <f t="shared" si="51"/>
        <v>8488.6988099724967</v>
      </c>
      <c r="M308" s="10">
        <f>'D) Ecrêtage'!C307</f>
        <v>6819.4023999999999</v>
      </c>
      <c r="N308" s="10">
        <f t="shared" si="48"/>
        <v>8010.4167281729815</v>
      </c>
      <c r="O308" s="55">
        <f t="shared" si="49"/>
        <v>20708.522861506313</v>
      </c>
      <c r="P308" s="217"/>
      <c r="Q308" s="218"/>
      <c r="R308" s="214"/>
      <c r="S308" s="214"/>
      <c r="T308" s="219"/>
    </row>
    <row r="309" spans="1:20" s="213" customFormat="1" x14ac:dyDescent="0.25">
      <c r="A309" s="308">
        <f>'A) Base RI'!A310</f>
        <v>5933</v>
      </c>
      <c r="B309" s="226" t="str">
        <f>'A) Base RI'!B310</f>
        <v>Valeyres-sous-Montagny</v>
      </c>
      <c r="C309" s="242">
        <v>0</v>
      </c>
      <c r="D309" s="215">
        <f>'B) D RI'!AA310</f>
        <v>714</v>
      </c>
      <c r="E309" s="216">
        <f>'B) D RI'!S310</f>
        <v>70.5</v>
      </c>
      <c r="F309" s="10">
        <f>'B) D RI'!R310</f>
        <v>1591352.6400000001</v>
      </c>
      <c r="G309" s="10">
        <f>'B) D RI'!U310</f>
        <v>22572.377872340428</v>
      </c>
      <c r="H309" s="41">
        <f>'B) D RI'!T310</f>
        <v>1468893.24</v>
      </c>
      <c r="I309" s="10">
        <f t="shared" si="53"/>
        <v>41670.730212765957</v>
      </c>
      <c r="J309" s="31">
        <f t="shared" ref="J309:J314" si="55">+$I$315/$D$315*D309</f>
        <v>63560.414829917492</v>
      </c>
      <c r="K309" s="10">
        <f t="shared" si="54"/>
        <v>41670.730212765957</v>
      </c>
      <c r="L309" s="10">
        <f t="shared" si="51"/>
        <v>21889.684617151535</v>
      </c>
      <c r="M309" s="10">
        <f>'D) Ecrêtage'!C308</f>
        <v>22572.377872340428</v>
      </c>
      <c r="N309" s="10">
        <f t="shared" si="48"/>
        <v>26514.662531607966</v>
      </c>
      <c r="O309" s="55">
        <f t="shared" si="49"/>
        <v>68185.392744373923</v>
      </c>
      <c r="P309" s="217"/>
      <c r="Q309" s="218"/>
      <c r="R309" s="214"/>
      <c r="S309" s="214"/>
      <c r="T309" s="219"/>
    </row>
    <row r="310" spans="1:20" s="213" customFormat="1" x14ac:dyDescent="0.25">
      <c r="A310" s="308">
        <f>'A) Base RI'!A311</f>
        <v>5934</v>
      </c>
      <c r="B310" s="226" t="str">
        <f>'A) Base RI'!B311</f>
        <v>Valeyres-sous-Ursins</v>
      </c>
      <c r="C310" s="242">
        <v>0</v>
      </c>
      <c r="D310" s="215">
        <f>'B) D RI'!AA311</f>
        <v>241</v>
      </c>
      <c r="E310" s="216">
        <f>'B) D RI'!S311</f>
        <v>79</v>
      </c>
      <c r="F310" s="10">
        <f>'B) D RI'!R311</f>
        <v>598612.92999999993</v>
      </c>
      <c r="G310" s="10">
        <f>'B) D RI'!U311</f>
        <v>7577.3788607594925</v>
      </c>
      <c r="H310" s="41">
        <f>'B) D RI'!T311</f>
        <v>569119.92999999993</v>
      </c>
      <c r="I310" s="10">
        <f t="shared" si="53"/>
        <v>14408.099493670885</v>
      </c>
      <c r="J310" s="31">
        <f t="shared" si="55"/>
        <v>21453.86550981809</v>
      </c>
      <c r="K310" s="10">
        <f t="shared" si="54"/>
        <v>14408.099493670885</v>
      </c>
      <c r="L310" s="10">
        <f t="shared" si="51"/>
        <v>7045.7660161472049</v>
      </c>
      <c r="M310" s="10">
        <f>'D) Ecrêtage'!C309</f>
        <v>7577.3788607594925</v>
      </c>
      <c r="N310" s="10">
        <f t="shared" si="48"/>
        <v>8900.7744112493165</v>
      </c>
      <c r="O310" s="55">
        <f t="shared" si="49"/>
        <v>23308.873904920201</v>
      </c>
      <c r="P310" s="217"/>
      <c r="Q310" s="218"/>
      <c r="R310" s="214"/>
      <c r="S310" s="214"/>
      <c r="T310" s="219"/>
    </row>
    <row r="311" spans="1:20" s="213" customFormat="1" x14ac:dyDescent="0.25">
      <c r="A311" s="308">
        <f>'A) Base RI'!A312</f>
        <v>5935</v>
      </c>
      <c r="B311" s="226" t="str">
        <f>'A) Base RI'!B312</f>
        <v>Villars-Epeney</v>
      </c>
      <c r="C311" s="242">
        <v>0</v>
      </c>
      <c r="D311" s="215">
        <f>'B) D RI'!AA312</f>
        <v>101</v>
      </c>
      <c r="E311" s="216">
        <f>'B) D RI'!S312</f>
        <v>60</v>
      </c>
      <c r="F311" s="10">
        <f>'B) D RI'!R312</f>
        <v>235693.23</v>
      </c>
      <c r="G311" s="10">
        <f>'B) D RI'!U312</f>
        <v>3928.2205000000004</v>
      </c>
      <c r="H311" s="41">
        <f>'B) D RI'!T312</f>
        <v>216054.23</v>
      </c>
      <c r="I311" s="10">
        <f t="shared" si="53"/>
        <v>7201.8076666666666</v>
      </c>
      <c r="J311" s="31">
        <f t="shared" si="55"/>
        <v>8991.0390725793641</v>
      </c>
      <c r="K311" s="10">
        <f t="shared" si="54"/>
        <v>7201.8076666666666</v>
      </c>
      <c r="L311" s="10">
        <f t="shared" si="51"/>
        <v>1789.2314059126975</v>
      </c>
      <c r="M311" s="10">
        <f>'D) Ecrêtage'!C310</f>
        <v>3928.2205000000004</v>
      </c>
      <c r="N311" s="10">
        <f t="shared" si="48"/>
        <v>4614.2874931609895</v>
      </c>
      <c r="O311" s="55">
        <f t="shared" si="49"/>
        <v>11816.095159827655</v>
      </c>
      <c r="P311" s="217"/>
      <c r="Q311" s="218"/>
      <c r="R311" s="214"/>
      <c r="S311" s="214"/>
      <c r="T311" s="219"/>
    </row>
    <row r="312" spans="1:20" s="213" customFormat="1" x14ac:dyDescent="0.25">
      <c r="A312" s="308">
        <f>'A) Base RI'!A313</f>
        <v>5937</v>
      </c>
      <c r="B312" s="226" t="str">
        <f>'A) Base RI'!B313</f>
        <v>Vugelles-La Mothe</v>
      </c>
      <c r="C312" s="242">
        <v>0</v>
      </c>
      <c r="D312" s="215">
        <f>'B) D RI'!AA313</f>
        <v>138</v>
      </c>
      <c r="E312" s="216">
        <f>'B) D RI'!S313</f>
        <v>70</v>
      </c>
      <c r="F312" s="10">
        <f>'B) D RI'!R313</f>
        <v>223138.70428571431</v>
      </c>
      <c r="G312" s="10">
        <f>'B) D RI'!U313</f>
        <v>3187.6957755102044</v>
      </c>
      <c r="H312" s="41">
        <f>'B) D RI'!T313</f>
        <v>207135.49000000002</v>
      </c>
      <c r="I312" s="10">
        <f t="shared" si="53"/>
        <v>5918.1568571428579</v>
      </c>
      <c r="J312" s="31">
        <f t="shared" si="55"/>
        <v>12284.786059563885</v>
      </c>
      <c r="K312" s="10">
        <f t="shared" si="54"/>
        <v>5918.1568571428579</v>
      </c>
      <c r="L312" s="10">
        <f t="shared" si="51"/>
        <v>6366.629202421027</v>
      </c>
      <c r="M312" s="10">
        <f>'D) Ecrêtage'!C311</f>
        <v>3187.6957755102044</v>
      </c>
      <c r="N312" s="10">
        <f t="shared" si="48"/>
        <v>3744.4295066783693</v>
      </c>
      <c r="O312" s="55">
        <f t="shared" si="49"/>
        <v>9662.5863638212268</v>
      </c>
      <c r="P312" s="217"/>
      <c r="Q312" s="218"/>
      <c r="R312" s="214"/>
      <c r="S312" s="214"/>
      <c r="T312" s="219"/>
    </row>
    <row r="313" spans="1:20" s="213" customFormat="1" x14ac:dyDescent="0.25">
      <c r="A313" s="308">
        <f>'A) Base RI'!A314</f>
        <v>5938</v>
      </c>
      <c r="B313" s="226" t="str">
        <f>'A) Base RI'!B314</f>
        <v>Yverdon-les-Bains</v>
      </c>
      <c r="C313" s="242">
        <v>1</v>
      </c>
      <c r="D313" s="215">
        <f>'B) D RI'!AA314</f>
        <v>29981</v>
      </c>
      <c r="E313" s="216">
        <f>'B) D RI'!S314</f>
        <v>75</v>
      </c>
      <c r="F313" s="10">
        <f>'B) D RI'!R314</f>
        <v>59741355.149999999</v>
      </c>
      <c r="G313" s="10">
        <f>'B) D RI'!U314</f>
        <v>796551.402</v>
      </c>
      <c r="H313" s="41">
        <f>'B) D RI'!T314</f>
        <v>54765734.199999996</v>
      </c>
      <c r="I313" s="10">
        <f t="shared" si="53"/>
        <v>1460419.5786666665</v>
      </c>
      <c r="J313" s="31">
        <f t="shared" si="55"/>
        <v>2668914.2815346727</v>
      </c>
      <c r="K313" s="10">
        <f t="shared" si="54"/>
        <v>0</v>
      </c>
      <c r="L313" s="10">
        <f t="shared" si="51"/>
        <v>2668914.2815346727</v>
      </c>
      <c r="M313" s="10">
        <f>'D) Ecrêtage'!C312</f>
        <v>796551.402</v>
      </c>
      <c r="N313" s="10">
        <f t="shared" si="48"/>
        <v>935669.77004179161</v>
      </c>
      <c r="O313" s="55">
        <f t="shared" si="49"/>
        <v>935669.77004179161</v>
      </c>
      <c r="P313" s="217"/>
      <c r="Q313" s="218"/>
      <c r="R313" s="214"/>
      <c r="S313" s="214"/>
      <c r="T313" s="219"/>
    </row>
    <row r="314" spans="1:20" s="213" customFormat="1" x14ac:dyDescent="0.25">
      <c r="A314" s="309">
        <f>'A) Base RI'!A315</f>
        <v>5939</v>
      </c>
      <c r="B314" s="226" t="str">
        <f>'A) Base RI'!B315</f>
        <v>Yvonand</v>
      </c>
      <c r="C314" s="242">
        <v>0</v>
      </c>
      <c r="D314" s="215">
        <f>'B) D RI'!AA315</f>
        <v>3467</v>
      </c>
      <c r="E314" s="216">
        <f>'B) D RI'!S315</f>
        <v>71.5</v>
      </c>
      <c r="F314" s="10">
        <f>'B) D RI'!R315</f>
        <v>6641638.0699999994</v>
      </c>
      <c r="G314" s="10">
        <f>'B) D RI'!U315</f>
        <v>92890.042937062928</v>
      </c>
      <c r="H314" s="41">
        <f>'B) D RI'!T315</f>
        <v>6069726.1200000001</v>
      </c>
      <c r="I314" s="18">
        <f t="shared" si="53"/>
        <v>169782.54881118881</v>
      </c>
      <c r="J314" s="106">
        <f t="shared" si="55"/>
        <v>308632.99469933327</v>
      </c>
      <c r="K314" s="10">
        <f t="shared" si="54"/>
        <v>169782.54881118881</v>
      </c>
      <c r="L314" s="18">
        <f t="shared" si="51"/>
        <v>138850.44588814446</v>
      </c>
      <c r="M314" s="18">
        <f>'D) Ecrêtage'!C313</f>
        <v>92890.042937062928</v>
      </c>
      <c r="N314" s="18">
        <f>+$N$5*M314</f>
        <v>109113.36656475287</v>
      </c>
      <c r="O314" s="101">
        <f t="shared" si="49"/>
        <v>278895.91537594167</v>
      </c>
      <c r="P314" s="217"/>
      <c r="Q314" s="218"/>
      <c r="R314" s="214"/>
      <c r="S314" s="214"/>
      <c r="T314" s="219"/>
    </row>
    <row r="315" spans="1:20" s="213" customFormat="1" x14ac:dyDescent="0.25">
      <c r="A315" s="30"/>
      <c r="B315" s="118">
        <f>COUNTA(B6:B314)</f>
        <v>309</v>
      </c>
      <c r="C315" s="236">
        <f>SUM(C6:C314)</f>
        <v>52</v>
      </c>
      <c r="D315" s="228">
        <f>SUM(D6:D314)</f>
        <v>815300</v>
      </c>
      <c r="E315" s="228"/>
      <c r="F315" s="228">
        <f t="shared" ref="F315:M315" si="56">SUM(F6:F314)</f>
        <v>2642933132.3111801</v>
      </c>
      <c r="G315" s="228">
        <f t="shared" si="56"/>
        <v>39272473.833379671</v>
      </c>
      <c r="H315" s="228">
        <f t="shared" si="56"/>
        <v>2440732962.3499985</v>
      </c>
      <c r="I315" s="244">
        <f>SUM(I6:I314)</f>
        <v>72578159.959148079</v>
      </c>
      <c r="J315" s="228">
        <f t="shared" si="56"/>
        <v>72578159.959148109</v>
      </c>
      <c r="K315" s="363">
        <f t="shared" si="56"/>
        <v>22810235.044499688</v>
      </c>
      <c r="L315" s="230">
        <f t="shared" si="56"/>
        <v>49767924.914648391</v>
      </c>
      <c r="M315" s="228">
        <f t="shared" si="56"/>
        <v>39272473.833379671</v>
      </c>
      <c r="N315" s="237">
        <f>Paramètres!B65-K315</f>
        <v>46131444.208606936</v>
      </c>
      <c r="O315" s="231">
        <f>SUM(O6:O314)</f>
        <v>68941679.253106654</v>
      </c>
      <c r="P315" s="214"/>
      <c r="Q315" s="520"/>
      <c r="R315" s="214"/>
      <c r="S315" s="214"/>
    </row>
    <row r="316" spans="1:20" s="213" customFormat="1" x14ac:dyDescent="0.25">
      <c r="A316" s="212"/>
      <c r="B316" s="212"/>
      <c r="C316" s="212"/>
      <c r="D316" s="212"/>
      <c r="E316" s="212"/>
      <c r="F316" s="212"/>
      <c r="G316" s="212"/>
      <c r="H316" s="212"/>
      <c r="I316" s="243"/>
      <c r="J316" s="212"/>
      <c r="K316" s="212"/>
      <c r="L316" s="220"/>
      <c r="M316" s="212"/>
      <c r="N316" s="220"/>
      <c r="O316" s="212"/>
      <c r="P316" s="214"/>
      <c r="R316" s="214"/>
      <c r="S316" s="214"/>
    </row>
    <row r="317" spans="1:20" x14ac:dyDescent="0.25">
      <c r="I317" s="243"/>
      <c r="J317" s="243"/>
      <c r="K317" s="243"/>
      <c r="L317" s="243"/>
      <c r="M317" s="243"/>
      <c r="N317" s="427"/>
      <c r="O317" s="243"/>
    </row>
  </sheetData>
  <protectedRanges>
    <protectedRange sqref="C6:C314" name="Plage1"/>
  </protectedRanges>
  <mergeCells count="13">
    <mergeCell ref="O4:O5"/>
    <mergeCell ref="B4:B5"/>
    <mergeCell ref="A4:A5"/>
    <mergeCell ref="M4:M5"/>
    <mergeCell ref="L4:L5"/>
    <mergeCell ref="K4:K5"/>
    <mergeCell ref="J4:J5"/>
    <mergeCell ref="H4:H5"/>
    <mergeCell ref="G4:G5"/>
    <mergeCell ref="F4:F5"/>
    <mergeCell ref="E4:E5"/>
    <mergeCell ref="D4:D5"/>
    <mergeCell ref="C4:C5"/>
  </mergeCells>
  <printOptions horizontalCentered="1" verticalCentered="1"/>
  <pageMargins left="0.78740157480314965" right="0.78740157480314965" top="0.98425196850393704" bottom="0.98425196850393704" header="0.51181102362204722" footer="0.51181102362204722"/>
  <pageSetup paperSize="8" fitToHeight="9" orientation="landscape" r:id="rId1"/>
  <headerFooter alignWithMargins="0">
    <oddFooter>&amp;L&amp;8SCL - Division finances communales&amp;C- &amp;N -&amp;R&amp;8ASFiCo/FW/Juillet 2014</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17">
    <tabColor rgb="FF00B0F0"/>
  </sheetPr>
  <dimension ref="A1:Q317"/>
  <sheetViews>
    <sheetView workbookViewId="0">
      <selection activeCell="G22" sqref="G22"/>
    </sheetView>
  </sheetViews>
  <sheetFormatPr baseColWidth="10" defaultColWidth="10.75" defaultRowHeight="15" x14ac:dyDescent="0.25"/>
  <cols>
    <col min="1" max="1" width="7.5" style="13" customWidth="1"/>
    <col min="2" max="2" width="20.25" style="13" bestFit="1" customWidth="1"/>
    <col min="3" max="3" width="6.125" style="15" bestFit="1" customWidth="1"/>
    <col min="4" max="4" width="6.5" style="150" bestFit="1" customWidth="1"/>
    <col min="5" max="5" width="8.625" style="150" bestFit="1" customWidth="1"/>
    <col min="6" max="6" width="9.5" style="13" bestFit="1" customWidth="1"/>
    <col min="7" max="7" width="10.625" style="13" customWidth="1"/>
    <col min="8" max="8" width="10.75" style="13" customWidth="1"/>
    <col min="9" max="10" width="9.375" style="13" bestFit="1" customWidth="1"/>
    <col min="11" max="11" width="9.625" style="13" bestFit="1" customWidth="1"/>
    <col min="12" max="12" width="11.25" style="13" bestFit="1" customWidth="1"/>
    <col min="13" max="13" width="8.625" style="13" bestFit="1" customWidth="1"/>
    <col min="14" max="14" width="9.5" style="13" bestFit="1" customWidth="1"/>
    <col min="15" max="15" width="10.75" style="410" customWidth="1"/>
    <col min="16" max="16" width="10.75" style="13"/>
    <col min="17" max="17" width="15.25" style="13" bestFit="1" customWidth="1"/>
    <col min="18" max="16384" width="10.75" style="13"/>
  </cols>
  <sheetData>
    <row r="1" spans="1:16" s="43" customFormat="1" ht="20.25" customHeight="1" x14ac:dyDescent="0.2">
      <c r="A1" s="614" t="s">
        <v>470</v>
      </c>
      <c r="B1" s="615"/>
      <c r="C1" s="615"/>
      <c r="D1" s="615"/>
      <c r="E1" s="615"/>
      <c r="F1" s="68"/>
      <c r="G1" s="68"/>
      <c r="H1" s="68"/>
      <c r="I1" s="68"/>
      <c r="J1" s="68"/>
      <c r="K1" s="68"/>
      <c r="L1" s="68"/>
      <c r="M1" s="68"/>
      <c r="N1" s="68"/>
    </row>
    <row r="2" spans="1:16" s="43" customFormat="1" ht="20.25" customHeight="1" x14ac:dyDescent="0.2">
      <c r="A2" s="281">
        <f>Paramètres!B5</f>
        <v>2020</v>
      </c>
      <c r="C2" s="134"/>
      <c r="D2" s="282"/>
      <c r="E2" s="282"/>
      <c r="F2" s="68"/>
      <c r="G2" s="68"/>
      <c r="H2" s="68"/>
      <c r="I2" s="68"/>
      <c r="J2" s="68"/>
      <c r="K2" s="68"/>
      <c r="L2" s="68"/>
      <c r="M2" s="68"/>
      <c r="N2" s="68"/>
    </row>
    <row r="3" spans="1:16" x14ac:dyDescent="0.25">
      <c r="D3" s="13"/>
      <c r="E3" s="13"/>
    </row>
    <row r="4" spans="1:16" ht="53.25" customHeight="1" x14ac:dyDescent="0.25">
      <c r="A4" s="572" t="s">
        <v>46</v>
      </c>
      <c r="B4" s="572" t="s">
        <v>96</v>
      </c>
      <c r="C4" s="593" t="s">
        <v>359</v>
      </c>
      <c r="D4" s="610" t="s">
        <v>360</v>
      </c>
      <c r="E4" s="610" t="s">
        <v>537</v>
      </c>
      <c r="F4" s="610" t="s">
        <v>93</v>
      </c>
      <c r="G4" s="610" t="s">
        <v>145</v>
      </c>
      <c r="H4" s="610" t="s">
        <v>139</v>
      </c>
      <c r="I4" s="610" t="s">
        <v>410</v>
      </c>
      <c r="J4" s="610" t="s">
        <v>211</v>
      </c>
      <c r="K4" s="610" t="s">
        <v>126</v>
      </c>
      <c r="L4" s="610" t="s">
        <v>212</v>
      </c>
      <c r="M4" s="610" t="s">
        <v>486</v>
      </c>
      <c r="N4" s="612" t="s">
        <v>138</v>
      </c>
      <c r="O4" s="608" t="s">
        <v>586</v>
      </c>
    </row>
    <row r="5" spans="1:16" ht="14.25" customHeight="1" x14ac:dyDescent="0.25">
      <c r="A5" s="574"/>
      <c r="B5" s="574"/>
      <c r="C5" s="594"/>
      <c r="D5" s="616"/>
      <c r="E5" s="611"/>
      <c r="F5" s="616"/>
      <c r="G5" s="611"/>
      <c r="H5" s="611"/>
      <c r="I5" s="611"/>
      <c r="J5" s="616"/>
      <c r="K5" s="611"/>
      <c r="L5" s="611"/>
      <c r="M5" s="611"/>
      <c r="N5" s="613"/>
      <c r="O5" s="609"/>
    </row>
    <row r="6" spans="1:16" s="154" customFormat="1" x14ac:dyDescent="0.25">
      <c r="A6" s="310">
        <f>'B) D RI'!A7</f>
        <v>5401</v>
      </c>
      <c r="B6" s="152" t="str">
        <f>'B) D RI'!B7</f>
        <v>Aigle</v>
      </c>
      <c r="C6" s="315">
        <f>'B) D RI'!S7</f>
        <v>66</v>
      </c>
      <c r="D6" s="316">
        <f>'B) D RI'!AA7</f>
        <v>10518</v>
      </c>
      <c r="E6" s="313">
        <f>'D) Ecrêtage'!C5</f>
        <v>284723.80196969694</v>
      </c>
      <c r="F6" s="157">
        <f>'E) Fact soc'!G11</f>
        <v>4943333.9870172413</v>
      </c>
      <c r="G6" s="314">
        <f>'H) Péréquation directe'!I16</f>
        <v>-3892855.6507904809</v>
      </c>
      <c r="H6" s="157">
        <f>+'I) Dépenses thématiques'!T5</f>
        <v>-3156373.3367045457</v>
      </c>
      <c r="I6" s="314">
        <f>'K) Plafonnement aide'!J5</f>
        <v>0</v>
      </c>
      <c r="J6" s="157">
        <f>'J) Plafonnement effort'!J5</f>
        <v>0</v>
      </c>
      <c r="K6" s="314">
        <f>'L) Plafonnement taux'!Q6</f>
        <v>0</v>
      </c>
      <c r="L6" s="311">
        <f>F6+G6+H6+I6+J6+K6</f>
        <v>-2105895.0004777852</v>
      </c>
      <c r="M6" s="233">
        <f>'M) Police'!O6</f>
        <v>334451.05192898895</v>
      </c>
      <c r="N6" s="232">
        <f>L6+M6</f>
        <v>-1771443.9485487964</v>
      </c>
      <c r="O6" s="317">
        <f>SUM(G6:K6)</f>
        <v>-7049228.9874950266</v>
      </c>
      <c r="P6" s="319"/>
    </row>
    <row r="7" spans="1:16" s="154" customFormat="1" x14ac:dyDescent="0.25">
      <c r="A7" s="151">
        <f>'B) D RI'!A8</f>
        <v>5402</v>
      </c>
      <c r="B7" s="152" t="str">
        <f>'B) D RI'!B8</f>
        <v>Bex</v>
      </c>
      <c r="C7" s="315">
        <f>'B) D RI'!S8</f>
        <v>71</v>
      </c>
      <c r="D7" s="153">
        <f>'B) D RI'!AA8</f>
        <v>7828</v>
      </c>
      <c r="E7" s="313">
        <f>'D) Ecrêtage'!C6</f>
        <v>179259.20338028169</v>
      </c>
      <c r="F7" s="317">
        <f>'E) Fact soc'!G12</f>
        <v>3040280.9186381535</v>
      </c>
      <c r="G7" s="314">
        <f>'H) Péréquation directe'!I17</f>
        <v>-4058786.487212169</v>
      </c>
      <c r="H7" s="317">
        <f>+'I) Dépenses thématiques'!T6</f>
        <v>-2053833.8771830986</v>
      </c>
      <c r="I7" s="314">
        <f>'K) Plafonnement aide'!J6</f>
        <v>0</v>
      </c>
      <c r="J7" s="317">
        <f>'J) Plafonnement effort'!J6</f>
        <v>0</v>
      </c>
      <c r="K7" s="314">
        <f>'L) Plafonnement taux'!Q7</f>
        <v>0</v>
      </c>
      <c r="L7" s="312">
        <f t="shared" ref="L7:L61" si="0">F7+G7+H7+I7+J7+K7</f>
        <v>-3072339.4457571143</v>
      </c>
      <c r="M7" s="233">
        <f>'M) Police'!O7</f>
        <v>210566.97305857347</v>
      </c>
      <c r="N7" s="233">
        <f t="shared" ref="N7:N70" si="1">L7+M7</f>
        <v>-2861772.4726985409</v>
      </c>
      <c r="O7" s="317">
        <f t="shared" ref="O7:O70" si="2">SUM(G7:K7)</f>
        <v>-6112620.3643952673</v>
      </c>
      <c r="P7" s="319"/>
    </row>
    <row r="8" spans="1:16" s="154" customFormat="1" x14ac:dyDescent="0.25">
      <c r="A8" s="151">
        <f>'B) D RI'!A9</f>
        <v>5403</v>
      </c>
      <c r="B8" s="152" t="str">
        <f>'B) D RI'!B9</f>
        <v>Chessel</v>
      </c>
      <c r="C8" s="315">
        <f>'B) D RI'!S9</f>
        <v>74</v>
      </c>
      <c r="D8" s="153">
        <f>'B) D RI'!AA9</f>
        <v>444</v>
      </c>
      <c r="E8" s="313">
        <f>'D) Ecrêtage'!C7</f>
        <v>10797.740270270273</v>
      </c>
      <c r="F8" s="317">
        <f>'E) Fact soc'!G13</f>
        <v>204617.73413892073</v>
      </c>
      <c r="G8" s="314">
        <f>'H) Péréquation directe'!I18</f>
        <v>-80774.817688420153</v>
      </c>
      <c r="H8" s="317">
        <f>+'I) Dépenses thématiques'!T7</f>
        <v>-16113.253175675656</v>
      </c>
      <c r="I8" s="314">
        <f>'K) Plafonnement aide'!J7</f>
        <v>0</v>
      </c>
      <c r="J8" s="317">
        <f>'J) Plafonnement effort'!J7</f>
        <v>0</v>
      </c>
      <c r="K8" s="314">
        <f>'L) Plafonnement taux'!Q8</f>
        <v>0</v>
      </c>
      <c r="L8" s="312">
        <f t="shared" si="0"/>
        <v>107729.66327482492</v>
      </c>
      <c r="M8" s="233">
        <f>'M) Police'!O8</f>
        <v>31852.114632205317</v>
      </c>
      <c r="N8" s="233">
        <f t="shared" si="1"/>
        <v>139581.77790703025</v>
      </c>
      <c r="O8" s="317">
        <f t="shared" si="2"/>
        <v>-96888.070864095804</v>
      </c>
      <c r="P8" s="319"/>
    </row>
    <row r="9" spans="1:16" s="154" customFormat="1" x14ac:dyDescent="0.25">
      <c r="A9" s="151">
        <f>'B) D RI'!A10</f>
        <v>5404</v>
      </c>
      <c r="B9" s="152" t="str">
        <f>'B) D RI'!B10</f>
        <v>Corbeyrier</v>
      </c>
      <c r="C9" s="315">
        <f>'B) D RI'!S10</f>
        <v>74</v>
      </c>
      <c r="D9" s="153">
        <f>'B) D RI'!AA10</f>
        <v>445</v>
      </c>
      <c r="E9" s="313">
        <f>'D) Ecrêtage'!C8</f>
        <v>11267.87027027027</v>
      </c>
      <c r="F9" s="317">
        <f>'E) Fact soc'!G14</f>
        <v>212640.53123471828</v>
      </c>
      <c r="G9" s="314">
        <f>'H) Péréquation directe'!I19</f>
        <v>-62618.760894710722</v>
      </c>
      <c r="H9" s="317">
        <f>+'I) Dépenses thématiques'!T8</f>
        <v>-132523.62567567566</v>
      </c>
      <c r="I9" s="314">
        <f>'K) Plafonnement aide'!J8</f>
        <v>0</v>
      </c>
      <c r="J9" s="317">
        <f>'J) Plafonnement effort'!J8</f>
        <v>0</v>
      </c>
      <c r="K9" s="314">
        <f>'L) Plafonnement taux'!Q9</f>
        <v>0</v>
      </c>
      <c r="L9" s="312">
        <f t="shared" si="0"/>
        <v>17498.144664331892</v>
      </c>
      <c r="M9" s="233">
        <f>'M) Police'!O9</f>
        <v>33298.849716082084</v>
      </c>
      <c r="N9" s="233">
        <f t="shared" si="1"/>
        <v>50796.994380413977</v>
      </c>
      <c r="O9" s="317">
        <f t="shared" si="2"/>
        <v>-195142.38657038638</v>
      </c>
      <c r="P9" s="319"/>
    </row>
    <row r="10" spans="1:16" s="154" customFormat="1" x14ac:dyDescent="0.25">
      <c r="A10" s="151">
        <f>'B) D RI'!A11</f>
        <v>5405</v>
      </c>
      <c r="B10" s="152" t="str">
        <f>'B) D RI'!B11</f>
        <v>Gryon</v>
      </c>
      <c r="C10" s="315">
        <f>'B) D RI'!S11</f>
        <v>73.5</v>
      </c>
      <c r="D10" s="153">
        <f>'B) D RI'!AA11</f>
        <v>1378</v>
      </c>
      <c r="E10" s="313">
        <f>'D) Ecrêtage'!C9</f>
        <v>68185.794013605453</v>
      </c>
      <c r="F10" s="317">
        <f>'E) Fact soc'!G15</f>
        <v>1370568.8160692726</v>
      </c>
      <c r="G10" s="314">
        <f>'H) Péréquation directe'!I20</f>
        <v>1051486.3490439896</v>
      </c>
      <c r="H10" s="317">
        <f>+'I) Dépenses thématiques'!T9</f>
        <v>-858322.23591836728</v>
      </c>
      <c r="I10" s="314">
        <f>'K) Plafonnement aide'!J9</f>
        <v>0</v>
      </c>
      <c r="J10" s="317">
        <f>'J) Plafonnement effort'!J9</f>
        <v>0</v>
      </c>
      <c r="K10" s="314">
        <f>'L) Plafonnement taux'!Q10</f>
        <v>0</v>
      </c>
      <c r="L10" s="312">
        <f t="shared" si="0"/>
        <v>1563732.9291948946</v>
      </c>
      <c r="M10" s="233">
        <f>'M) Police'!O10</f>
        <v>201848.04305058534</v>
      </c>
      <c r="N10" s="233">
        <f t="shared" si="1"/>
        <v>1765580.9722454799</v>
      </c>
      <c r="O10" s="317">
        <f t="shared" si="2"/>
        <v>193164.11312562227</v>
      </c>
      <c r="P10" s="319"/>
    </row>
    <row r="11" spans="1:16" s="154" customFormat="1" x14ac:dyDescent="0.25">
      <c r="A11" s="151">
        <f>'B) D RI'!A12</f>
        <v>5406</v>
      </c>
      <c r="B11" s="152" t="str">
        <f>'B) D RI'!B12</f>
        <v>Lavey-Morcles</v>
      </c>
      <c r="C11" s="315">
        <f>'B) D RI'!S12</f>
        <v>71.5</v>
      </c>
      <c r="D11" s="153">
        <f>'B) D RI'!AA12</f>
        <v>944</v>
      </c>
      <c r="E11" s="313">
        <f>'D) Ecrêtage'!C10</f>
        <v>21842.545067240455</v>
      </c>
      <c r="F11" s="317">
        <f>'E) Fact soc'!G16</f>
        <v>400336.71453558351</v>
      </c>
      <c r="G11" s="314">
        <f>'H) Péréquation directe'!I21</f>
        <v>-183109.95767579926</v>
      </c>
      <c r="H11" s="317">
        <f>+'I) Dépenses thématiques'!T10</f>
        <v>-176329.57079612694</v>
      </c>
      <c r="I11" s="314">
        <f>'K) Plafonnement aide'!J10</f>
        <v>0</v>
      </c>
      <c r="J11" s="317">
        <f>'J) Plafonnement effort'!J10</f>
        <v>0</v>
      </c>
      <c r="K11" s="314">
        <f>'L) Plafonnement taux'!Q11</f>
        <v>0</v>
      </c>
      <c r="L11" s="312">
        <f t="shared" si="0"/>
        <v>40897.186063657311</v>
      </c>
      <c r="M11" s="233">
        <f>'M) Police'!O11</f>
        <v>64863.132488500574</v>
      </c>
      <c r="N11" s="233">
        <f t="shared" si="1"/>
        <v>105760.31855215789</v>
      </c>
      <c r="O11" s="317">
        <f t="shared" si="2"/>
        <v>-359439.52847192623</v>
      </c>
      <c r="P11" s="319"/>
    </row>
    <row r="12" spans="1:16" s="154" customFormat="1" x14ac:dyDescent="0.25">
      <c r="A12" s="151">
        <f>'B) D RI'!A13</f>
        <v>5407</v>
      </c>
      <c r="B12" s="152" t="str">
        <f>'B) D RI'!B13</f>
        <v>Leysin</v>
      </c>
      <c r="C12" s="315">
        <f>'B) D RI'!S13</f>
        <v>78</v>
      </c>
      <c r="D12" s="153">
        <f>'B) D RI'!AA13</f>
        <v>3645</v>
      </c>
      <c r="E12" s="313">
        <f>'D) Ecrêtage'!C11</f>
        <v>90822.200982905983</v>
      </c>
      <c r="F12" s="317">
        <f>'E) Fact soc'!G17</f>
        <v>1621216.1786620524</v>
      </c>
      <c r="G12" s="314">
        <f>'H) Péréquation directe'!I22</f>
        <v>-1466555.1515884602</v>
      </c>
      <c r="H12" s="317">
        <f>+'I) Dépenses thématiques'!T11</f>
        <v>-1717080.8933653845</v>
      </c>
      <c r="I12" s="314">
        <f>'K) Plafonnement aide'!J11</f>
        <v>0</v>
      </c>
      <c r="J12" s="317">
        <f>'J) Plafonnement effort'!J11</f>
        <v>0</v>
      </c>
      <c r="K12" s="314">
        <f>'L) Plafonnement taux'!Q12</f>
        <v>0</v>
      </c>
      <c r="L12" s="312">
        <f t="shared" si="0"/>
        <v>-1562419.8662917924</v>
      </c>
      <c r="M12" s="233">
        <f>'M) Police'!O12</f>
        <v>265343.33351596445</v>
      </c>
      <c r="N12" s="233">
        <f t="shared" si="1"/>
        <v>-1297076.5327758279</v>
      </c>
      <c r="O12" s="317">
        <f t="shared" si="2"/>
        <v>-3183636.0449538445</v>
      </c>
      <c r="P12" s="319"/>
    </row>
    <row r="13" spans="1:16" s="154" customFormat="1" x14ac:dyDescent="0.25">
      <c r="A13" s="151">
        <f>'B) D RI'!A14</f>
        <v>5408</v>
      </c>
      <c r="B13" s="152" t="str">
        <f>'B) D RI'!B14</f>
        <v>Noville</v>
      </c>
      <c r="C13" s="315">
        <f>'B) D RI'!S14</f>
        <v>78.5</v>
      </c>
      <c r="D13" s="153">
        <f>'B) D RI'!AA14</f>
        <v>1170</v>
      </c>
      <c r="E13" s="313">
        <f>'D) Ecrêtage'!C12</f>
        <v>43840.045520169842</v>
      </c>
      <c r="F13" s="317">
        <f>'E) Fact soc'!G18</f>
        <v>746271.3943303033</v>
      </c>
      <c r="G13" s="314">
        <f>'H) Péréquation directe'!I23</f>
        <v>347649.66872412007</v>
      </c>
      <c r="H13" s="317">
        <f>+'I) Dépenses thématiques'!T12</f>
        <v>-106385.69273885357</v>
      </c>
      <c r="I13" s="314">
        <f>'K) Plafonnement aide'!J12</f>
        <v>0</v>
      </c>
      <c r="J13" s="317">
        <f>'J) Plafonnement effort'!J12</f>
        <v>0</v>
      </c>
      <c r="K13" s="314">
        <f>'L) Plafonnement taux'!Q13</f>
        <v>0</v>
      </c>
      <c r="L13" s="312">
        <f t="shared" si="0"/>
        <v>987535.37031556969</v>
      </c>
      <c r="M13" s="233">
        <f>'M) Police'!O13</f>
        <v>129768.03375095248</v>
      </c>
      <c r="N13" s="233">
        <f t="shared" si="1"/>
        <v>1117303.4040665221</v>
      </c>
      <c r="O13" s="317">
        <f t="shared" si="2"/>
        <v>241263.9759852665</v>
      </c>
      <c r="P13" s="319"/>
    </row>
    <row r="14" spans="1:16" s="154" customFormat="1" x14ac:dyDescent="0.25">
      <c r="A14" s="151">
        <f>'B) D RI'!A15</f>
        <v>5409</v>
      </c>
      <c r="B14" s="152" t="str">
        <f>'B) D RI'!B15</f>
        <v>Ollon</v>
      </c>
      <c r="C14" s="315">
        <f>'B) D RI'!S15</f>
        <v>68</v>
      </c>
      <c r="D14" s="153">
        <f>'B) D RI'!AA15</f>
        <v>7634</v>
      </c>
      <c r="E14" s="313">
        <f>'D) Ecrêtage'!C13</f>
        <v>389186.78990950214</v>
      </c>
      <c r="F14" s="317">
        <f>'E) Fact soc'!G19</f>
        <v>7298371.7334683128</v>
      </c>
      <c r="G14" s="314">
        <f>'H) Péréquation directe'!I24</f>
        <v>4080400.2260906426</v>
      </c>
      <c r="H14" s="317">
        <f>+'I) Dépenses thématiques'!T13</f>
        <v>-2775842.1681108605</v>
      </c>
      <c r="I14" s="314">
        <f>'K) Plafonnement aide'!J13</f>
        <v>0</v>
      </c>
      <c r="J14" s="317">
        <f>'J) Plafonnement effort'!J13</f>
        <v>0</v>
      </c>
      <c r="K14" s="314">
        <f>'L) Plafonnement taux'!Q14</f>
        <v>0</v>
      </c>
      <c r="L14" s="312">
        <f t="shared" si="0"/>
        <v>8602929.7914480958</v>
      </c>
      <c r="M14" s="233">
        <f>'M) Police'!O14</f>
        <v>457158.58801278833</v>
      </c>
      <c r="N14" s="233">
        <f t="shared" si="1"/>
        <v>9060088.3794608843</v>
      </c>
      <c r="O14" s="317">
        <f t="shared" si="2"/>
        <v>1304558.0579797821</v>
      </c>
      <c r="P14" s="319"/>
    </row>
    <row r="15" spans="1:16" s="154" customFormat="1" x14ac:dyDescent="0.25">
      <c r="A15" s="151">
        <f>'B) D RI'!A16</f>
        <v>5410</v>
      </c>
      <c r="B15" s="152" t="str">
        <f>'B) D RI'!B16</f>
        <v>Ormont-Dessous</v>
      </c>
      <c r="C15" s="315">
        <f>'B) D RI'!S16</f>
        <v>77</v>
      </c>
      <c r="D15" s="153">
        <f>'B) D RI'!AA16</f>
        <v>1180</v>
      </c>
      <c r="E15" s="313">
        <f>'D) Ecrêtage'!C14</f>
        <v>39522.545108225109</v>
      </c>
      <c r="F15" s="317">
        <f>'E) Fact soc'!G20</f>
        <v>753560.19707566872</v>
      </c>
      <c r="G15" s="314">
        <f>'H) Péréquation directe'!I25</f>
        <v>158991.19743413641</v>
      </c>
      <c r="H15" s="317">
        <f>+'I) Dépenses thématiques'!T14</f>
        <v>-801449.32051948051</v>
      </c>
      <c r="I15" s="314">
        <f>'K) Plafonnement aide'!J14</f>
        <v>0</v>
      </c>
      <c r="J15" s="317">
        <f>'J) Plafonnement effort'!J14</f>
        <v>0</v>
      </c>
      <c r="K15" s="314">
        <f>'L) Plafonnement taux'!Q15</f>
        <v>0</v>
      </c>
      <c r="L15" s="312">
        <f t="shared" si="0"/>
        <v>111102.07399032463</v>
      </c>
      <c r="M15" s="233">
        <f>'M) Police'!O15</f>
        <v>115239.49427695374</v>
      </c>
      <c r="N15" s="233">
        <f t="shared" si="1"/>
        <v>226341.56826727837</v>
      </c>
      <c r="O15" s="317">
        <f t="shared" si="2"/>
        <v>-642458.12308534409</v>
      </c>
      <c r="P15" s="319"/>
    </row>
    <row r="16" spans="1:16" s="154" customFormat="1" x14ac:dyDescent="0.25">
      <c r="A16" s="151">
        <f>'B) D RI'!A17</f>
        <v>5411</v>
      </c>
      <c r="B16" s="152" t="str">
        <f>'B) D RI'!B17</f>
        <v>Ormont-Dessus</v>
      </c>
      <c r="C16" s="315">
        <f>'B) D RI'!S17</f>
        <v>76</v>
      </c>
      <c r="D16" s="153">
        <f>'B) D RI'!AA17</f>
        <v>1466</v>
      </c>
      <c r="E16" s="313">
        <f>'D) Ecrêtage'!C15</f>
        <v>68049.385526315804</v>
      </c>
      <c r="F16" s="317">
        <f>'E) Fact soc'!G21</f>
        <v>1382661.0879914465</v>
      </c>
      <c r="G16" s="314">
        <f>'H) Péréquation directe'!I26</f>
        <v>958836.16049225815</v>
      </c>
      <c r="H16" s="317">
        <f>+'I) Dépenses thématiques'!T15</f>
        <v>-928455.39769736829</v>
      </c>
      <c r="I16" s="314">
        <f>'K) Plafonnement aide'!J15</f>
        <v>0</v>
      </c>
      <c r="J16" s="317">
        <f>'J) Plafonnement effort'!J15</f>
        <v>0</v>
      </c>
      <c r="K16" s="314">
        <f>'L) Plafonnement taux'!Q16</f>
        <v>0</v>
      </c>
      <c r="L16" s="312">
        <f t="shared" si="0"/>
        <v>1413041.8507863362</v>
      </c>
      <c r="M16" s="233">
        <f>'M) Police'!O16</f>
        <v>194085.21099879415</v>
      </c>
      <c r="N16" s="233">
        <f t="shared" si="1"/>
        <v>1607127.0617851303</v>
      </c>
      <c r="O16" s="317">
        <f t="shared" si="2"/>
        <v>30380.762794889859</v>
      </c>
      <c r="P16" s="319"/>
    </row>
    <row r="17" spans="1:16" s="154" customFormat="1" x14ac:dyDescent="0.25">
      <c r="A17" s="151">
        <f>'B) D RI'!A18</f>
        <v>5412</v>
      </c>
      <c r="B17" s="152" t="str">
        <f>'B) D RI'!B18</f>
        <v>Rennaz</v>
      </c>
      <c r="C17" s="315">
        <f>'B) D RI'!S18</f>
        <v>69</v>
      </c>
      <c r="D17" s="153">
        <f>'B) D RI'!AA18</f>
        <v>889</v>
      </c>
      <c r="E17" s="313">
        <f>'D) Ecrêtage'!C16</f>
        <v>24274.281449275361</v>
      </c>
      <c r="F17" s="317">
        <f>'E) Fact soc'!G22</f>
        <v>630929.94476936117</v>
      </c>
      <c r="G17" s="314">
        <f>'H) Péréquation directe'!I27</f>
        <v>665.71095895790495</v>
      </c>
      <c r="H17" s="317">
        <f>+'I) Dépenses thématiques'!T16</f>
        <v>-89029.850217391315</v>
      </c>
      <c r="I17" s="314">
        <f>'K) Plafonnement aide'!J16</f>
        <v>0</v>
      </c>
      <c r="J17" s="317">
        <f>'J) Plafonnement effort'!J16</f>
        <v>0</v>
      </c>
      <c r="K17" s="314">
        <f>'L) Plafonnement taux'!Q17</f>
        <v>0</v>
      </c>
      <c r="L17" s="312">
        <f t="shared" si="0"/>
        <v>542565.80551092781</v>
      </c>
      <c r="M17" s="233">
        <f>'M) Police'!O17</f>
        <v>69571.131657211648</v>
      </c>
      <c r="N17" s="233">
        <f t="shared" si="1"/>
        <v>612136.9371681395</v>
      </c>
      <c r="O17" s="317">
        <f t="shared" si="2"/>
        <v>-88364.13925843341</v>
      </c>
      <c r="P17" s="319"/>
    </row>
    <row r="18" spans="1:16" s="154" customFormat="1" x14ac:dyDescent="0.25">
      <c r="A18" s="151">
        <f>'B) D RI'!A19</f>
        <v>5413</v>
      </c>
      <c r="B18" s="152" t="str">
        <f>'B) D RI'!B19</f>
        <v>Roche</v>
      </c>
      <c r="C18" s="315">
        <f>'B) D RI'!S19</f>
        <v>68</v>
      </c>
      <c r="D18" s="153">
        <f>'B) D RI'!AA19</f>
        <v>1868</v>
      </c>
      <c r="E18" s="313">
        <f>'D) Ecrêtage'!C17</f>
        <v>48007.468357843129</v>
      </c>
      <c r="F18" s="317">
        <f>'E) Fact soc'!G23</f>
        <v>871395.67222638091</v>
      </c>
      <c r="G18" s="314">
        <f>'H) Péréquation directe'!I28</f>
        <v>-283999.95806668384</v>
      </c>
      <c r="H18" s="317">
        <f>+'I) Dépenses thématiques'!T17</f>
        <v>0</v>
      </c>
      <c r="I18" s="314">
        <f>'K) Plafonnement aide'!J17</f>
        <v>0</v>
      </c>
      <c r="J18" s="317">
        <f>'J) Plafonnement effort'!J17</f>
        <v>0</v>
      </c>
      <c r="K18" s="314">
        <f>'L) Plafonnement taux'!Q18</f>
        <v>0</v>
      </c>
      <c r="L18" s="312">
        <f t="shared" si="0"/>
        <v>587395.71415969706</v>
      </c>
      <c r="M18" s="233">
        <f>'M) Police'!O18</f>
        <v>142603.69929724027</v>
      </c>
      <c r="N18" s="233">
        <f t="shared" si="1"/>
        <v>729999.4134569373</v>
      </c>
      <c r="O18" s="317">
        <f t="shared" si="2"/>
        <v>-283999.95806668384</v>
      </c>
      <c r="P18" s="319"/>
    </row>
    <row r="19" spans="1:16" s="154" customFormat="1" x14ac:dyDescent="0.25">
      <c r="A19" s="151">
        <f>'B) D RI'!A20</f>
        <v>5414</v>
      </c>
      <c r="B19" s="152" t="str">
        <f>'B) D RI'!B20</f>
        <v>Villeneuve</v>
      </c>
      <c r="C19" s="315">
        <f>'B) D RI'!S20</f>
        <v>67.5</v>
      </c>
      <c r="D19" s="153">
        <f>'B) D RI'!AA20</f>
        <v>5837</v>
      </c>
      <c r="E19" s="313">
        <f>'D) Ecrêtage'!C18</f>
        <v>159468.65911111108</v>
      </c>
      <c r="F19" s="317">
        <f>'E) Fact soc'!G24</f>
        <v>3034530.5167182516</v>
      </c>
      <c r="G19" s="314">
        <f>'H) Péréquation directe'!I29</f>
        <v>-1476991.6255055014</v>
      </c>
      <c r="H19" s="317">
        <f>+'I) Dépenses thématiques'!T18</f>
        <v>-2441106.051</v>
      </c>
      <c r="I19" s="314">
        <f>'K) Plafonnement aide'!J18</f>
        <v>0</v>
      </c>
      <c r="J19" s="317">
        <f>'J) Plafonnement effort'!J18</f>
        <v>0</v>
      </c>
      <c r="K19" s="314">
        <f>'L) Plafonnement taux'!Q19</f>
        <v>0</v>
      </c>
      <c r="L19" s="312">
        <f t="shared" si="0"/>
        <v>-883567.15978724975</v>
      </c>
      <c r="M19" s="233">
        <f>'M) Police'!O19</f>
        <v>464676.98895298212</v>
      </c>
      <c r="N19" s="233">
        <f t="shared" si="1"/>
        <v>-418890.17083426763</v>
      </c>
      <c r="O19" s="317">
        <f t="shared" si="2"/>
        <v>-3918097.6765055014</v>
      </c>
      <c r="P19" s="319"/>
    </row>
    <row r="20" spans="1:16" s="154" customFormat="1" x14ac:dyDescent="0.25">
      <c r="A20" s="151">
        <f>'B) D RI'!A21</f>
        <v>5415</v>
      </c>
      <c r="B20" s="152" t="str">
        <f>'B) D RI'!B21</f>
        <v>Yvorne</v>
      </c>
      <c r="C20" s="315">
        <f>'B) D RI'!S21</f>
        <v>71.5</v>
      </c>
      <c r="D20" s="153">
        <f>'B) D RI'!AA21</f>
        <v>1070</v>
      </c>
      <c r="E20" s="313">
        <f>'D) Ecrêtage'!C19</f>
        <v>38155.020093240091</v>
      </c>
      <c r="F20" s="317">
        <f>'E) Fact soc'!G25</f>
        <v>698787.83639668697</v>
      </c>
      <c r="G20" s="314">
        <f>'H) Péréquation directe'!I30</f>
        <v>308349.21045519912</v>
      </c>
      <c r="H20" s="317">
        <f>+'I) Dépenses thématiques'!T19</f>
        <v>-177917.8643706294</v>
      </c>
      <c r="I20" s="314">
        <f>'K) Plafonnement aide'!J19</f>
        <v>0</v>
      </c>
      <c r="J20" s="317">
        <f>'J) Plafonnement effort'!J19</f>
        <v>0</v>
      </c>
      <c r="K20" s="314">
        <f>'L) Plafonnement taux'!Q20</f>
        <v>0</v>
      </c>
      <c r="L20" s="312">
        <f t="shared" si="0"/>
        <v>829219.18248125666</v>
      </c>
      <c r="M20" s="233">
        <f>'M) Police'!O20</f>
        <v>114108.41980532315</v>
      </c>
      <c r="N20" s="233">
        <f t="shared" si="1"/>
        <v>943327.60228657979</v>
      </c>
      <c r="O20" s="317">
        <f t="shared" si="2"/>
        <v>130431.34608456973</v>
      </c>
      <c r="P20" s="319"/>
    </row>
    <row r="21" spans="1:16" s="154" customFormat="1" x14ac:dyDescent="0.25">
      <c r="A21" s="151">
        <f>'B) D RI'!A22</f>
        <v>5421</v>
      </c>
      <c r="B21" s="152" t="str">
        <f>'B) D RI'!B22</f>
        <v>Apples</v>
      </c>
      <c r="C21" s="315">
        <f>'B) D RI'!S22</f>
        <v>74</v>
      </c>
      <c r="D21" s="153">
        <f>'B) D RI'!AA22</f>
        <v>1457</v>
      </c>
      <c r="E21" s="313">
        <f>'D) Ecrêtage'!C20</f>
        <v>66313.601621621623</v>
      </c>
      <c r="F21" s="317">
        <f>'E) Fact soc'!G26</f>
        <v>998180.19375907292</v>
      </c>
      <c r="G21" s="314">
        <f>'H) Péréquation directe'!I31</f>
        <v>903175.11435195012</v>
      </c>
      <c r="H21" s="317">
        <f>+'I) Dépenses thématiques'!T20</f>
        <v>-507739.64027027029</v>
      </c>
      <c r="I21" s="314">
        <f>'K) Plafonnement aide'!J20</f>
        <v>0</v>
      </c>
      <c r="J21" s="317">
        <f>'J) Plafonnement effort'!J20</f>
        <v>0</v>
      </c>
      <c r="K21" s="314">
        <f>'L) Plafonnement taux'!Q21</f>
        <v>0</v>
      </c>
      <c r="L21" s="312">
        <f t="shared" si="0"/>
        <v>1393615.6678407528</v>
      </c>
      <c r="M21" s="233">
        <f>'M) Police'!O21</f>
        <v>202032.93621213676</v>
      </c>
      <c r="N21" s="233">
        <f t="shared" si="1"/>
        <v>1595648.6040528896</v>
      </c>
      <c r="O21" s="317">
        <f t="shared" si="2"/>
        <v>395435.47408167983</v>
      </c>
      <c r="P21" s="319"/>
    </row>
    <row r="22" spans="1:16" s="154" customFormat="1" x14ac:dyDescent="0.25">
      <c r="A22" s="151">
        <f>'B) D RI'!A23</f>
        <v>5422</v>
      </c>
      <c r="B22" s="152" t="str">
        <f>'B) D RI'!B23</f>
        <v>Aubonne</v>
      </c>
      <c r="C22" s="315">
        <f>'B) D RI'!S23</f>
        <v>68.5</v>
      </c>
      <c r="D22" s="153">
        <f>'B) D RI'!AA23</f>
        <v>3241</v>
      </c>
      <c r="E22" s="313">
        <f>'D) Ecrêtage'!C21</f>
        <v>242388.1994160584</v>
      </c>
      <c r="F22" s="317">
        <f>'E) Fact soc'!G27</f>
        <v>5713932.9845837923</v>
      </c>
      <c r="G22" s="314">
        <f>'H) Péréquation directe'!I32</f>
        <v>3707247.6609021891</v>
      </c>
      <c r="H22" s="317">
        <f>+'I) Dépenses thématiques'!T21</f>
        <v>0</v>
      </c>
      <c r="I22" s="314">
        <f>'K) Plafonnement aide'!J21</f>
        <v>0</v>
      </c>
      <c r="J22" s="317">
        <f>'J) Plafonnement effort'!J21</f>
        <v>0</v>
      </c>
      <c r="K22" s="314">
        <f>'L) Plafonnement taux'!Q22</f>
        <v>0</v>
      </c>
      <c r="L22" s="312">
        <f t="shared" si="0"/>
        <v>9421180.6454859823</v>
      </c>
      <c r="M22" s="233">
        <f>'M) Police'!O22</f>
        <v>573235.93303133245</v>
      </c>
      <c r="N22" s="233">
        <f t="shared" si="1"/>
        <v>9994416.578517314</v>
      </c>
      <c r="O22" s="317">
        <f t="shared" si="2"/>
        <v>3707247.6609021891</v>
      </c>
      <c r="P22" s="319"/>
    </row>
    <row r="23" spans="1:16" s="154" customFormat="1" x14ac:dyDescent="0.25">
      <c r="A23" s="151">
        <f>'B) D RI'!A24</f>
        <v>5423</v>
      </c>
      <c r="B23" s="152" t="str">
        <f>'B) D RI'!B24</f>
        <v>Ballens</v>
      </c>
      <c r="C23" s="315">
        <f>'B) D RI'!S24</f>
        <v>73</v>
      </c>
      <c r="D23" s="153">
        <f>'B) D RI'!AA24</f>
        <v>562</v>
      </c>
      <c r="E23" s="313">
        <f>'D) Ecrêtage'!C22</f>
        <v>17114.745479452053</v>
      </c>
      <c r="F23" s="317">
        <f>'E) Fact soc'!G28</f>
        <v>270031.11508308817</v>
      </c>
      <c r="G23" s="314">
        <f>'H) Péréquation directe'!I33</f>
        <v>45432.726429744973</v>
      </c>
      <c r="H23" s="317">
        <f>+'I) Dépenses thématiques'!T22</f>
        <v>-139641.21801369864</v>
      </c>
      <c r="I23" s="314">
        <f>'K) Plafonnement aide'!J22</f>
        <v>0</v>
      </c>
      <c r="J23" s="317">
        <f>'J) Plafonnement effort'!J22</f>
        <v>0</v>
      </c>
      <c r="K23" s="314">
        <f>'L) Plafonnement taux'!Q23</f>
        <v>0</v>
      </c>
      <c r="L23" s="312">
        <f t="shared" si="0"/>
        <v>175822.6234991345</v>
      </c>
      <c r="M23" s="233">
        <f>'M) Police'!O23</f>
        <v>51995.523231012441</v>
      </c>
      <c r="N23" s="233">
        <f t="shared" si="1"/>
        <v>227818.14673014695</v>
      </c>
      <c r="O23" s="317">
        <f t="shared" si="2"/>
        <v>-94208.49158395367</v>
      </c>
      <c r="P23" s="319"/>
    </row>
    <row r="24" spans="1:16" s="154" customFormat="1" x14ac:dyDescent="0.25">
      <c r="A24" s="151">
        <f>'B) D RI'!A25</f>
        <v>5424</v>
      </c>
      <c r="B24" s="152" t="str">
        <f>'B) D RI'!B25</f>
        <v>Berolle</v>
      </c>
      <c r="C24" s="315">
        <f>'B) D RI'!S25</f>
        <v>75.5</v>
      </c>
      <c r="D24" s="153">
        <f>'B) D RI'!AA25</f>
        <v>313</v>
      </c>
      <c r="E24" s="313">
        <f>'D) Ecrêtage'!C23</f>
        <v>9114.9769536423846</v>
      </c>
      <c r="F24" s="317">
        <f>'E) Fact soc'!G29</f>
        <v>145105.80618564234</v>
      </c>
      <c r="G24" s="314">
        <f>'H) Péréquation directe'!I34</f>
        <v>-479.92328635745798</v>
      </c>
      <c r="H24" s="317">
        <f>+'I) Dépenses thématiques'!T23</f>
        <v>-46573.638278145692</v>
      </c>
      <c r="I24" s="314">
        <f>'K) Plafonnement aide'!J23</f>
        <v>0</v>
      </c>
      <c r="J24" s="317">
        <f>'J) Plafonnement effort'!J23</f>
        <v>0</v>
      </c>
      <c r="K24" s="314">
        <f>'L) Plafonnement taux'!Q24</f>
        <v>0</v>
      </c>
      <c r="L24" s="312">
        <f t="shared" si="0"/>
        <v>98052.244621139194</v>
      </c>
      <c r="M24" s="233">
        <f>'M) Police'!O24</f>
        <v>27580.858607291866</v>
      </c>
      <c r="N24" s="233">
        <f t="shared" si="1"/>
        <v>125633.10322843106</v>
      </c>
      <c r="O24" s="317">
        <f t="shared" si="2"/>
        <v>-47053.56156450315</v>
      </c>
      <c r="P24" s="319"/>
    </row>
    <row r="25" spans="1:16" s="154" customFormat="1" x14ac:dyDescent="0.25">
      <c r="A25" s="151">
        <f>'B) D RI'!A26</f>
        <v>5425</v>
      </c>
      <c r="B25" s="152" t="str">
        <f>'B) D RI'!B26</f>
        <v>Bière</v>
      </c>
      <c r="C25" s="315">
        <f>'B) D RI'!S26</f>
        <v>69</v>
      </c>
      <c r="D25" s="153">
        <f>'B) D RI'!AA26</f>
        <v>1627</v>
      </c>
      <c r="E25" s="313">
        <f>'D) Ecrêtage'!C24</f>
        <v>40211.969135432286</v>
      </c>
      <c r="F25" s="317">
        <f>'E) Fact soc'!G30</f>
        <v>686867.31148288108</v>
      </c>
      <c r="G25" s="314">
        <f>'H) Péréquation directe'!I35</f>
        <v>-299953.06502520188</v>
      </c>
      <c r="H25" s="317">
        <f>+'I) Dépenses thématiques'!T24</f>
        <v>-595788.20833583199</v>
      </c>
      <c r="I25" s="314">
        <f>'K) Plafonnement aide'!J24</f>
        <v>0</v>
      </c>
      <c r="J25" s="317">
        <f>'J) Plafonnement effort'!J24</f>
        <v>0</v>
      </c>
      <c r="K25" s="314">
        <f>'L) Plafonnement taux'!Q25</f>
        <v>0</v>
      </c>
      <c r="L25" s="312">
        <f t="shared" si="0"/>
        <v>-208873.9618781528</v>
      </c>
      <c r="M25" s="233">
        <f>'M) Police'!O25</f>
        <v>121987.11474450746</v>
      </c>
      <c r="N25" s="233">
        <f t="shared" si="1"/>
        <v>-86886.847133645337</v>
      </c>
      <c r="O25" s="317">
        <f t="shared" si="2"/>
        <v>-895741.27336103388</v>
      </c>
      <c r="P25" s="319"/>
    </row>
    <row r="26" spans="1:16" s="154" customFormat="1" x14ac:dyDescent="0.25">
      <c r="A26" s="151">
        <f>'B) D RI'!A27</f>
        <v>5426</v>
      </c>
      <c r="B26" s="152" t="str">
        <f>'B) D RI'!B27</f>
        <v>Bougy-Villars</v>
      </c>
      <c r="C26" s="315">
        <f>'B) D RI'!S27</f>
        <v>64.5</v>
      </c>
      <c r="D26" s="153">
        <f>'B) D RI'!AA27</f>
        <v>477</v>
      </c>
      <c r="E26" s="313">
        <f>'D) Ecrêtage'!C25</f>
        <v>55602.775012919898</v>
      </c>
      <c r="F26" s="317">
        <f>'E) Fact soc'!G31</f>
        <v>1695770.1312950472</v>
      </c>
      <c r="G26" s="314">
        <f>'H) Péréquation directe'!I36</f>
        <v>1006428.879596116</v>
      </c>
      <c r="H26" s="317">
        <f>+'I) Dépenses thématiques'!T25</f>
        <v>0</v>
      </c>
      <c r="I26" s="314">
        <f>'K) Plafonnement aide'!J25</f>
        <v>0</v>
      </c>
      <c r="J26" s="317">
        <f>'J) Plafonnement effort'!J25</f>
        <v>0</v>
      </c>
      <c r="K26" s="314">
        <f>'L) Plafonnement taux'!Q26</f>
        <v>0</v>
      </c>
      <c r="L26" s="312">
        <f t="shared" si="0"/>
        <v>2702199.0108911633</v>
      </c>
      <c r="M26" s="233">
        <f>'M) Police'!O26</f>
        <v>107776.47621192758</v>
      </c>
      <c r="N26" s="233">
        <f t="shared" si="1"/>
        <v>2809975.4871030906</v>
      </c>
      <c r="O26" s="317">
        <f t="shared" si="2"/>
        <v>1006428.879596116</v>
      </c>
      <c r="P26" s="319"/>
    </row>
    <row r="27" spans="1:16" s="154" customFormat="1" x14ac:dyDescent="0.25">
      <c r="A27" s="151">
        <f>'B) D RI'!A28</f>
        <v>5427</v>
      </c>
      <c r="B27" s="152" t="str">
        <f>'B) D RI'!B28</f>
        <v>Féchy</v>
      </c>
      <c r="C27" s="315">
        <f>'B) D RI'!S28</f>
        <v>64</v>
      </c>
      <c r="D27" s="153">
        <f>'B) D RI'!AA28</f>
        <v>869</v>
      </c>
      <c r="E27" s="313">
        <f>'D) Ecrêtage'!C26</f>
        <v>77020.028293269235</v>
      </c>
      <c r="F27" s="317">
        <f>'E) Fact soc'!G32</f>
        <v>1855545.8224665741</v>
      </c>
      <c r="G27" s="314">
        <f>'H) Péréquation directe'!I37</f>
        <v>1368264.4197907394</v>
      </c>
      <c r="H27" s="317">
        <f>+'I) Dépenses thématiques'!T26</f>
        <v>0</v>
      </c>
      <c r="I27" s="314">
        <f>'K) Plafonnement aide'!J26</f>
        <v>0</v>
      </c>
      <c r="J27" s="317">
        <f>'J) Plafonnement effort'!J26</f>
        <v>0</v>
      </c>
      <c r="K27" s="314">
        <f>'L) Plafonnement taux'!Q27</f>
        <v>0</v>
      </c>
      <c r="L27" s="312">
        <f t="shared" si="0"/>
        <v>3223810.2422573138</v>
      </c>
      <c r="M27" s="233">
        <f>'M) Police'!O27</f>
        <v>167830.18470047752</v>
      </c>
      <c r="N27" s="233">
        <f t="shared" si="1"/>
        <v>3391640.4269577912</v>
      </c>
      <c r="O27" s="317">
        <f t="shared" si="2"/>
        <v>1368264.4197907394</v>
      </c>
      <c r="P27" s="319"/>
    </row>
    <row r="28" spans="1:16" s="154" customFormat="1" x14ac:dyDescent="0.25">
      <c r="A28" s="151">
        <f>'B) D RI'!A29</f>
        <v>5428</v>
      </c>
      <c r="B28" s="152" t="str">
        <f>'B) D RI'!B29</f>
        <v>Gimel</v>
      </c>
      <c r="C28" s="315">
        <f>'B) D RI'!S29</f>
        <v>74.5</v>
      </c>
      <c r="D28" s="153">
        <f>'B) D RI'!AA29</f>
        <v>2307</v>
      </c>
      <c r="E28" s="313">
        <f>'D) Ecrêtage'!C27</f>
        <v>70193.222975391502</v>
      </c>
      <c r="F28" s="317">
        <f>'E) Fact soc'!G33</f>
        <v>1441074.1351725673</v>
      </c>
      <c r="G28" s="314">
        <f>'H) Péréquation directe'!I38</f>
        <v>-144077.00505621242</v>
      </c>
      <c r="H28" s="317">
        <f>+'I) Dépenses thématiques'!T27</f>
        <v>-251071.49491610736</v>
      </c>
      <c r="I28" s="314">
        <f>'K) Plafonnement aide'!J27</f>
        <v>0</v>
      </c>
      <c r="J28" s="317">
        <f>'J) Plafonnement effort'!J27</f>
        <v>0</v>
      </c>
      <c r="K28" s="314">
        <f>'L) Plafonnement taux'!Q28</f>
        <v>0</v>
      </c>
      <c r="L28" s="312">
        <f t="shared" si="0"/>
        <v>1045925.6352002475</v>
      </c>
      <c r="M28" s="233">
        <f>'M) Police'!O28</f>
        <v>212181.66413629783</v>
      </c>
      <c r="N28" s="233">
        <f t="shared" si="1"/>
        <v>1258107.2993365454</v>
      </c>
      <c r="O28" s="317">
        <f t="shared" si="2"/>
        <v>-395148.49997231981</v>
      </c>
      <c r="P28" s="319"/>
    </row>
    <row r="29" spans="1:16" s="154" customFormat="1" x14ac:dyDescent="0.25">
      <c r="A29" s="151">
        <f>'B) D RI'!A30</f>
        <v>5429</v>
      </c>
      <c r="B29" s="152" t="str">
        <f>'B) D RI'!B30</f>
        <v>Longirod</v>
      </c>
      <c r="C29" s="315">
        <f>'B) D RI'!S30</f>
        <v>77.5</v>
      </c>
      <c r="D29" s="153">
        <f>'B) D RI'!AA30</f>
        <v>494</v>
      </c>
      <c r="E29" s="313">
        <f>'D) Ecrêtage'!C28</f>
        <v>16140.77393548387</v>
      </c>
      <c r="F29" s="317">
        <f>'E) Fact soc'!G34</f>
        <v>264749.12640232185</v>
      </c>
      <c r="G29" s="314">
        <f>'H) Péréquation directe'!I39</f>
        <v>63607.007232236036</v>
      </c>
      <c r="H29" s="317">
        <f>+'I) Dépenses thématiques'!T28</f>
        <v>-122731.52593548388</v>
      </c>
      <c r="I29" s="314">
        <f>'K) Plafonnement aide'!J28</f>
        <v>0</v>
      </c>
      <c r="J29" s="317">
        <f>'J) Plafonnement effort'!J28</f>
        <v>0</v>
      </c>
      <c r="K29" s="314">
        <f>'L) Plafonnement taux'!Q29</f>
        <v>0</v>
      </c>
      <c r="L29" s="312">
        <f t="shared" si="0"/>
        <v>205624.60769907403</v>
      </c>
      <c r="M29" s="233">
        <f>'M) Police'!O29</f>
        <v>48514.219527735659</v>
      </c>
      <c r="N29" s="233">
        <f t="shared" si="1"/>
        <v>254138.82722680969</v>
      </c>
      <c r="O29" s="317">
        <f t="shared" si="2"/>
        <v>-59124.518703247842</v>
      </c>
      <c r="P29" s="319"/>
    </row>
    <row r="30" spans="1:16" s="154" customFormat="1" x14ac:dyDescent="0.25">
      <c r="A30" s="151">
        <f>'B) D RI'!A31</f>
        <v>5430</v>
      </c>
      <c r="B30" s="152" t="str">
        <f>'B) D RI'!B31</f>
        <v>Marchissy</v>
      </c>
      <c r="C30" s="315">
        <f>'B) D RI'!S31</f>
        <v>77.5</v>
      </c>
      <c r="D30" s="153">
        <f>'B) D RI'!AA31</f>
        <v>481</v>
      </c>
      <c r="E30" s="313">
        <f>'D) Ecrêtage'!C29</f>
        <v>14848.450709677421</v>
      </c>
      <c r="F30" s="317">
        <f>'E) Fact soc'!G35</f>
        <v>244564.96261596799</v>
      </c>
      <c r="G30" s="314">
        <f>'H) Péréquation directe'!I40</f>
        <v>24401.025331301556</v>
      </c>
      <c r="H30" s="317">
        <f>+'I) Dépenses thématiques'!T29</f>
        <v>-368000.9577096774</v>
      </c>
      <c r="I30" s="314">
        <f>'K) Plafonnement aide'!J29</f>
        <v>0</v>
      </c>
      <c r="J30" s="317">
        <f>'J) Plafonnement effort'!J29</f>
        <v>0</v>
      </c>
      <c r="K30" s="314">
        <f>'L) Plafonnement taux'!Q30</f>
        <v>0</v>
      </c>
      <c r="L30" s="312">
        <f t="shared" si="0"/>
        <v>-99034.969762407825</v>
      </c>
      <c r="M30" s="233">
        <f>'M) Police'!O30</f>
        <v>44689.289035056441</v>
      </c>
      <c r="N30" s="233">
        <f t="shared" si="1"/>
        <v>-54345.680727351384</v>
      </c>
      <c r="O30" s="317">
        <f t="shared" si="2"/>
        <v>-343599.93237837584</v>
      </c>
      <c r="P30" s="319"/>
    </row>
    <row r="31" spans="1:16" s="154" customFormat="1" x14ac:dyDescent="0.25">
      <c r="A31" s="151">
        <f>'B) D RI'!A32</f>
        <v>5431</v>
      </c>
      <c r="B31" s="152" t="str">
        <f>'B) D RI'!B32</f>
        <v>Mollens</v>
      </c>
      <c r="C31" s="315">
        <f>'B) D RI'!S32</f>
        <v>74</v>
      </c>
      <c r="D31" s="153">
        <f>'B) D RI'!AA32</f>
        <v>330</v>
      </c>
      <c r="E31" s="313">
        <f>'D) Ecrêtage'!C30</f>
        <v>9333.4747297297308</v>
      </c>
      <c r="F31" s="317">
        <f>'E) Fact soc'!G36</f>
        <v>212755.2158720911</v>
      </c>
      <c r="G31" s="314">
        <f>'H) Péréquation directe'!I41</f>
        <v>-6226.8259283067018</v>
      </c>
      <c r="H31" s="317">
        <f>+'I) Dépenses thématiques'!T30</f>
        <v>-74161.295574324322</v>
      </c>
      <c r="I31" s="314">
        <f>'K) Plafonnement aide'!J30</f>
        <v>0</v>
      </c>
      <c r="J31" s="317">
        <f>'J) Plafonnement effort'!J30</f>
        <v>0</v>
      </c>
      <c r="K31" s="314">
        <f>'L) Plafonnement taux'!Q31</f>
        <v>0</v>
      </c>
      <c r="L31" s="312">
        <f t="shared" si="0"/>
        <v>132367.09436946007</v>
      </c>
      <c r="M31" s="233">
        <f>'M) Police'!O31</f>
        <v>28221.843621044143</v>
      </c>
      <c r="N31" s="233">
        <f t="shared" si="1"/>
        <v>160588.9379905042</v>
      </c>
      <c r="O31" s="317">
        <f t="shared" si="2"/>
        <v>-80388.121502631024</v>
      </c>
      <c r="P31" s="319"/>
    </row>
    <row r="32" spans="1:16" s="154" customFormat="1" x14ac:dyDescent="0.25">
      <c r="A32" s="151">
        <f>'B) D RI'!A33</f>
        <v>5432</v>
      </c>
      <c r="B32" s="152" t="str">
        <f>'B) D RI'!B33</f>
        <v>Montherod</v>
      </c>
      <c r="C32" s="315">
        <f>'B) D RI'!S33</f>
        <v>75</v>
      </c>
      <c r="D32" s="153">
        <f>'B) D RI'!AA33</f>
        <v>523</v>
      </c>
      <c r="E32" s="313">
        <f>'D) Ecrêtage'!C31</f>
        <v>16429.509999999998</v>
      </c>
      <c r="F32" s="317">
        <f>'E) Fact soc'!G37</f>
        <v>282243.64438863192</v>
      </c>
      <c r="G32" s="314">
        <f>'H) Péréquation directe'!I42</f>
        <v>52244.361783663626</v>
      </c>
      <c r="H32" s="317">
        <f>+'I) Dépenses thématiques'!T31</f>
        <v>-36981.69000000001</v>
      </c>
      <c r="I32" s="314">
        <f>'K) Plafonnement aide'!J31</f>
        <v>0</v>
      </c>
      <c r="J32" s="317">
        <f>'J) Plafonnement effort'!J31</f>
        <v>0</v>
      </c>
      <c r="K32" s="314">
        <f>'L) Plafonnement taux'!Q32</f>
        <v>0</v>
      </c>
      <c r="L32" s="312">
        <f t="shared" si="0"/>
        <v>297506.31617229554</v>
      </c>
      <c r="M32" s="233">
        <f>'M) Police'!O32</f>
        <v>49470.682985067338</v>
      </c>
      <c r="N32" s="233">
        <f t="shared" si="1"/>
        <v>346976.99915736285</v>
      </c>
      <c r="O32" s="317">
        <f t="shared" si="2"/>
        <v>15262.671783663616</v>
      </c>
      <c r="P32" s="319"/>
    </row>
    <row r="33" spans="1:16" s="154" customFormat="1" x14ac:dyDescent="0.25">
      <c r="A33" s="151">
        <f>'B) D RI'!A34</f>
        <v>5434</v>
      </c>
      <c r="B33" s="152" t="str">
        <f>'B) D RI'!B34</f>
        <v>Saint-George</v>
      </c>
      <c r="C33" s="315">
        <f>'B) D RI'!S34</f>
        <v>69.5</v>
      </c>
      <c r="D33" s="153">
        <f>'B) D RI'!AA34</f>
        <v>1074</v>
      </c>
      <c r="E33" s="313">
        <f>'D) Ecrêtage'!C32</f>
        <v>40796.774220623498</v>
      </c>
      <c r="F33" s="317">
        <f>'E) Fact soc'!G38</f>
        <v>666217.45320125658</v>
      </c>
      <c r="G33" s="314">
        <f>'H) Péréquation directe'!I43</f>
        <v>420193.36487809673</v>
      </c>
      <c r="H33" s="317">
        <f>+'I) Dépenses thématiques'!T32</f>
        <v>-54957.169334532373</v>
      </c>
      <c r="I33" s="314">
        <f>'K) Plafonnement aide'!J32</f>
        <v>0</v>
      </c>
      <c r="J33" s="317">
        <f>'J) Plafonnement effort'!J32</f>
        <v>0</v>
      </c>
      <c r="K33" s="314">
        <f>'L) Plafonnement taux'!Q33</f>
        <v>0</v>
      </c>
      <c r="L33" s="312">
        <f t="shared" si="0"/>
        <v>1031453.648744821</v>
      </c>
      <c r="M33" s="233">
        <f>'M) Police'!O33</f>
        <v>122682.91169493922</v>
      </c>
      <c r="N33" s="233">
        <f t="shared" si="1"/>
        <v>1154136.5604397601</v>
      </c>
      <c r="O33" s="317">
        <f t="shared" si="2"/>
        <v>365236.19554356439</v>
      </c>
      <c r="P33" s="319"/>
    </row>
    <row r="34" spans="1:16" s="154" customFormat="1" x14ac:dyDescent="0.25">
      <c r="A34" s="151">
        <f>'B) D RI'!A35</f>
        <v>5435</v>
      </c>
      <c r="B34" s="152" t="str">
        <f>'B) D RI'!B35</f>
        <v>Saint-Livres</v>
      </c>
      <c r="C34" s="315">
        <f>'B) D RI'!S35</f>
        <v>69</v>
      </c>
      <c r="D34" s="153">
        <f>'B) D RI'!AA35</f>
        <v>683</v>
      </c>
      <c r="E34" s="313">
        <f>'D) Ecrêtage'!C33</f>
        <v>26346.510144927532</v>
      </c>
      <c r="F34" s="317">
        <f>'E) Fact soc'!G39</f>
        <v>425661.82819980953</v>
      </c>
      <c r="G34" s="314">
        <f>'H) Péréquation directe'!I44</f>
        <v>295043.63035584945</v>
      </c>
      <c r="H34" s="317">
        <f>+'I) Dépenses thématiques'!T33</f>
        <v>-40491.68913043481</v>
      </c>
      <c r="I34" s="314">
        <f>'K) Plafonnement aide'!J33</f>
        <v>0</v>
      </c>
      <c r="J34" s="317">
        <f>'J) Plafonnement effort'!J33</f>
        <v>0</v>
      </c>
      <c r="K34" s="314">
        <f>'L) Plafonnement taux'!Q34</f>
        <v>0</v>
      </c>
      <c r="L34" s="312">
        <f t="shared" si="0"/>
        <v>680213.76942522428</v>
      </c>
      <c r="M34" s="233">
        <f>'M) Police'!O34</f>
        <v>79992.596536477591</v>
      </c>
      <c r="N34" s="233">
        <f t="shared" si="1"/>
        <v>760206.36596170184</v>
      </c>
      <c r="O34" s="317">
        <f t="shared" si="2"/>
        <v>254551.94122541463</v>
      </c>
      <c r="P34" s="319"/>
    </row>
    <row r="35" spans="1:16" s="154" customFormat="1" x14ac:dyDescent="0.25">
      <c r="A35" s="151">
        <f>'B) D RI'!A36</f>
        <v>5436</v>
      </c>
      <c r="B35" s="152" t="str">
        <f>'B) D RI'!B36</f>
        <v>Saint-Oyens</v>
      </c>
      <c r="C35" s="315">
        <f>'B) D RI'!S36</f>
        <v>81</v>
      </c>
      <c r="D35" s="153">
        <f>'B) D RI'!AA36</f>
        <v>461</v>
      </c>
      <c r="E35" s="313">
        <f>'D) Ecrêtage'!C34</f>
        <v>16755.63848765432</v>
      </c>
      <c r="F35" s="317">
        <f>'E) Fact soc'!G40</f>
        <v>257285.63680064943</v>
      </c>
      <c r="G35" s="314">
        <f>'H) Péréquation directe'!I45</f>
        <v>120472.6428907587</v>
      </c>
      <c r="H35" s="317">
        <f>+'I) Dépenses thématiques'!T34</f>
        <v>0</v>
      </c>
      <c r="I35" s="314">
        <f>'K) Plafonnement aide'!J34</f>
        <v>0</v>
      </c>
      <c r="J35" s="317">
        <f>'J) Plafonnement effort'!J34</f>
        <v>0</v>
      </c>
      <c r="K35" s="314">
        <f>'L) Plafonnement taux'!Q35</f>
        <v>0</v>
      </c>
      <c r="L35" s="312">
        <f t="shared" si="0"/>
        <v>377758.27969140816</v>
      </c>
      <c r="M35" s="233">
        <f>'M) Police'!O35</f>
        <v>51036.60573995889</v>
      </c>
      <c r="N35" s="233">
        <f t="shared" si="1"/>
        <v>428794.88543136703</v>
      </c>
      <c r="O35" s="317">
        <f t="shared" si="2"/>
        <v>120472.6428907587</v>
      </c>
      <c r="P35" s="319"/>
    </row>
    <row r="36" spans="1:16" s="154" customFormat="1" x14ac:dyDescent="0.25">
      <c r="A36" s="151">
        <f>'B) D RI'!A37</f>
        <v>5437</v>
      </c>
      <c r="B36" s="152" t="str">
        <f>'B) D RI'!B37</f>
        <v>Saubraz</v>
      </c>
      <c r="C36" s="315">
        <f>'B) D RI'!S37</f>
        <v>80</v>
      </c>
      <c r="D36" s="153">
        <f>'B) D RI'!AA37</f>
        <v>423</v>
      </c>
      <c r="E36" s="313">
        <f>'D) Ecrêtage'!C35</f>
        <v>13391.905875</v>
      </c>
      <c r="F36" s="317">
        <f>'E) Fact soc'!G41</f>
        <v>234708.5287260167</v>
      </c>
      <c r="G36" s="314">
        <f>'H) Péréquation directe'!I46</f>
        <v>24871.733167522063</v>
      </c>
      <c r="H36" s="317">
        <f>+'I) Dépenses thématiques'!T35</f>
        <v>-14906.064749999998</v>
      </c>
      <c r="I36" s="314">
        <f>'K) Plafonnement aide'!J35</f>
        <v>0</v>
      </c>
      <c r="J36" s="317">
        <f>'J) Plafonnement effort'!J35</f>
        <v>0</v>
      </c>
      <c r="K36" s="314">
        <f>'L) Plafonnement taux'!Q36</f>
        <v>0</v>
      </c>
      <c r="L36" s="312">
        <f t="shared" si="0"/>
        <v>244674.19714353877</v>
      </c>
      <c r="M36" s="233">
        <f>'M) Police'!O36</f>
        <v>40770.690177759891</v>
      </c>
      <c r="N36" s="233">
        <f t="shared" si="1"/>
        <v>285444.88732129865</v>
      </c>
      <c r="O36" s="317">
        <f t="shared" si="2"/>
        <v>9965.6684175220653</v>
      </c>
      <c r="P36" s="319"/>
    </row>
    <row r="37" spans="1:16" s="154" customFormat="1" x14ac:dyDescent="0.25">
      <c r="A37" s="151">
        <f>'B) D RI'!A38</f>
        <v>5451</v>
      </c>
      <c r="B37" s="152" t="str">
        <f>'B) D RI'!B38</f>
        <v>Avenches</v>
      </c>
      <c r="C37" s="315">
        <f>'B) D RI'!S38</f>
        <v>66.5</v>
      </c>
      <c r="D37" s="153">
        <f>'B) D RI'!AA38</f>
        <v>4482</v>
      </c>
      <c r="E37" s="313">
        <f>'D) Ecrêtage'!C36</f>
        <v>129500.81187969925</v>
      </c>
      <c r="F37" s="317">
        <f>'E) Fact soc'!G42</f>
        <v>2222140.2158954246</v>
      </c>
      <c r="G37" s="314">
        <f>'H) Péréquation directe'!I47</f>
        <v>-604466.77899071341</v>
      </c>
      <c r="H37" s="317">
        <f>+'I) Dépenses thématiques'!T36</f>
        <v>-1370986.1287218046</v>
      </c>
      <c r="I37" s="314">
        <f>'K) Plafonnement aide'!J36</f>
        <v>0</v>
      </c>
      <c r="J37" s="317">
        <f>'J) Plafonnement effort'!J36</f>
        <v>0</v>
      </c>
      <c r="K37" s="314">
        <f>'L) Plafonnement taux'!Q37</f>
        <v>0</v>
      </c>
      <c r="L37" s="312">
        <f t="shared" si="0"/>
        <v>246687.30818290659</v>
      </c>
      <c r="M37" s="233">
        <f>'M) Police'!O37</f>
        <v>376577.15539528697</v>
      </c>
      <c r="N37" s="233">
        <f t="shared" si="1"/>
        <v>623264.46357819356</v>
      </c>
      <c r="O37" s="317">
        <f t="shared" si="2"/>
        <v>-1975452.907712518</v>
      </c>
      <c r="P37" s="319"/>
    </row>
    <row r="38" spans="1:16" s="154" customFormat="1" x14ac:dyDescent="0.25">
      <c r="A38" s="151">
        <f>'B) D RI'!A39</f>
        <v>5456</v>
      </c>
      <c r="B38" s="152" t="str">
        <f>'B) D RI'!B39</f>
        <v>Cudrefin</v>
      </c>
      <c r="C38" s="315">
        <f>'B) D RI'!S39</f>
        <v>59</v>
      </c>
      <c r="D38" s="153">
        <f>'B) D RI'!AA39</f>
        <v>1780</v>
      </c>
      <c r="E38" s="313">
        <f>'D) Ecrêtage'!C37</f>
        <v>64226.933276836171</v>
      </c>
      <c r="F38" s="317">
        <f>'E) Fact soc'!G43</f>
        <v>1050337.9907301257</v>
      </c>
      <c r="G38" s="314">
        <f>'H) Péréquation directe'!I48</f>
        <v>535580.73544656765</v>
      </c>
      <c r="H38" s="317">
        <f>+'I) Dépenses thématiques'!T37</f>
        <v>-233707.90033898299</v>
      </c>
      <c r="I38" s="314">
        <f>'K) Plafonnement aide'!J37</f>
        <v>0</v>
      </c>
      <c r="J38" s="317">
        <f>'J) Plafonnement effort'!J37</f>
        <v>0</v>
      </c>
      <c r="K38" s="314">
        <f>'L) Plafonnement taux'!Q38</f>
        <v>0</v>
      </c>
      <c r="L38" s="312">
        <f t="shared" si="0"/>
        <v>1352210.8258377104</v>
      </c>
      <c r="M38" s="233">
        <f>'M) Police'!O38</f>
        <v>192566.04050946236</v>
      </c>
      <c r="N38" s="233">
        <f t="shared" si="1"/>
        <v>1544776.8663471728</v>
      </c>
      <c r="O38" s="317">
        <f t="shared" si="2"/>
        <v>301872.83510758466</v>
      </c>
      <c r="P38" s="319"/>
    </row>
    <row r="39" spans="1:16" s="154" customFormat="1" x14ac:dyDescent="0.25">
      <c r="A39" s="151">
        <f>'B) D RI'!A40</f>
        <v>5458</v>
      </c>
      <c r="B39" s="152" t="str">
        <f>'B) D RI'!B40</f>
        <v>Faoug</v>
      </c>
      <c r="C39" s="315">
        <f>'B) D RI'!S40</f>
        <v>66</v>
      </c>
      <c r="D39" s="153">
        <f>'B) D RI'!AA40</f>
        <v>881</v>
      </c>
      <c r="E39" s="313">
        <f>'D) Ecrêtage'!C38</f>
        <v>32198.404090909091</v>
      </c>
      <c r="F39" s="317">
        <f>'E) Fact soc'!G44</f>
        <v>517602.24189887341</v>
      </c>
      <c r="G39" s="314">
        <f>'H) Péréquation directe'!I49</f>
        <v>328874.91830026335</v>
      </c>
      <c r="H39" s="317">
        <f>+'I) Dépenses thématiques'!T38</f>
        <v>-105643.32545454545</v>
      </c>
      <c r="I39" s="314">
        <f>'K) Plafonnement aide'!J38</f>
        <v>0</v>
      </c>
      <c r="J39" s="317">
        <f>'J) Plafonnement effort'!J38</f>
        <v>0</v>
      </c>
      <c r="K39" s="314">
        <f>'L) Plafonnement taux'!Q39</f>
        <v>0</v>
      </c>
      <c r="L39" s="312">
        <f t="shared" si="0"/>
        <v>740833.83474459127</v>
      </c>
      <c r="M39" s="233">
        <f>'M) Police'!O39</f>
        <v>95360.537425289105</v>
      </c>
      <c r="N39" s="233">
        <f t="shared" si="1"/>
        <v>836194.37216988043</v>
      </c>
      <c r="O39" s="317">
        <f t="shared" si="2"/>
        <v>223231.59284571791</v>
      </c>
      <c r="P39" s="319"/>
    </row>
    <row r="40" spans="1:16" s="154" customFormat="1" x14ac:dyDescent="0.25">
      <c r="A40" s="151">
        <f>'B) D RI'!A41</f>
        <v>5464</v>
      </c>
      <c r="B40" s="152" t="str">
        <f>'B) D RI'!B41</f>
        <v>Vully-les-Lacs</v>
      </c>
      <c r="C40" s="315">
        <f>'B) D RI'!S41</f>
        <v>67</v>
      </c>
      <c r="D40" s="153">
        <f>'B) D RI'!AA41</f>
        <v>3360</v>
      </c>
      <c r="E40" s="313">
        <f>'D) Ecrêtage'!C39</f>
        <v>111597.31895522389</v>
      </c>
      <c r="F40" s="317">
        <f>'E) Fact soc'!G45</f>
        <v>1740133.7180594238</v>
      </c>
      <c r="G40" s="314">
        <f>'H) Péréquation directe'!I50</f>
        <v>236707.51185056055</v>
      </c>
      <c r="H40" s="317">
        <f>+'I) Dépenses thématiques'!T39</f>
        <v>-351477.33626865665</v>
      </c>
      <c r="I40" s="314">
        <f>'K) Plafonnement aide'!J39</f>
        <v>0</v>
      </c>
      <c r="J40" s="317">
        <f>'J) Plafonnement effort'!J39</f>
        <v>0</v>
      </c>
      <c r="K40" s="314">
        <f>'L) Plafonnement taux'!Q40</f>
        <v>0</v>
      </c>
      <c r="L40" s="312">
        <f t="shared" si="0"/>
        <v>1625363.8936413277</v>
      </c>
      <c r="M40" s="233">
        <f>'M) Police'!O40</f>
        <v>333461.5756150526</v>
      </c>
      <c r="N40" s="233">
        <f t="shared" si="1"/>
        <v>1958825.4692563803</v>
      </c>
      <c r="O40" s="317">
        <f t="shared" si="2"/>
        <v>-114769.8244180961</v>
      </c>
      <c r="P40" s="319"/>
    </row>
    <row r="41" spans="1:16" s="154" customFormat="1" x14ac:dyDescent="0.25">
      <c r="A41" s="151">
        <f>'B) D RI'!A42</f>
        <v>5471</v>
      </c>
      <c r="B41" s="152" t="str">
        <f>'B) D RI'!B42</f>
        <v>Bettens</v>
      </c>
      <c r="C41" s="315">
        <f>'B) D RI'!S42</f>
        <v>70</v>
      </c>
      <c r="D41" s="153">
        <f>'B) D RI'!AA42</f>
        <v>636</v>
      </c>
      <c r="E41" s="313">
        <f>'D) Ecrêtage'!C40</f>
        <v>20385.282730158731</v>
      </c>
      <c r="F41" s="317">
        <f>'E) Fact soc'!G46</f>
        <v>310700.391942747</v>
      </c>
      <c r="G41" s="314">
        <f>'H) Péréquation directe'!I51</f>
        <v>110290.92464166251</v>
      </c>
      <c r="H41" s="317">
        <f>+'I) Dépenses thématiques'!T40</f>
        <v>-22073.053619047612</v>
      </c>
      <c r="I41" s="314">
        <f>'K) Plafonnement aide'!J40</f>
        <v>0</v>
      </c>
      <c r="J41" s="317">
        <f>'J) Plafonnement effort'!J40</f>
        <v>0</v>
      </c>
      <c r="K41" s="314">
        <f>'L) Plafonnement taux'!Q41</f>
        <v>0</v>
      </c>
      <c r="L41" s="312">
        <f t="shared" si="0"/>
        <v>398918.26296536188</v>
      </c>
      <c r="M41" s="233">
        <f>'M) Police'!O41</f>
        <v>60837.058823647938</v>
      </c>
      <c r="N41" s="233">
        <f t="shared" si="1"/>
        <v>459755.32178900985</v>
      </c>
      <c r="O41" s="317">
        <f t="shared" si="2"/>
        <v>88217.871022614898</v>
      </c>
      <c r="P41" s="319"/>
    </row>
    <row r="42" spans="1:16" s="154" customFormat="1" x14ac:dyDescent="0.25">
      <c r="A42" s="151">
        <f>'B) D RI'!A43</f>
        <v>5472</v>
      </c>
      <c r="B42" s="152" t="str">
        <f>'B) D RI'!B43</f>
        <v>Bournens</v>
      </c>
      <c r="C42" s="315">
        <f>'B) D RI'!S43</f>
        <v>72</v>
      </c>
      <c r="D42" s="153">
        <f>'B) D RI'!AA43</f>
        <v>490</v>
      </c>
      <c r="E42" s="313">
        <f>'D) Ecrêtage'!C41</f>
        <v>20143.161388888886</v>
      </c>
      <c r="F42" s="317">
        <f>'E) Fact soc'!G47</f>
        <v>359320.07481085369</v>
      </c>
      <c r="G42" s="314">
        <f>'H) Péréquation directe'!I52</f>
        <v>253308.47047368335</v>
      </c>
      <c r="H42" s="317">
        <f>+'I) Dépenses thématiques'!T41</f>
        <v>-15650.878958333335</v>
      </c>
      <c r="I42" s="314">
        <f>'K) Plafonnement aide'!J41</f>
        <v>0</v>
      </c>
      <c r="J42" s="317">
        <f>'J) Plafonnement effort'!J41</f>
        <v>0</v>
      </c>
      <c r="K42" s="314">
        <f>'L) Plafonnement taux'!Q42</f>
        <v>0</v>
      </c>
      <c r="L42" s="312">
        <f t="shared" si="0"/>
        <v>596977.66632620373</v>
      </c>
      <c r="M42" s="233">
        <f>'M) Police'!O42</f>
        <v>61373.118025878386</v>
      </c>
      <c r="N42" s="233">
        <f t="shared" si="1"/>
        <v>658350.78435208206</v>
      </c>
      <c r="O42" s="317">
        <f t="shared" si="2"/>
        <v>237657.59151535001</v>
      </c>
      <c r="P42" s="319"/>
    </row>
    <row r="43" spans="1:16" s="154" customFormat="1" x14ac:dyDescent="0.25">
      <c r="A43" s="151">
        <f>'B) D RI'!A44</f>
        <v>5473</v>
      </c>
      <c r="B43" s="152" t="str">
        <f>'B) D RI'!B44</f>
        <v>Boussens</v>
      </c>
      <c r="C43" s="315">
        <f>'B) D RI'!S44</f>
        <v>67.5</v>
      </c>
      <c r="D43" s="153">
        <f>'B) D RI'!AA44</f>
        <v>999</v>
      </c>
      <c r="E43" s="313">
        <f>'D) Ecrêtage'!C42</f>
        <v>37775.140592592586</v>
      </c>
      <c r="F43" s="317">
        <f>'E) Fact soc'!G48</f>
        <v>558880.25441498891</v>
      </c>
      <c r="G43" s="314">
        <f>'H) Péréquation directe'!I53</f>
        <v>410930.01252501004</v>
      </c>
      <c r="H43" s="317">
        <f>+'I) Dépenses thématiques'!T42</f>
        <v>0</v>
      </c>
      <c r="I43" s="314">
        <f>'K) Plafonnement aide'!J42</f>
        <v>0</v>
      </c>
      <c r="J43" s="317">
        <f>'J) Plafonnement effort'!J42</f>
        <v>0</v>
      </c>
      <c r="K43" s="314">
        <f>'L) Plafonnement taux'!Q43</f>
        <v>0</v>
      </c>
      <c r="L43" s="312">
        <f t="shared" si="0"/>
        <v>969810.26693999895</v>
      </c>
      <c r="M43" s="233">
        <f>'M) Police'!O43</f>
        <v>114218.70091043101</v>
      </c>
      <c r="N43" s="233">
        <f t="shared" si="1"/>
        <v>1084028.9678504299</v>
      </c>
      <c r="O43" s="317">
        <f t="shared" si="2"/>
        <v>410930.01252501004</v>
      </c>
      <c r="P43" s="319"/>
    </row>
    <row r="44" spans="1:16" s="154" customFormat="1" x14ac:dyDescent="0.25">
      <c r="A44" s="151">
        <f>'B) D RI'!A45</f>
        <v>5474</v>
      </c>
      <c r="B44" s="152" t="str">
        <f>'B) D RI'!B45</f>
        <v>La Chaux (Cossonay)</v>
      </c>
      <c r="C44" s="315">
        <f>'B) D RI'!S45</f>
        <v>77</v>
      </c>
      <c r="D44" s="153">
        <f>'B) D RI'!AA45</f>
        <v>391</v>
      </c>
      <c r="E44" s="313">
        <f>'D) Ecrêtage'!C43</f>
        <v>13182.521580086577</v>
      </c>
      <c r="F44" s="317">
        <f>'E) Fact soc'!G49</f>
        <v>232375.585287258</v>
      </c>
      <c r="G44" s="314">
        <f>'H) Péréquation directe'!I54</f>
        <v>69709.533632893523</v>
      </c>
      <c r="H44" s="317">
        <f>+'I) Dépenses thématiques'!T43</f>
        <v>-222529.37051948055</v>
      </c>
      <c r="I44" s="314">
        <f>'K) Plafonnement aide'!J43</f>
        <v>0</v>
      </c>
      <c r="J44" s="317">
        <f>'J) Plafonnement effort'!J43</f>
        <v>0</v>
      </c>
      <c r="K44" s="314">
        <f>'L) Plafonnement taux'!Q44</f>
        <v>0</v>
      </c>
      <c r="L44" s="312">
        <f t="shared" si="0"/>
        <v>79555.748400670942</v>
      </c>
      <c r="M44" s="233">
        <f>'M) Police'!O44</f>
        <v>39978.363107639321</v>
      </c>
      <c r="N44" s="233">
        <f t="shared" si="1"/>
        <v>119534.11150831026</v>
      </c>
      <c r="O44" s="317">
        <f t="shared" si="2"/>
        <v>-152819.83688658703</v>
      </c>
      <c r="P44" s="319"/>
    </row>
    <row r="45" spans="1:16" s="154" customFormat="1" x14ac:dyDescent="0.25">
      <c r="A45" s="151">
        <f>'B) D RI'!A46</f>
        <v>5475</v>
      </c>
      <c r="B45" s="152" t="str">
        <f>'B) D RI'!B46</f>
        <v>Chavannes-le-Veyron</v>
      </c>
      <c r="C45" s="315">
        <f>'B) D RI'!S46</f>
        <v>77</v>
      </c>
      <c r="D45" s="153">
        <f>'B) D RI'!AA46</f>
        <v>152</v>
      </c>
      <c r="E45" s="313">
        <f>'D) Ecrêtage'!C44</f>
        <v>3874.6645454545451</v>
      </c>
      <c r="F45" s="317">
        <f>'E) Fact soc'!G50</f>
        <v>64111.943237806358</v>
      </c>
      <c r="G45" s="314">
        <f>'H) Péréquation directe'!I55</f>
        <v>-26589.906947290568</v>
      </c>
      <c r="H45" s="317">
        <f>+'I) Dépenses thématiques'!T44</f>
        <v>-31259.26431818182</v>
      </c>
      <c r="I45" s="314">
        <f>'K) Plafonnement aide'!J44</f>
        <v>0</v>
      </c>
      <c r="J45" s="317">
        <f>'J) Plafonnement effort'!J44</f>
        <v>0</v>
      </c>
      <c r="K45" s="314">
        <f>'L) Plafonnement taux'!Q45</f>
        <v>0</v>
      </c>
      <c r="L45" s="312">
        <f t="shared" si="0"/>
        <v>6262.7719723339687</v>
      </c>
      <c r="M45" s="233">
        <f>'M) Police'!O45</f>
        <v>11708.803141202352</v>
      </c>
      <c r="N45" s="233">
        <f t="shared" si="1"/>
        <v>17971.575113536321</v>
      </c>
      <c r="O45" s="317">
        <f t="shared" si="2"/>
        <v>-57849.171265472389</v>
      </c>
      <c r="P45" s="319"/>
    </row>
    <row r="46" spans="1:16" s="154" customFormat="1" x14ac:dyDescent="0.25">
      <c r="A46" s="151">
        <f>'B) D RI'!A47</f>
        <v>5476</v>
      </c>
      <c r="B46" s="152" t="str">
        <f>'B) D RI'!B47</f>
        <v>Chevilly</v>
      </c>
      <c r="C46" s="315">
        <f>'B) D RI'!S47</f>
        <v>74</v>
      </c>
      <c r="D46" s="153">
        <f>'B) D RI'!AA47</f>
        <v>317</v>
      </c>
      <c r="E46" s="313">
        <f>'D) Ecrêtage'!C45</f>
        <v>11839.396756756756</v>
      </c>
      <c r="F46" s="317">
        <f>'E) Fact soc'!G51</f>
        <v>166569.84954299193</v>
      </c>
      <c r="G46" s="314">
        <f>'H) Péréquation directe'!I56</f>
        <v>112221.32839966327</v>
      </c>
      <c r="H46" s="317">
        <f>+'I) Dépenses thématiques'!T45</f>
        <v>-4363.9524324324329</v>
      </c>
      <c r="I46" s="314">
        <f>'K) Plafonnement aide'!J45</f>
        <v>0</v>
      </c>
      <c r="J46" s="317">
        <f>'J) Plafonnement effort'!J45</f>
        <v>0</v>
      </c>
      <c r="K46" s="314">
        <f>'L) Plafonnement taux'!Q46</f>
        <v>0</v>
      </c>
      <c r="L46" s="312">
        <f t="shared" si="0"/>
        <v>274427.22551022272</v>
      </c>
      <c r="M46" s="233">
        <f>'M) Police'!O46</f>
        <v>35935.108916196477</v>
      </c>
      <c r="N46" s="233">
        <f t="shared" si="1"/>
        <v>310362.33442641923</v>
      </c>
      <c r="O46" s="317">
        <f t="shared" si="2"/>
        <v>107857.37596723084</v>
      </c>
      <c r="P46" s="319"/>
    </row>
    <row r="47" spans="1:16" s="154" customFormat="1" x14ac:dyDescent="0.25">
      <c r="A47" s="151">
        <f>'B) D RI'!A48</f>
        <v>5477</v>
      </c>
      <c r="B47" s="152" t="str">
        <f>'B) D RI'!B48</f>
        <v>Cossonay</v>
      </c>
      <c r="C47" s="315">
        <f>'B) D RI'!S48</f>
        <v>69.5</v>
      </c>
      <c r="D47" s="153">
        <f>'B) D RI'!AA48</f>
        <v>4222</v>
      </c>
      <c r="E47" s="313">
        <f>'D) Ecrêtage'!C46</f>
        <v>119154.03251798562</v>
      </c>
      <c r="F47" s="317">
        <f>'E) Fact soc'!G52</f>
        <v>2341531.6328706099</v>
      </c>
      <c r="G47" s="314">
        <f>'H) Péréquation directe'!I57</f>
        <v>-773025.7851063204</v>
      </c>
      <c r="H47" s="317">
        <f>+'I) Dépenses thématiques'!T46</f>
        <v>-854280.55489208631</v>
      </c>
      <c r="I47" s="314">
        <f>'K) Plafonnement aide'!J46</f>
        <v>0</v>
      </c>
      <c r="J47" s="317">
        <f>'J) Plafonnement effort'!J46</f>
        <v>0</v>
      </c>
      <c r="K47" s="314">
        <f>'L) Plafonnement taux'!Q47</f>
        <v>0</v>
      </c>
      <c r="L47" s="312">
        <f t="shared" si="0"/>
        <v>714225.29287220316</v>
      </c>
      <c r="M47" s="233">
        <f>'M) Police'!O47</f>
        <v>356198.85610516352</v>
      </c>
      <c r="N47" s="233">
        <f t="shared" si="1"/>
        <v>1070424.1489773667</v>
      </c>
      <c r="O47" s="317">
        <f t="shared" si="2"/>
        <v>-1627306.3399984068</v>
      </c>
      <c r="P47" s="319"/>
    </row>
    <row r="48" spans="1:16" s="154" customFormat="1" x14ac:dyDescent="0.25">
      <c r="A48" s="151">
        <f>'B) D RI'!A49</f>
        <v>5478</v>
      </c>
      <c r="B48" s="152" t="str">
        <f>'B) D RI'!B49</f>
        <v>Cottens</v>
      </c>
      <c r="C48" s="315">
        <f>'B) D RI'!S49</f>
        <v>74</v>
      </c>
      <c r="D48" s="153">
        <f>'B) D RI'!AA49</f>
        <v>491</v>
      </c>
      <c r="E48" s="313">
        <f>'D) Ecrêtage'!C47</f>
        <v>16291.497837837833</v>
      </c>
      <c r="F48" s="317">
        <f>'E) Fact soc'!G53</f>
        <v>224742.43287433332</v>
      </c>
      <c r="G48" s="314">
        <f>'H) Péréquation directe'!I58</f>
        <v>89638.610510121158</v>
      </c>
      <c r="H48" s="317">
        <f>+'I) Dépenses thématiques'!T47</f>
        <v>-543139.51297297305</v>
      </c>
      <c r="I48" s="314">
        <f>'K) Plafonnement aide'!J47</f>
        <v>0</v>
      </c>
      <c r="J48" s="317">
        <f>'J) Plafonnement effort'!J47</f>
        <v>0</v>
      </c>
      <c r="K48" s="314">
        <f>'L) Plafonnement taux'!Q48</f>
        <v>0</v>
      </c>
      <c r="L48" s="312">
        <f t="shared" si="0"/>
        <v>-228758.46958851861</v>
      </c>
      <c r="M48" s="233">
        <f>'M) Police'!O48</f>
        <v>49536.026685247809</v>
      </c>
      <c r="N48" s="233">
        <f t="shared" si="1"/>
        <v>-179222.4429032708</v>
      </c>
      <c r="O48" s="317">
        <f t="shared" si="2"/>
        <v>-453500.9024628519</v>
      </c>
      <c r="P48" s="319"/>
    </row>
    <row r="49" spans="1:16" s="154" customFormat="1" x14ac:dyDescent="0.25">
      <c r="A49" s="151">
        <f>'B) D RI'!A50</f>
        <v>5479</v>
      </c>
      <c r="B49" s="152" t="str">
        <f>'B) D RI'!B50</f>
        <v>Cuarnens</v>
      </c>
      <c r="C49" s="315">
        <f>'B) D RI'!S50</f>
        <v>77</v>
      </c>
      <c r="D49" s="153">
        <f>'B) D RI'!AA50</f>
        <v>527</v>
      </c>
      <c r="E49" s="313">
        <f>'D) Ecrêtage'!C48</f>
        <v>18068.978311688308</v>
      </c>
      <c r="F49" s="317">
        <f>'E) Fact soc'!G54</f>
        <v>327821.51201724075</v>
      </c>
      <c r="G49" s="314">
        <f>'H) Péréquation directe'!I59</f>
        <v>106894.67537510977</v>
      </c>
      <c r="H49" s="317">
        <f>+'I) Dépenses thématiques'!T48</f>
        <v>-90197.396396103926</v>
      </c>
      <c r="I49" s="314">
        <f>'K) Plafonnement aide'!J48</f>
        <v>0</v>
      </c>
      <c r="J49" s="317">
        <f>'J) Plafonnement effort'!J48</f>
        <v>0</v>
      </c>
      <c r="K49" s="314">
        <f>'L) Plafonnement taux'!Q49</f>
        <v>0</v>
      </c>
      <c r="L49" s="312">
        <f t="shared" si="0"/>
        <v>344518.79099624662</v>
      </c>
      <c r="M49" s="233">
        <f>'M) Police'!O49</f>
        <v>55083.788006639108</v>
      </c>
      <c r="N49" s="233">
        <f t="shared" si="1"/>
        <v>399602.57900288573</v>
      </c>
      <c r="O49" s="317">
        <f t="shared" si="2"/>
        <v>16697.278979005845</v>
      </c>
      <c r="P49" s="319"/>
    </row>
    <row r="50" spans="1:16" s="154" customFormat="1" x14ac:dyDescent="0.25">
      <c r="A50" s="151">
        <f>'B) D RI'!A51</f>
        <v>5480</v>
      </c>
      <c r="B50" s="152" t="str">
        <f>'B) D RI'!B51</f>
        <v>Daillens</v>
      </c>
      <c r="C50" s="315">
        <f>'B) D RI'!S51</f>
        <v>66</v>
      </c>
      <c r="D50" s="153">
        <f>'B) D RI'!AA51</f>
        <v>1048</v>
      </c>
      <c r="E50" s="313">
        <f>'D) Ecrêtage'!C49</f>
        <v>40977.441060606063</v>
      </c>
      <c r="F50" s="317">
        <f>'E) Fact soc'!G55</f>
        <v>720121.89900183724</v>
      </c>
      <c r="G50" s="314">
        <f>'H) Péréquation directe'!I60</f>
        <v>478537.61739287269</v>
      </c>
      <c r="H50" s="317">
        <f>+'I) Dépenses thématiques'!T49</f>
        <v>-434229.35363636358</v>
      </c>
      <c r="I50" s="314">
        <f>'K) Plafonnement aide'!J49</f>
        <v>0</v>
      </c>
      <c r="J50" s="317">
        <f>'J) Plafonnement effort'!J49</f>
        <v>0</v>
      </c>
      <c r="K50" s="314">
        <f>'L) Plafonnement taux'!Q50</f>
        <v>0</v>
      </c>
      <c r="L50" s="312">
        <f t="shared" si="0"/>
        <v>764430.16275834641</v>
      </c>
      <c r="M50" s="233">
        <f>'M) Police'!O50</f>
        <v>120445.75235661611</v>
      </c>
      <c r="N50" s="233">
        <f t="shared" si="1"/>
        <v>884875.9151149625</v>
      </c>
      <c r="O50" s="317">
        <f t="shared" si="2"/>
        <v>44308.263756509114</v>
      </c>
      <c r="P50" s="319"/>
    </row>
    <row r="51" spans="1:16" s="154" customFormat="1" x14ac:dyDescent="0.25">
      <c r="A51" s="151">
        <f>'B) D RI'!A52</f>
        <v>5481</v>
      </c>
      <c r="B51" s="152" t="str">
        <f>'B) D RI'!B52</f>
        <v>Dizy</v>
      </c>
      <c r="C51" s="315">
        <f>'B) D RI'!S52</f>
        <v>75</v>
      </c>
      <c r="D51" s="153">
        <f>'B) D RI'!AA52</f>
        <v>224</v>
      </c>
      <c r="E51" s="313">
        <f>'D) Ecrêtage'!C50</f>
        <v>8124.1672000000008</v>
      </c>
      <c r="F51" s="317">
        <f>'E) Fact soc'!G56</f>
        <v>113597.05253310376</v>
      </c>
      <c r="G51" s="314">
        <f>'H) Péréquation directe'!I61</f>
        <v>67756.845391760377</v>
      </c>
      <c r="H51" s="317">
        <f>+'I) Dépenses thématiques'!T50</f>
        <v>-28849.246799999994</v>
      </c>
      <c r="I51" s="314">
        <f>'K) Plafonnement aide'!J50</f>
        <v>0</v>
      </c>
      <c r="J51" s="317">
        <f>'J) Plafonnement effort'!J50</f>
        <v>0</v>
      </c>
      <c r="K51" s="314">
        <f>'L) Plafonnement taux'!Q51</f>
        <v>0</v>
      </c>
      <c r="L51" s="312">
        <f t="shared" si="0"/>
        <v>152504.65112486415</v>
      </c>
      <c r="M51" s="233">
        <f>'M) Police'!O51</f>
        <v>24746.966190892272</v>
      </c>
      <c r="N51" s="233">
        <f t="shared" si="1"/>
        <v>177251.61731575642</v>
      </c>
      <c r="O51" s="317">
        <f t="shared" si="2"/>
        <v>38907.598591760383</v>
      </c>
      <c r="P51" s="319"/>
    </row>
    <row r="52" spans="1:16" s="154" customFormat="1" x14ac:dyDescent="0.25">
      <c r="A52" s="151">
        <f>'B) D RI'!A53</f>
        <v>5482</v>
      </c>
      <c r="B52" s="152" t="str">
        <f>'B) D RI'!B53</f>
        <v>Eclépens</v>
      </c>
      <c r="C52" s="315">
        <f>'B) D RI'!S53</f>
        <v>46</v>
      </c>
      <c r="D52" s="153">
        <f>'B) D RI'!AA53</f>
        <v>1220</v>
      </c>
      <c r="E52" s="313">
        <f>'D) Ecrêtage'!C51</f>
        <v>70911.930217391302</v>
      </c>
      <c r="F52" s="317">
        <f>'E) Fact soc'!G57</f>
        <v>1225755.4765885507</v>
      </c>
      <c r="G52" s="314">
        <f>'H) Péréquation directe'!I62</f>
        <v>1158585.0714791226</v>
      </c>
      <c r="H52" s="317">
        <f>+'I) Dépenses thématiques'!T51</f>
        <v>0</v>
      </c>
      <c r="I52" s="314">
        <f>'K) Plafonnement aide'!J51</f>
        <v>0</v>
      </c>
      <c r="J52" s="317">
        <f>'J) Plafonnement effort'!J51</f>
        <v>0</v>
      </c>
      <c r="K52" s="314">
        <f>'L) Plafonnement taux'!Q52</f>
        <v>0</v>
      </c>
      <c r="L52" s="312">
        <f t="shared" si="0"/>
        <v>2384340.5480676731</v>
      </c>
      <c r="M52" s="233">
        <f>'M) Police'!O52</f>
        <v>191901.38847300978</v>
      </c>
      <c r="N52" s="233">
        <f t="shared" si="1"/>
        <v>2576241.9365406828</v>
      </c>
      <c r="O52" s="317">
        <f t="shared" si="2"/>
        <v>1158585.0714791226</v>
      </c>
      <c r="P52" s="319"/>
    </row>
    <row r="53" spans="1:16" s="154" customFormat="1" x14ac:dyDescent="0.25">
      <c r="A53" s="151">
        <f>'B) D RI'!A54</f>
        <v>5483</v>
      </c>
      <c r="B53" s="152" t="str">
        <f>'B) D RI'!B54</f>
        <v>Ferreyres</v>
      </c>
      <c r="C53" s="315">
        <f>'B) D RI'!S54</f>
        <v>76</v>
      </c>
      <c r="D53" s="153">
        <f>'B) D RI'!AA54</f>
        <v>319</v>
      </c>
      <c r="E53" s="313">
        <f>'D) Ecrêtage'!C52</f>
        <v>10820.315000000001</v>
      </c>
      <c r="F53" s="317">
        <f>'E) Fact soc'!G58</f>
        <v>155784.50645867133</v>
      </c>
      <c r="G53" s="314">
        <f>'H) Péréquation directe'!I63</f>
        <v>62466.592116201413</v>
      </c>
      <c r="H53" s="317">
        <f>+'I) Dépenses thématiques'!T52</f>
        <v>0</v>
      </c>
      <c r="I53" s="314">
        <f>'K) Plafonnement aide'!J52</f>
        <v>0</v>
      </c>
      <c r="J53" s="317">
        <f>'J) Plafonnement effort'!J52</f>
        <v>0</v>
      </c>
      <c r="K53" s="314">
        <f>'L) Plafonnement taux'!Q53</f>
        <v>0</v>
      </c>
      <c r="L53" s="312">
        <f t="shared" si="0"/>
        <v>218251.09857487274</v>
      </c>
      <c r="M53" s="233">
        <f>'M) Police'!O53</f>
        <v>32835.573373137646</v>
      </c>
      <c r="N53" s="233">
        <f t="shared" si="1"/>
        <v>251086.67194801039</v>
      </c>
      <c r="O53" s="317">
        <f t="shared" si="2"/>
        <v>62466.592116201413</v>
      </c>
      <c r="P53" s="319"/>
    </row>
    <row r="54" spans="1:16" s="154" customFormat="1" x14ac:dyDescent="0.25">
      <c r="A54" s="151">
        <f>'B) D RI'!A55</f>
        <v>5484</v>
      </c>
      <c r="B54" s="152" t="str">
        <f>'B) D RI'!B55</f>
        <v>Gollion</v>
      </c>
      <c r="C54" s="315">
        <f>'B) D RI'!S55</f>
        <v>74</v>
      </c>
      <c r="D54" s="153">
        <f>'B) D RI'!AA55</f>
        <v>996</v>
      </c>
      <c r="E54" s="313">
        <f>'D) Ecrêtage'!C53</f>
        <v>34996.98554054054</v>
      </c>
      <c r="F54" s="317">
        <f>'E) Fact soc'!G59</f>
        <v>585204.41946574033</v>
      </c>
      <c r="G54" s="314">
        <f>'H) Péréquation directe'!I64</f>
        <v>262022.47223691078</v>
      </c>
      <c r="H54" s="317">
        <f>+'I) Dépenses thématiques'!T53</f>
        <v>-217642.59760135136</v>
      </c>
      <c r="I54" s="314">
        <f>'K) Plafonnement aide'!J53</f>
        <v>0</v>
      </c>
      <c r="J54" s="317">
        <f>'J) Plafonnement effort'!J53</f>
        <v>0</v>
      </c>
      <c r="K54" s="314">
        <f>'L) Plafonnement taux'!Q54</f>
        <v>0</v>
      </c>
      <c r="L54" s="312">
        <f t="shared" si="0"/>
        <v>629584.29410129972</v>
      </c>
      <c r="M54" s="233">
        <f>'M) Police'!O54</f>
        <v>105934.34452859004</v>
      </c>
      <c r="N54" s="233">
        <f t="shared" si="1"/>
        <v>735518.63862988981</v>
      </c>
      <c r="O54" s="317">
        <f t="shared" si="2"/>
        <v>44379.874635559419</v>
      </c>
      <c r="P54" s="319"/>
    </row>
    <row r="55" spans="1:16" s="154" customFormat="1" x14ac:dyDescent="0.25">
      <c r="A55" s="151">
        <f>'B) D RI'!A56</f>
        <v>5485</v>
      </c>
      <c r="B55" s="152" t="str">
        <f>'B) D RI'!B56</f>
        <v>Grancy</v>
      </c>
      <c r="C55" s="315">
        <f>'B) D RI'!S56</f>
        <v>70</v>
      </c>
      <c r="D55" s="153">
        <f>'B) D RI'!AA56</f>
        <v>406</v>
      </c>
      <c r="E55" s="313">
        <f>'D) Ecrêtage'!C54</f>
        <v>14542.352714285715</v>
      </c>
      <c r="F55" s="317">
        <f>'E) Fact soc'!G60</f>
        <v>277788.97400532977</v>
      </c>
      <c r="G55" s="314">
        <f>'H) Péréquation directe'!I65</f>
        <v>129770.43302166974</v>
      </c>
      <c r="H55" s="317">
        <f>+'I) Dépenses thématiques'!T54</f>
        <v>-41735.869178571433</v>
      </c>
      <c r="I55" s="314">
        <f>'K) Plafonnement aide'!J54</f>
        <v>0</v>
      </c>
      <c r="J55" s="317">
        <f>'J) Plafonnement effort'!J54</f>
        <v>0</v>
      </c>
      <c r="K55" s="314">
        <f>'L) Plafonnement taux'!Q55</f>
        <v>0</v>
      </c>
      <c r="L55" s="312">
        <f t="shared" si="0"/>
        <v>365823.53784842807</v>
      </c>
      <c r="M55" s="233">
        <f>'M) Police'!O55</f>
        <v>43980.725054676048</v>
      </c>
      <c r="N55" s="233">
        <f t="shared" si="1"/>
        <v>409804.26290310413</v>
      </c>
      <c r="O55" s="317">
        <f t="shared" si="2"/>
        <v>88034.563843098309</v>
      </c>
      <c r="P55" s="319"/>
    </row>
    <row r="56" spans="1:16" s="154" customFormat="1" x14ac:dyDescent="0.25">
      <c r="A56" s="151">
        <f>'B) D RI'!A57</f>
        <v>5486</v>
      </c>
      <c r="B56" s="152" t="str">
        <f>'B) D RI'!B57</f>
        <v>L'Isle</v>
      </c>
      <c r="C56" s="315">
        <f>'B) D RI'!S57</f>
        <v>75</v>
      </c>
      <c r="D56" s="153">
        <f>'B) D RI'!AA57</f>
        <v>1065</v>
      </c>
      <c r="E56" s="313">
        <f>'D) Ecrêtage'!C55</f>
        <v>37459.560399999995</v>
      </c>
      <c r="F56" s="317">
        <f>'E) Fact soc'!G61</f>
        <v>578325.55807702662</v>
      </c>
      <c r="G56" s="314">
        <f>'H) Péréquation directe'!I66</f>
        <v>258959.96350214945</v>
      </c>
      <c r="H56" s="317">
        <f>+'I) Dépenses thématiques'!T55</f>
        <v>-270888.71730000002</v>
      </c>
      <c r="I56" s="314">
        <f>'K) Plafonnement aide'!J55</f>
        <v>0</v>
      </c>
      <c r="J56" s="317">
        <f>'J) Plafonnement effort'!J55</f>
        <v>0</v>
      </c>
      <c r="K56" s="314">
        <f>'L) Plafonnement taux'!Q56</f>
        <v>0</v>
      </c>
      <c r="L56" s="312">
        <f t="shared" si="0"/>
        <v>566396.80427917605</v>
      </c>
      <c r="M56" s="233">
        <f>'M) Police'!O56</f>
        <v>113516.9953956922</v>
      </c>
      <c r="N56" s="233">
        <f t="shared" si="1"/>
        <v>679913.79967486823</v>
      </c>
      <c r="O56" s="317">
        <f t="shared" si="2"/>
        <v>-11928.753797850572</v>
      </c>
      <c r="P56" s="319"/>
    </row>
    <row r="57" spans="1:16" s="154" customFormat="1" x14ac:dyDescent="0.25">
      <c r="A57" s="151">
        <f>'B) D RI'!A58</f>
        <v>5487</v>
      </c>
      <c r="B57" s="152" t="str">
        <f>'B) D RI'!B58</f>
        <v>Lussery-Villars</v>
      </c>
      <c r="C57" s="315">
        <f>'B) D RI'!S58</f>
        <v>75</v>
      </c>
      <c r="D57" s="153">
        <f>'B) D RI'!AA58</f>
        <v>459</v>
      </c>
      <c r="E57" s="313">
        <f>'D) Ecrêtage'!C56</f>
        <v>12889.865466666668</v>
      </c>
      <c r="F57" s="317">
        <f>'E) Fact soc'!G62</f>
        <v>189662.0410995066</v>
      </c>
      <c r="G57" s="314">
        <f>'H) Péréquation directe'!I67</f>
        <v>-17963.010787081876</v>
      </c>
      <c r="H57" s="317">
        <f>+'I) Dépenses thématiques'!T56</f>
        <v>-33653.307199999996</v>
      </c>
      <c r="I57" s="314">
        <f>'K) Plafonnement aide'!J56</f>
        <v>0</v>
      </c>
      <c r="J57" s="317">
        <f>'J) Plafonnement effort'!J56</f>
        <v>0</v>
      </c>
      <c r="K57" s="314">
        <f>'L) Plafonnement taux'!Q57</f>
        <v>0</v>
      </c>
      <c r="L57" s="312">
        <f t="shared" si="0"/>
        <v>138045.72311242472</v>
      </c>
      <c r="M57" s="233">
        <f>'M) Police'!O57</f>
        <v>38787.307509219812</v>
      </c>
      <c r="N57" s="233">
        <f t="shared" si="1"/>
        <v>176833.03062164452</v>
      </c>
      <c r="O57" s="317">
        <f t="shared" si="2"/>
        <v>-51616.317987081871</v>
      </c>
      <c r="P57" s="319"/>
    </row>
    <row r="58" spans="1:16" s="154" customFormat="1" x14ac:dyDescent="0.25">
      <c r="A58" s="151">
        <f>'B) D RI'!A59</f>
        <v>5488</v>
      </c>
      <c r="B58" s="152" t="str">
        <f>'B) D RI'!B59</f>
        <v>Mauraz</v>
      </c>
      <c r="C58" s="315">
        <f>'B) D RI'!S59</f>
        <v>77</v>
      </c>
      <c r="D58" s="153">
        <f>'B) D RI'!AA59</f>
        <v>58</v>
      </c>
      <c r="E58" s="313">
        <f>'D) Ecrêtage'!C57</f>
        <v>1632.1631168831173</v>
      </c>
      <c r="F58" s="317">
        <f>'E) Fact soc'!G63</f>
        <v>22051.081948237923</v>
      </c>
      <c r="G58" s="314">
        <f>'H) Péréquation directe'!I68</f>
        <v>-3545.6817698222621</v>
      </c>
      <c r="H58" s="317">
        <f>+'I) Dépenses thématiques'!T57</f>
        <v>0</v>
      </c>
      <c r="I58" s="314">
        <f>'K) Plafonnement aide'!J57</f>
        <v>0</v>
      </c>
      <c r="J58" s="317">
        <f>'J) Plafonnement effort'!J57</f>
        <v>0</v>
      </c>
      <c r="K58" s="314">
        <f>'L) Plafonnement taux'!Q58</f>
        <v>0</v>
      </c>
      <c r="L58" s="312">
        <f t="shared" si="0"/>
        <v>18505.400178415661</v>
      </c>
      <c r="M58" s="233">
        <f>'M) Police'!O58</f>
        <v>4962.6908601637515</v>
      </c>
      <c r="N58" s="233">
        <f t="shared" si="1"/>
        <v>23468.091038579412</v>
      </c>
      <c r="O58" s="317">
        <f t="shared" si="2"/>
        <v>-3545.6817698222621</v>
      </c>
      <c r="P58" s="319"/>
    </row>
    <row r="59" spans="1:16" s="154" customFormat="1" x14ac:dyDescent="0.25">
      <c r="A59" s="151">
        <f>'B) D RI'!A60</f>
        <v>5489</v>
      </c>
      <c r="B59" s="152" t="str">
        <f>'B) D RI'!B60</f>
        <v>Mex</v>
      </c>
      <c r="C59" s="315">
        <f>'B) D RI'!S60</f>
        <v>59.5</v>
      </c>
      <c r="D59" s="153">
        <f>'B) D RI'!AA60</f>
        <v>791</v>
      </c>
      <c r="E59" s="313">
        <f>'D) Ecrêtage'!C58</f>
        <v>58521.207563025193</v>
      </c>
      <c r="F59" s="317">
        <f>'E) Fact soc'!G64</f>
        <v>1424347.9841138779</v>
      </c>
      <c r="G59" s="314">
        <f>'H) Péréquation directe'!I69</f>
        <v>1023423.7433761053</v>
      </c>
      <c r="H59" s="317">
        <f>+'I) Dépenses thématiques'!T58</f>
        <v>-2289.5943277311053</v>
      </c>
      <c r="I59" s="314">
        <f>'K) Plafonnement aide'!J58</f>
        <v>0</v>
      </c>
      <c r="J59" s="317">
        <f>'J) Plafonnement effort'!J58</f>
        <v>0</v>
      </c>
      <c r="K59" s="314">
        <f>'L) Plafonnement taux'!Q59</f>
        <v>0</v>
      </c>
      <c r="L59" s="312">
        <f t="shared" si="0"/>
        <v>2445482.1331622521</v>
      </c>
      <c r="M59" s="233">
        <f>'M) Police'!O59</f>
        <v>139156.95474080899</v>
      </c>
      <c r="N59" s="233">
        <f t="shared" si="1"/>
        <v>2584639.087903061</v>
      </c>
      <c r="O59" s="317">
        <f t="shared" si="2"/>
        <v>1021134.1490483743</v>
      </c>
      <c r="P59" s="319"/>
    </row>
    <row r="60" spans="1:16" s="154" customFormat="1" x14ac:dyDescent="0.25">
      <c r="A60" s="151">
        <f>'B) D RI'!A61</f>
        <v>5490</v>
      </c>
      <c r="B60" s="152" t="str">
        <f>'B) D RI'!B61</f>
        <v>Moiry</v>
      </c>
      <c r="C60" s="315">
        <f>'B) D RI'!S61</f>
        <v>77.5</v>
      </c>
      <c r="D60" s="153">
        <f>'B) D RI'!AA61</f>
        <v>311</v>
      </c>
      <c r="E60" s="313">
        <f>'D) Ecrêtage'!C59</f>
        <v>8655.909290322581</v>
      </c>
      <c r="F60" s="317">
        <f>'E) Fact soc'!G65</f>
        <v>136770.47004198012</v>
      </c>
      <c r="G60" s="314">
        <f>'H) Péréquation directe'!I70</f>
        <v>-25089.835085024359</v>
      </c>
      <c r="H60" s="317">
        <f>+'I) Dépenses thématiques'!T59</f>
        <v>-23114.794258064514</v>
      </c>
      <c r="I60" s="314">
        <f>'K) Plafonnement aide'!J59</f>
        <v>0</v>
      </c>
      <c r="J60" s="317">
        <f>'J) Plafonnement effort'!J59</f>
        <v>0</v>
      </c>
      <c r="K60" s="314">
        <f>'L) Plafonnement taux'!Q60</f>
        <v>0</v>
      </c>
      <c r="L60" s="312">
        <f t="shared" si="0"/>
        <v>88565.840698891247</v>
      </c>
      <c r="M60" s="233">
        <f>'M) Police'!O60</f>
        <v>26289.805791346967</v>
      </c>
      <c r="N60" s="233">
        <f t="shared" si="1"/>
        <v>114855.64649023821</v>
      </c>
      <c r="O60" s="317">
        <f t="shared" si="2"/>
        <v>-48204.629343088876</v>
      </c>
      <c r="P60" s="319"/>
    </row>
    <row r="61" spans="1:16" s="154" customFormat="1" x14ac:dyDescent="0.25">
      <c r="A61" s="151">
        <f>'B) D RI'!A62</f>
        <v>5491</v>
      </c>
      <c r="B61" s="152" t="str">
        <f>'B) D RI'!B62</f>
        <v>Mont-la-Ville</v>
      </c>
      <c r="C61" s="315">
        <f>'B) D RI'!S62</f>
        <v>76</v>
      </c>
      <c r="D61" s="153">
        <f>'B) D RI'!AA62</f>
        <v>490</v>
      </c>
      <c r="E61" s="313">
        <f>'D) Ecrêtage'!C60</f>
        <v>14323.284736842104</v>
      </c>
      <c r="F61" s="317">
        <f>'E) Fact soc'!G66</f>
        <v>240585.92070353532</v>
      </c>
      <c r="G61" s="314">
        <f>'H) Péréquation directe'!I71</f>
        <v>-1308.77508534136</v>
      </c>
      <c r="H61" s="317">
        <f>+'I) Dépenses thématiques'!T60</f>
        <v>-78474.541578947377</v>
      </c>
      <c r="I61" s="314">
        <f>'K) Plafonnement aide'!J60</f>
        <v>0</v>
      </c>
      <c r="J61" s="317">
        <f>'J) Plafonnement effort'!J60</f>
        <v>0</v>
      </c>
      <c r="K61" s="314">
        <f>'L) Plafonnement taux'!Q61</f>
        <v>0</v>
      </c>
      <c r="L61" s="312">
        <f t="shared" si="0"/>
        <v>160802.60403924657</v>
      </c>
      <c r="M61" s="233">
        <f>'M) Police'!O61</f>
        <v>43027.273912497069</v>
      </c>
      <c r="N61" s="233">
        <f t="shared" si="1"/>
        <v>203829.87795174363</v>
      </c>
      <c r="O61" s="317">
        <f t="shared" si="2"/>
        <v>-79783.316664288737</v>
      </c>
      <c r="P61" s="319"/>
    </row>
    <row r="62" spans="1:16" s="154" customFormat="1" x14ac:dyDescent="0.25">
      <c r="A62" s="151">
        <f>'B) D RI'!A63</f>
        <v>5492</v>
      </c>
      <c r="B62" s="152" t="str">
        <f>'B) D RI'!B63</f>
        <v>Montricher</v>
      </c>
      <c r="C62" s="315">
        <f>'B) D RI'!S63</f>
        <v>64</v>
      </c>
      <c r="D62" s="153">
        <f>'B) D RI'!AA63</f>
        <v>964</v>
      </c>
      <c r="E62" s="313">
        <f>'D) Ecrêtage'!C61</f>
        <v>157154.96692708335</v>
      </c>
      <c r="F62" s="317">
        <f>'E) Fact soc'!G67</f>
        <v>5437267.2039612904</v>
      </c>
      <c r="G62" s="314">
        <f>'H) Péréquation directe'!I72</f>
        <v>2892194.4448842341</v>
      </c>
      <c r="H62" s="317">
        <f>+'I) Dépenses thématiques'!T61</f>
        <v>-207507.77480468751</v>
      </c>
      <c r="I62" s="314">
        <f>'K) Plafonnement aide'!J61</f>
        <v>0</v>
      </c>
      <c r="J62" s="317">
        <f>'J) Plafonnement effort'!J61</f>
        <v>-416515.60654083517</v>
      </c>
      <c r="K62" s="314">
        <f>'L) Plafonnement taux'!Q62</f>
        <v>0</v>
      </c>
      <c r="L62" s="312">
        <f t="shared" ref="L62:L116" si="3">F62+G62+H62+I62+J62+K62</f>
        <v>7705438.2675000019</v>
      </c>
      <c r="M62" s="233">
        <f>'M) Police'!O62</f>
        <v>270417.67527546152</v>
      </c>
      <c r="N62" s="233">
        <f t="shared" si="1"/>
        <v>7975855.9427754637</v>
      </c>
      <c r="O62" s="317">
        <f t="shared" si="2"/>
        <v>2268171.0635387115</v>
      </c>
      <c r="P62" s="319"/>
    </row>
    <row r="63" spans="1:16" s="154" customFormat="1" x14ac:dyDescent="0.25">
      <c r="A63" s="151">
        <f>'B) D RI'!A64</f>
        <v>5493</v>
      </c>
      <c r="B63" s="152" t="str">
        <f>'B) D RI'!B64</f>
        <v>Orny</v>
      </c>
      <c r="C63" s="315">
        <f>'B) D RI'!S64</f>
        <v>73</v>
      </c>
      <c r="D63" s="153">
        <f>'B) D RI'!AA64</f>
        <v>462</v>
      </c>
      <c r="E63" s="313">
        <f>'D) Ecrêtage'!C62</f>
        <v>12885.017723919913</v>
      </c>
      <c r="F63" s="317">
        <f>'E) Fact soc'!G68</f>
        <v>257338.71643695302</v>
      </c>
      <c r="G63" s="314">
        <f>'H) Péréquation directe'!I73</f>
        <v>-10671.954023285594</v>
      </c>
      <c r="H63" s="317">
        <f>+'I) Dépenses thématiques'!T62</f>
        <v>0</v>
      </c>
      <c r="I63" s="314">
        <f>'K) Plafonnement aide'!J62</f>
        <v>0</v>
      </c>
      <c r="J63" s="317">
        <f>'J) Plafonnement effort'!J62</f>
        <v>0</v>
      </c>
      <c r="K63" s="314">
        <f>'L) Plafonnement taux'!Q63</f>
        <v>0</v>
      </c>
      <c r="L63" s="312">
        <f t="shared" si="3"/>
        <v>246666.76241366743</v>
      </c>
      <c r="M63" s="233">
        <f>'M) Police'!O63</f>
        <v>39235.678755292596</v>
      </c>
      <c r="N63" s="233">
        <f t="shared" si="1"/>
        <v>285902.44116896001</v>
      </c>
      <c r="O63" s="317">
        <f t="shared" si="2"/>
        <v>-10671.954023285594</v>
      </c>
      <c r="P63" s="319"/>
    </row>
    <row r="64" spans="1:16" s="154" customFormat="1" x14ac:dyDescent="0.25">
      <c r="A64" s="151">
        <f>'B) D RI'!A65</f>
        <v>5494</v>
      </c>
      <c r="B64" s="152" t="str">
        <f>'B) D RI'!B65</f>
        <v>Pampigny</v>
      </c>
      <c r="C64" s="315">
        <f>'B) D RI'!S65</f>
        <v>73</v>
      </c>
      <c r="D64" s="153">
        <f>'B) D RI'!AA65</f>
        <v>1128</v>
      </c>
      <c r="E64" s="313">
        <f>'D) Ecrêtage'!C63</f>
        <v>36607.87342465754</v>
      </c>
      <c r="F64" s="317">
        <f>'E) Fact soc'!G69</f>
        <v>599336.06074266532</v>
      </c>
      <c r="G64" s="314">
        <f>'H) Péréquation directe'!I74</f>
        <v>154111.48296070262</v>
      </c>
      <c r="H64" s="317">
        <f>+'I) Dépenses thématiques'!T63</f>
        <v>-329088.10438356159</v>
      </c>
      <c r="I64" s="314">
        <f>'K) Plafonnement aide'!J63</f>
        <v>0</v>
      </c>
      <c r="J64" s="317">
        <f>'J) Plafonnement effort'!J63</f>
        <v>0</v>
      </c>
      <c r="K64" s="314">
        <f>'L) Plafonnement taux'!Q64</f>
        <v>0</v>
      </c>
      <c r="L64" s="312">
        <f t="shared" si="3"/>
        <v>424359.43931980635</v>
      </c>
      <c r="M64" s="233">
        <f>'M) Police'!O64</f>
        <v>110127.28582400871</v>
      </c>
      <c r="N64" s="233">
        <f t="shared" si="1"/>
        <v>534486.72514381504</v>
      </c>
      <c r="O64" s="317">
        <f t="shared" si="2"/>
        <v>-174976.62142285897</v>
      </c>
      <c r="P64" s="319"/>
    </row>
    <row r="65" spans="1:16" s="154" customFormat="1" x14ac:dyDescent="0.25">
      <c r="A65" s="151">
        <f>'B) D RI'!A66</f>
        <v>5495</v>
      </c>
      <c r="B65" s="152" t="str">
        <f>'B) D RI'!B66</f>
        <v>Penthalaz</v>
      </c>
      <c r="C65" s="315">
        <f>'B) D RI'!S66</f>
        <v>74</v>
      </c>
      <c r="D65" s="153">
        <f>'B) D RI'!AA66</f>
        <v>3207</v>
      </c>
      <c r="E65" s="313">
        <f>'D) Ecrêtage'!C64</f>
        <v>93361.472702702697</v>
      </c>
      <c r="F65" s="317">
        <f>'E) Fact soc'!G70</f>
        <v>1549880.4430886707</v>
      </c>
      <c r="G65" s="314">
        <f>'H) Péréquation directe'!I75</f>
        <v>-474596.08867585799</v>
      </c>
      <c r="H65" s="317">
        <f>+'I) Dépenses thématiques'!T64</f>
        <v>-611218.66378378379</v>
      </c>
      <c r="I65" s="314">
        <f>'K) Plafonnement aide'!J64</f>
        <v>0</v>
      </c>
      <c r="J65" s="317">
        <f>'J) Plafonnement effort'!J64</f>
        <v>0</v>
      </c>
      <c r="K65" s="314">
        <f>'L) Plafonnement taux'!Q65</f>
        <v>0</v>
      </c>
      <c r="L65" s="312">
        <f t="shared" si="3"/>
        <v>464065.69062902895</v>
      </c>
      <c r="M65" s="233">
        <f>'M) Police'!O65</f>
        <v>281479.89355455973</v>
      </c>
      <c r="N65" s="233">
        <f t="shared" si="1"/>
        <v>745545.58418358862</v>
      </c>
      <c r="O65" s="317">
        <f t="shared" si="2"/>
        <v>-1085814.7524596418</v>
      </c>
      <c r="P65" s="319"/>
    </row>
    <row r="66" spans="1:16" s="154" customFormat="1" x14ac:dyDescent="0.25">
      <c r="A66" s="151">
        <f>'B) D RI'!A67</f>
        <v>5496</v>
      </c>
      <c r="B66" s="152" t="str">
        <f>'B) D RI'!B67</f>
        <v>Penthaz</v>
      </c>
      <c r="C66" s="315">
        <f>'B) D RI'!S67</f>
        <v>69.5</v>
      </c>
      <c r="D66" s="153">
        <f>'B) D RI'!AA67</f>
        <v>1855</v>
      </c>
      <c r="E66" s="313">
        <f>'D) Ecrêtage'!C65</f>
        <v>60131.11913669065</v>
      </c>
      <c r="F66" s="317">
        <f>'E) Fact soc'!G71</f>
        <v>992458.6058295496</v>
      </c>
      <c r="G66" s="314">
        <f>'H) Péréquation directe'!I76</f>
        <v>165201.4060787356</v>
      </c>
      <c r="H66" s="317">
        <f>+'I) Dépenses thématiques'!T65</f>
        <v>-206960.28517985612</v>
      </c>
      <c r="I66" s="314">
        <f>'K) Plafonnement aide'!J65</f>
        <v>0</v>
      </c>
      <c r="J66" s="317">
        <f>'J) Plafonnement effort'!J65</f>
        <v>0</v>
      </c>
      <c r="K66" s="314">
        <f>'L) Plafonnement taux'!Q66</f>
        <v>0</v>
      </c>
      <c r="L66" s="312">
        <f t="shared" si="3"/>
        <v>950699.7267284292</v>
      </c>
      <c r="M66" s="233">
        <f>'M) Police'!O66</f>
        <v>180589.97524510906</v>
      </c>
      <c r="N66" s="233">
        <f t="shared" si="1"/>
        <v>1131289.7019735384</v>
      </c>
      <c r="O66" s="317">
        <f t="shared" si="2"/>
        <v>-41758.879101120518</v>
      </c>
      <c r="P66" s="319"/>
    </row>
    <row r="67" spans="1:16" s="154" customFormat="1" x14ac:dyDescent="0.25">
      <c r="A67" s="151">
        <f>'B) D RI'!A68</f>
        <v>5497</v>
      </c>
      <c r="B67" s="152" t="str">
        <f>'B) D RI'!B68</f>
        <v>Pompaples</v>
      </c>
      <c r="C67" s="315">
        <f>'B) D RI'!S68</f>
        <v>66</v>
      </c>
      <c r="D67" s="153">
        <f>'B) D RI'!AA68</f>
        <v>847</v>
      </c>
      <c r="E67" s="313">
        <f>'D) Ecrêtage'!C66</f>
        <v>20396.986060606061</v>
      </c>
      <c r="F67" s="317">
        <f>'E) Fact soc'!G72</f>
        <v>355867.16293991171</v>
      </c>
      <c r="G67" s="314">
        <f>'H) Péréquation directe'!I77</f>
        <v>-70697.076277764456</v>
      </c>
      <c r="H67" s="317">
        <f>+'I) Dépenses thématiques'!T66</f>
        <v>-100851.08363636363</v>
      </c>
      <c r="I67" s="314">
        <f>'K) Plafonnement aide'!J66</f>
        <v>0</v>
      </c>
      <c r="J67" s="317">
        <f>'J) Plafonnement effort'!J66</f>
        <v>0</v>
      </c>
      <c r="K67" s="314">
        <f>'L) Plafonnement taux'!Q67</f>
        <v>0</v>
      </c>
      <c r="L67" s="312">
        <f t="shared" si="3"/>
        <v>184319.00302578363</v>
      </c>
      <c r="M67" s="233">
        <f>'M) Police'!O67</f>
        <v>60156.151267421548</v>
      </c>
      <c r="N67" s="233">
        <f t="shared" si="1"/>
        <v>244475.15429320518</v>
      </c>
      <c r="O67" s="317">
        <f t="shared" si="2"/>
        <v>-171548.15991412807</v>
      </c>
      <c r="P67" s="319"/>
    </row>
    <row r="68" spans="1:16" s="154" customFormat="1" x14ac:dyDescent="0.25">
      <c r="A68" s="151">
        <f>'B) D RI'!A69</f>
        <v>5498</v>
      </c>
      <c r="B68" s="152" t="str">
        <f>'B) D RI'!B69</f>
        <v>La Sarraz</v>
      </c>
      <c r="C68" s="315">
        <f>'B) D RI'!S69</f>
        <v>66</v>
      </c>
      <c r="D68" s="153">
        <f>'B) D RI'!AA69</f>
        <v>2598</v>
      </c>
      <c r="E68" s="313">
        <f>'D) Ecrêtage'!C67</f>
        <v>77508.241969696974</v>
      </c>
      <c r="F68" s="317">
        <f>'E) Fact soc'!G73</f>
        <v>1217727.7686985384</v>
      </c>
      <c r="G68" s="314">
        <f>'H) Péréquation directe'!I78</f>
        <v>-25925.788044286892</v>
      </c>
      <c r="H68" s="317">
        <f>+'I) Dépenses thématiques'!T67</f>
        <v>-426083.29818181816</v>
      </c>
      <c r="I68" s="314">
        <f>'K) Plafonnement aide'!J67</f>
        <v>0</v>
      </c>
      <c r="J68" s="317">
        <f>'J) Plafonnement effort'!J67</f>
        <v>0</v>
      </c>
      <c r="K68" s="314">
        <f>'L) Plafonnement taux'!Q68</f>
        <v>0</v>
      </c>
      <c r="L68" s="312">
        <f t="shared" si="3"/>
        <v>765718.68247243343</v>
      </c>
      <c r="M68" s="233">
        <f>'M) Police'!O68</f>
        <v>233319.69605226364</v>
      </c>
      <c r="N68" s="233">
        <f t="shared" si="1"/>
        <v>999038.37852469704</v>
      </c>
      <c r="O68" s="317">
        <f t="shared" si="2"/>
        <v>-452009.08622610505</v>
      </c>
      <c r="P68" s="319"/>
    </row>
    <row r="69" spans="1:16" s="154" customFormat="1" x14ac:dyDescent="0.25">
      <c r="A69" s="151">
        <f>'B) D RI'!A70</f>
        <v>5499</v>
      </c>
      <c r="B69" s="152" t="str">
        <f>'B) D RI'!B70</f>
        <v>Senarclens</v>
      </c>
      <c r="C69" s="315">
        <f>'B) D RI'!S70</f>
        <v>68.5</v>
      </c>
      <c r="D69" s="153">
        <f>'B) D RI'!AA70</f>
        <v>496</v>
      </c>
      <c r="E69" s="313">
        <f>'D) Ecrêtage'!C68</f>
        <v>19654.447445255475</v>
      </c>
      <c r="F69" s="317">
        <f>'E) Fact soc'!G74</f>
        <v>391026.51228041184</v>
      </c>
      <c r="G69" s="314">
        <f>'H) Péréquation directe'!I79</f>
        <v>235383.56143937854</v>
      </c>
      <c r="H69" s="317">
        <f>+'I) Dépenses thématiques'!T68</f>
        <v>-217614.31532846717</v>
      </c>
      <c r="I69" s="314">
        <f>'K) Plafonnement aide'!J68</f>
        <v>0</v>
      </c>
      <c r="J69" s="317">
        <f>'J) Plafonnement effort'!J68</f>
        <v>0</v>
      </c>
      <c r="K69" s="314">
        <f>'L) Plafonnement taux'!Q69</f>
        <v>0</v>
      </c>
      <c r="L69" s="312">
        <f t="shared" si="3"/>
        <v>408795.75839132327</v>
      </c>
      <c r="M69" s="233">
        <f>'M) Police'!O69</f>
        <v>59496.30581763167</v>
      </c>
      <c r="N69" s="233">
        <f t="shared" si="1"/>
        <v>468292.06420895492</v>
      </c>
      <c r="O69" s="317">
        <f t="shared" si="2"/>
        <v>17769.246110911365</v>
      </c>
      <c r="P69" s="319"/>
    </row>
    <row r="70" spans="1:16" s="154" customFormat="1" x14ac:dyDescent="0.25">
      <c r="A70" s="151">
        <f>'B) D RI'!A71</f>
        <v>5500</v>
      </c>
      <c r="B70" s="152" t="str">
        <f>'B) D RI'!B71</f>
        <v>Sévery</v>
      </c>
      <c r="C70" s="315">
        <f>'B) D RI'!S71</f>
        <v>73</v>
      </c>
      <c r="D70" s="153">
        <f>'B) D RI'!AA71</f>
        <v>214</v>
      </c>
      <c r="E70" s="313">
        <f>'D) Ecrêtage'!C69</f>
        <v>7516.1401369863015</v>
      </c>
      <c r="F70" s="317">
        <f>'E) Fact soc'!G75</f>
        <v>115388.89895187004</v>
      </c>
      <c r="G70" s="314">
        <f>'H) Péréquation directe'!I80</f>
        <v>57809.266996781269</v>
      </c>
      <c r="H70" s="317">
        <f>+'I) Dépenses thématiques'!T69</f>
        <v>-65062.409178082191</v>
      </c>
      <c r="I70" s="314">
        <f>'K) Plafonnement aide'!J69</f>
        <v>0</v>
      </c>
      <c r="J70" s="317">
        <f>'J) Plafonnement effort'!J69</f>
        <v>0</v>
      </c>
      <c r="K70" s="314">
        <f>'L) Plafonnement taux'!Q70</f>
        <v>0</v>
      </c>
      <c r="L70" s="312">
        <f t="shared" si="3"/>
        <v>108135.75677056913</v>
      </c>
      <c r="M70" s="233">
        <f>'M) Police'!O70</f>
        <v>22672.437005520362</v>
      </c>
      <c r="N70" s="233">
        <f t="shared" si="1"/>
        <v>130808.19377608949</v>
      </c>
      <c r="O70" s="317">
        <f t="shared" si="2"/>
        <v>-7253.1421813009219</v>
      </c>
      <c r="P70" s="319"/>
    </row>
    <row r="71" spans="1:16" s="154" customFormat="1" x14ac:dyDescent="0.25">
      <c r="A71" s="151">
        <f>'B) D RI'!A72</f>
        <v>5501</v>
      </c>
      <c r="B71" s="152" t="str">
        <f>'B) D RI'!B72</f>
        <v>Sullens</v>
      </c>
      <c r="C71" s="315">
        <f>'B) D RI'!S72</f>
        <v>68.5</v>
      </c>
      <c r="D71" s="153">
        <f>'B) D RI'!AA72</f>
        <v>1041</v>
      </c>
      <c r="E71" s="313">
        <f>'D) Ecrêtage'!C70</f>
        <v>41921.141459854021</v>
      </c>
      <c r="F71" s="317">
        <f>'E) Fact soc'!G76</f>
        <v>3754375.4041639715</v>
      </c>
      <c r="G71" s="314">
        <f>'H) Péréquation directe'!I81</f>
        <v>510344.92804152926</v>
      </c>
      <c r="H71" s="317">
        <f>+'I) Dépenses thématiques'!T70</f>
        <v>-15914.045145985356</v>
      </c>
      <c r="I71" s="314">
        <f>'K) Plafonnement aide'!J70</f>
        <v>0</v>
      </c>
      <c r="J71" s="317">
        <f>'J) Plafonnement effort'!J70</f>
        <v>0</v>
      </c>
      <c r="K71" s="314">
        <f>'L) Plafonnement taux'!Q71</f>
        <v>0</v>
      </c>
      <c r="L71" s="312">
        <f t="shared" si="3"/>
        <v>4248806.2870595148</v>
      </c>
      <c r="M71" s="233">
        <f>'M) Police'!O71</f>
        <v>126462.82764517193</v>
      </c>
      <c r="N71" s="233">
        <f t="shared" ref="N71:N134" si="4">L71+M71</f>
        <v>4375269.1147046871</v>
      </c>
      <c r="O71" s="317">
        <f t="shared" ref="O71:O134" si="5">SUM(G71:K71)</f>
        <v>494430.88289554388</v>
      </c>
      <c r="P71" s="319"/>
    </row>
    <row r="72" spans="1:16" s="154" customFormat="1" x14ac:dyDescent="0.25">
      <c r="A72" s="151">
        <f>'B) D RI'!A73</f>
        <v>5503</v>
      </c>
      <c r="B72" s="152" t="str">
        <f>'B) D RI'!B73</f>
        <v>Vufflens-la-Ville</v>
      </c>
      <c r="C72" s="315">
        <f>'B) D RI'!S73</f>
        <v>67</v>
      </c>
      <c r="D72" s="153">
        <f>'B) D RI'!AA73</f>
        <v>1349</v>
      </c>
      <c r="E72" s="313">
        <f>'D) Ecrêtage'!C71</f>
        <v>66677.882338308453</v>
      </c>
      <c r="F72" s="317">
        <f>'E) Fact soc'!G77</f>
        <v>1070384.7453561905</v>
      </c>
      <c r="G72" s="314">
        <f>'H) Péréquation directe'!I82</f>
        <v>1032656.9739296372</v>
      </c>
      <c r="H72" s="317">
        <f>+'I) Dépenses thématiques'!T71</f>
        <v>0</v>
      </c>
      <c r="I72" s="314">
        <f>'K) Plafonnement aide'!J71</f>
        <v>0</v>
      </c>
      <c r="J72" s="317">
        <f>'J) Plafonnement effort'!J71</f>
        <v>0</v>
      </c>
      <c r="K72" s="314">
        <f>'L) Plafonnement taux'!Q72</f>
        <v>0</v>
      </c>
      <c r="L72" s="312">
        <f t="shared" si="3"/>
        <v>2103041.7192858276</v>
      </c>
      <c r="M72" s="233">
        <f>'M) Police'!O72</f>
        <v>198411.46495345456</v>
      </c>
      <c r="N72" s="233">
        <f t="shared" si="4"/>
        <v>2301453.1842392823</v>
      </c>
      <c r="O72" s="317">
        <f t="shared" si="5"/>
        <v>1032656.9739296372</v>
      </c>
      <c r="P72" s="319"/>
    </row>
    <row r="73" spans="1:16" s="154" customFormat="1" x14ac:dyDescent="0.25">
      <c r="A73" s="151">
        <f>'B) D RI'!A74</f>
        <v>5511</v>
      </c>
      <c r="B73" s="152" t="str">
        <f>'B) D RI'!B74</f>
        <v>Assens</v>
      </c>
      <c r="C73" s="315">
        <f>'B) D RI'!S74</f>
        <v>70</v>
      </c>
      <c r="D73" s="153">
        <f>'B) D RI'!AA74</f>
        <v>1141</v>
      </c>
      <c r="E73" s="313">
        <f>'D) Ecrêtage'!C72</f>
        <v>44474.742571428564</v>
      </c>
      <c r="F73" s="317">
        <f>'E) Fact soc'!G78</f>
        <v>665237.12357450649</v>
      </c>
      <c r="G73" s="314">
        <f>'H) Péréquation directe'!I83</f>
        <v>473214.98146192159</v>
      </c>
      <c r="H73" s="317">
        <f>+'I) Dépenses thématiques'!T72</f>
        <v>-184337.29457142862</v>
      </c>
      <c r="I73" s="314">
        <f>'K) Plafonnement aide'!J72</f>
        <v>0</v>
      </c>
      <c r="J73" s="317">
        <f>'J) Plafonnement effort'!J72</f>
        <v>0</v>
      </c>
      <c r="K73" s="314">
        <f>'L) Plafonnement taux'!Q73</f>
        <v>0</v>
      </c>
      <c r="L73" s="312">
        <f t="shared" si="3"/>
        <v>954114.81046499964</v>
      </c>
      <c r="M73" s="233">
        <f>'M) Police'!O73</f>
        <v>133811.88295789278</v>
      </c>
      <c r="N73" s="233">
        <f t="shared" si="4"/>
        <v>1087926.6934228924</v>
      </c>
      <c r="O73" s="317">
        <f t="shared" si="5"/>
        <v>288877.68689049297</v>
      </c>
      <c r="P73" s="319"/>
    </row>
    <row r="74" spans="1:16" s="154" customFormat="1" x14ac:dyDescent="0.25">
      <c r="A74" s="151">
        <f>'B) D RI'!A75</f>
        <v>5512</v>
      </c>
      <c r="B74" s="152" t="str">
        <f>'B) D RI'!B75</f>
        <v>Bercher</v>
      </c>
      <c r="C74" s="315">
        <f>'B) D RI'!S75</f>
        <v>79</v>
      </c>
      <c r="D74" s="153">
        <f>'B) D RI'!AA75</f>
        <v>1323</v>
      </c>
      <c r="E74" s="313">
        <f>'D) Ecrêtage'!C73</f>
        <v>40313.482784810127</v>
      </c>
      <c r="F74" s="317">
        <f>'E) Fact soc'!G79</f>
        <v>628833.07560609188</v>
      </c>
      <c r="G74" s="314">
        <f>'H) Péréquation directe'!I84</f>
        <v>-49846.346290635061</v>
      </c>
      <c r="H74" s="317">
        <f>+'I) Dépenses thématiques'!T73</f>
        <v>-235525.99120253164</v>
      </c>
      <c r="I74" s="314">
        <f>'K) Plafonnement aide'!J73</f>
        <v>0</v>
      </c>
      <c r="J74" s="317">
        <f>'J) Plafonnement effort'!J73</f>
        <v>0</v>
      </c>
      <c r="K74" s="314">
        <f>'L) Plafonnement taux'!Q74</f>
        <v>0</v>
      </c>
      <c r="L74" s="312">
        <f t="shared" si="3"/>
        <v>343460.7381129252</v>
      </c>
      <c r="M74" s="233">
        <f>'M) Police'!O74</f>
        <v>121131.79510414126</v>
      </c>
      <c r="N74" s="233">
        <f t="shared" si="4"/>
        <v>464592.53321706643</v>
      </c>
      <c r="O74" s="317">
        <f t="shared" si="5"/>
        <v>-285372.33749316668</v>
      </c>
      <c r="P74" s="319"/>
    </row>
    <row r="75" spans="1:16" s="154" customFormat="1" x14ac:dyDescent="0.25">
      <c r="A75" s="151">
        <f>'B) D RI'!A76</f>
        <v>5513</v>
      </c>
      <c r="B75" s="152" t="str">
        <f>'B) D RI'!B76</f>
        <v>Bioley-Orjulaz</v>
      </c>
      <c r="C75" s="315">
        <f>'B) D RI'!S76</f>
        <v>68</v>
      </c>
      <c r="D75" s="153">
        <f>'B) D RI'!AA76</f>
        <v>525</v>
      </c>
      <c r="E75" s="313">
        <f>'D) Ecrêtage'!C74</f>
        <v>22644.962352941177</v>
      </c>
      <c r="F75" s="317">
        <f>'E) Fact soc'!G80</f>
        <v>433443.51151146297</v>
      </c>
      <c r="G75" s="314">
        <f>'H) Péréquation directe'!I85</f>
        <v>319822.48400750529</v>
      </c>
      <c r="H75" s="317">
        <f>+'I) Dépenses thématiques'!T74</f>
        <v>0</v>
      </c>
      <c r="I75" s="314">
        <f>'K) Plafonnement aide'!J74</f>
        <v>0</v>
      </c>
      <c r="J75" s="317">
        <f>'J) Plafonnement effort'!J74</f>
        <v>0</v>
      </c>
      <c r="K75" s="314">
        <f>'L) Plafonnement taux'!Q75</f>
        <v>0</v>
      </c>
      <c r="L75" s="312">
        <f t="shared" si="3"/>
        <v>753265.99551896821</v>
      </c>
      <c r="M75" s="233">
        <f>'M) Police'!O75</f>
        <v>68065.088364169598</v>
      </c>
      <c r="N75" s="233">
        <f t="shared" si="4"/>
        <v>821331.08388313779</v>
      </c>
      <c r="O75" s="317">
        <f t="shared" si="5"/>
        <v>319822.48400750529</v>
      </c>
      <c r="P75" s="319"/>
    </row>
    <row r="76" spans="1:16" s="154" customFormat="1" x14ac:dyDescent="0.25">
      <c r="A76" s="151">
        <f>'B) D RI'!A77</f>
        <v>5514</v>
      </c>
      <c r="B76" s="152" t="str">
        <f>'B) D RI'!B77</f>
        <v>Bottens</v>
      </c>
      <c r="C76" s="315">
        <f>'B) D RI'!S77</f>
        <v>72.5</v>
      </c>
      <c r="D76" s="153">
        <f>'B) D RI'!AA77</f>
        <v>1330</v>
      </c>
      <c r="E76" s="313">
        <f>'D) Ecrêtage'!C75</f>
        <v>44190.368827586208</v>
      </c>
      <c r="F76" s="317">
        <f>'E) Fact soc'!G81</f>
        <v>690300.86203251791</v>
      </c>
      <c r="G76" s="314">
        <f>'H) Péréquation directe'!I86</f>
        <v>189174.23911613936</v>
      </c>
      <c r="H76" s="317">
        <f>+'I) Dépenses thématiques'!T75</f>
        <v>0</v>
      </c>
      <c r="I76" s="314">
        <f>'K) Plafonnement aide'!J75</f>
        <v>0</v>
      </c>
      <c r="J76" s="317">
        <f>'J) Plafonnement effort'!J75</f>
        <v>0</v>
      </c>
      <c r="K76" s="314">
        <f>'L) Plafonnement taux'!Q76</f>
        <v>0</v>
      </c>
      <c r="L76" s="312">
        <f t="shared" si="3"/>
        <v>879475.10114865727</v>
      </c>
      <c r="M76" s="233">
        <f>'M) Police'!O76</f>
        <v>133505.04650105038</v>
      </c>
      <c r="N76" s="233">
        <f t="shared" si="4"/>
        <v>1012980.1476497076</v>
      </c>
      <c r="O76" s="317">
        <f t="shared" si="5"/>
        <v>189174.23911613936</v>
      </c>
      <c r="P76" s="319"/>
    </row>
    <row r="77" spans="1:16" s="154" customFormat="1" x14ac:dyDescent="0.25">
      <c r="A77" s="151">
        <f>'B) D RI'!A78</f>
        <v>5515</v>
      </c>
      <c r="B77" s="152" t="str">
        <f>'B) D RI'!B78</f>
        <v>Bretigny-sur-Morrens</v>
      </c>
      <c r="C77" s="315">
        <f>'B) D RI'!S78</f>
        <v>81</v>
      </c>
      <c r="D77" s="153">
        <f>'B) D RI'!AA78</f>
        <v>859</v>
      </c>
      <c r="E77" s="313">
        <f>'D) Ecrêtage'!C76</f>
        <v>29586.483086419765</v>
      </c>
      <c r="F77" s="317">
        <f>'E) Fact soc'!G82</f>
        <v>518529.91078825039</v>
      </c>
      <c r="G77" s="314">
        <f>'H) Péréquation directe'!I87</f>
        <v>150111.20704204298</v>
      </c>
      <c r="H77" s="317">
        <f>+'I) Dépenses thématiques'!T76</f>
        <v>-53029.601481481412</v>
      </c>
      <c r="I77" s="314">
        <f>'K) Plafonnement aide'!J76</f>
        <v>0</v>
      </c>
      <c r="J77" s="317">
        <f>'J) Plafonnement effort'!J76</f>
        <v>0</v>
      </c>
      <c r="K77" s="314">
        <f>'L) Plafonnement taux'!Q77</f>
        <v>0</v>
      </c>
      <c r="L77" s="312">
        <f t="shared" si="3"/>
        <v>615611.51634881191</v>
      </c>
      <c r="M77" s="233">
        <f>'M) Police'!O77</f>
        <v>89525.197700337449</v>
      </c>
      <c r="N77" s="233">
        <f t="shared" si="4"/>
        <v>705136.7140491493</v>
      </c>
      <c r="O77" s="317">
        <f t="shared" si="5"/>
        <v>97081.605560561569</v>
      </c>
      <c r="P77" s="319"/>
    </row>
    <row r="78" spans="1:16" s="154" customFormat="1" x14ac:dyDescent="0.25">
      <c r="A78" s="151">
        <f>'B) D RI'!A79</f>
        <v>5516</v>
      </c>
      <c r="B78" s="152" t="str">
        <f>'B) D RI'!B79</f>
        <v>Cugy</v>
      </c>
      <c r="C78" s="315">
        <f>'B) D RI'!S79</f>
        <v>78</v>
      </c>
      <c r="D78" s="153">
        <f>'B) D RI'!AA79</f>
        <v>2760</v>
      </c>
      <c r="E78" s="313">
        <f>'D) Ecrêtage'!C77</f>
        <v>107062.26318376069</v>
      </c>
      <c r="F78" s="317">
        <f>'E) Fact soc'!G83</f>
        <v>1833351.4484885153</v>
      </c>
      <c r="G78" s="314">
        <f>'H) Péréquation directe'!I88</f>
        <v>684871.60342520475</v>
      </c>
      <c r="H78" s="317">
        <f>+'I) Dépenses thématiques'!T77</f>
        <v>-162833.17089743586</v>
      </c>
      <c r="I78" s="314">
        <f>'K) Plafonnement aide'!J77</f>
        <v>0</v>
      </c>
      <c r="J78" s="317">
        <f>'J) Plafonnement effort'!J77</f>
        <v>0</v>
      </c>
      <c r="K78" s="314">
        <f>'L) Plafonnement taux'!Q78</f>
        <v>0</v>
      </c>
      <c r="L78" s="312">
        <f t="shared" si="3"/>
        <v>2355389.8810162842</v>
      </c>
      <c r="M78" s="233">
        <f>'M) Police'!O78</f>
        <v>323843.62230595609</v>
      </c>
      <c r="N78" s="233">
        <f t="shared" si="4"/>
        <v>2679233.5033222404</v>
      </c>
      <c r="O78" s="317">
        <f t="shared" si="5"/>
        <v>522038.43252776889</v>
      </c>
      <c r="P78" s="319"/>
    </row>
    <row r="79" spans="1:16" s="154" customFormat="1" x14ac:dyDescent="0.25">
      <c r="A79" s="151">
        <f>'B) D RI'!A80</f>
        <v>5518</v>
      </c>
      <c r="B79" s="152" t="str">
        <f>'B) D RI'!B80</f>
        <v>Echallens</v>
      </c>
      <c r="C79" s="315">
        <f>'B) D RI'!S80</f>
        <v>72.5</v>
      </c>
      <c r="D79" s="153">
        <f>'B) D RI'!AA80</f>
        <v>5731</v>
      </c>
      <c r="E79" s="313">
        <f>'D) Ecrêtage'!C78</f>
        <v>178756.07310344829</v>
      </c>
      <c r="F79" s="317">
        <f>'E) Fact soc'!G84</f>
        <v>3025287.7865154459</v>
      </c>
      <c r="G79" s="314">
        <f>'H) Péréquation directe'!I89</f>
        <v>-871638.22224902268</v>
      </c>
      <c r="H79" s="317">
        <f>+'I) Dépenses thématiques'!T78</f>
        <v>-1191141.3113793102</v>
      </c>
      <c r="I79" s="314">
        <f>'K) Plafonnement aide'!J78</f>
        <v>0</v>
      </c>
      <c r="J79" s="317">
        <f>'J) Plafonnement effort'!J78</f>
        <v>0</v>
      </c>
      <c r="K79" s="314">
        <f>'L) Plafonnement taux'!Q79</f>
        <v>0</v>
      </c>
      <c r="L79" s="312">
        <f t="shared" si="3"/>
        <v>962508.25288711302</v>
      </c>
      <c r="M79" s="233">
        <f>'M) Police'!O79</f>
        <v>536315.94307221542</v>
      </c>
      <c r="N79" s="233">
        <f t="shared" si="4"/>
        <v>1498824.1959593284</v>
      </c>
      <c r="O79" s="317">
        <f t="shared" si="5"/>
        <v>-2062779.5336283329</v>
      </c>
      <c r="P79" s="319"/>
    </row>
    <row r="80" spans="1:16" s="154" customFormat="1" x14ac:dyDescent="0.25">
      <c r="A80" s="151">
        <f>'B) D RI'!A81</f>
        <v>5520</v>
      </c>
      <c r="B80" s="152" t="str">
        <f>'B) D RI'!B81</f>
        <v>Essertines-sur-Yverdon</v>
      </c>
      <c r="C80" s="315">
        <f>'B) D RI'!S81</f>
        <v>73</v>
      </c>
      <c r="D80" s="153">
        <f>'B) D RI'!AA81</f>
        <v>1036</v>
      </c>
      <c r="E80" s="313">
        <f>'D) Ecrêtage'!C79</f>
        <v>29733.806712328769</v>
      </c>
      <c r="F80" s="317">
        <f>'E) Fact soc'!G85</f>
        <v>533823.13336251397</v>
      </c>
      <c r="G80" s="314">
        <f>'H) Péréquation directe'!I90</f>
        <v>2096.5944526303792</v>
      </c>
      <c r="H80" s="317">
        <f>+'I) Dépenses thématiques'!T79</f>
        <v>-142889.05469178082</v>
      </c>
      <c r="I80" s="314">
        <f>'K) Plafonnement aide'!J79</f>
        <v>0</v>
      </c>
      <c r="J80" s="317">
        <f>'J) Plafonnement effort'!J79</f>
        <v>0</v>
      </c>
      <c r="K80" s="314">
        <f>'L) Plafonnement taux'!Q80</f>
        <v>0</v>
      </c>
      <c r="L80" s="312">
        <f t="shared" si="3"/>
        <v>393030.67312336352</v>
      </c>
      <c r="M80" s="233">
        <f>'M) Police'!O80</f>
        <v>89076.159807456279</v>
      </c>
      <c r="N80" s="233">
        <f t="shared" si="4"/>
        <v>482106.83293081983</v>
      </c>
      <c r="O80" s="317">
        <f t="shared" si="5"/>
        <v>-140792.46023915044</v>
      </c>
      <c r="P80" s="319"/>
    </row>
    <row r="81" spans="1:16" s="154" customFormat="1" x14ac:dyDescent="0.25">
      <c r="A81" s="151">
        <f>'B) D RI'!A82</f>
        <v>5521</v>
      </c>
      <c r="B81" s="152" t="str">
        <f>'B) D RI'!B82</f>
        <v>Etagnières</v>
      </c>
      <c r="C81" s="315">
        <f>'B) D RI'!S82</f>
        <v>73</v>
      </c>
      <c r="D81" s="153">
        <f>'B) D RI'!AA82</f>
        <v>1148</v>
      </c>
      <c r="E81" s="313">
        <f>'D) Ecrêtage'!C80</f>
        <v>46797.314657534247</v>
      </c>
      <c r="F81" s="317">
        <f>'E) Fact soc'!G86</f>
        <v>727071.22683345852</v>
      </c>
      <c r="G81" s="314">
        <f>'H) Péréquation directe'!I91</f>
        <v>539693.51072724676</v>
      </c>
      <c r="H81" s="317">
        <f>+'I) Dépenses thématiques'!T80</f>
        <v>-68111.612054794517</v>
      </c>
      <c r="I81" s="314">
        <f>'K) Plafonnement aide'!J80</f>
        <v>0</v>
      </c>
      <c r="J81" s="317">
        <f>'J) Plafonnement effort'!J80</f>
        <v>0</v>
      </c>
      <c r="K81" s="314">
        <f>'L) Plafonnement taux'!Q81</f>
        <v>0</v>
      </c>
      <c r="L81" s="312">
        <f t="shared" si="3"/>
        <v>1198653.1255059107</v>
      </c>
      <c r="M81" s="233">
        <f>'M) Police'!O81</f>
        <v>140890.66285344373</v>
      </c>
      <c r="N81" s="233">
        <f t="shared" si="4"/>
        <v>1339543.7883593545</v>
      </c>
      <c r="O81" s="317">
        <f t="shared" si="5"/>
        <v>471581.89867245225</v>
      </c>
      <c r="P81" s="319"/>
    </row>
    <row r="82" spans="1:16" s="154" customFormat="1" x14ac:dyDescent="0.25">
      <c r="A82" s="151">
        <f>'B) D RI'!A83</f>
        <v>5522</v>
      </c>
      <c r="B82" s="152" t="str">
        <f>'B) D RI'!B83</f>
        <v>Fey</v>
      </c>
      <c r="C82" s="315">
        <f>'B) D RI'!S83</f>
        <v>75</v>
      </c>
      <c r="D82" s="153">
        <f>'B) D RI'!AA83</f>
        <v>749</v>
      </c>
      <c r="E82" s="313">
        <f>'D) Ecrêtage'!C81</f>
        <v>23726.940933333331</v>
      </c>
      <c r="F82" s="317">
        <f>'E) Fact soc'!G87</f>
        <v>348465.38719532831</v>
      </c>
      <c r="G82" s="314">
        <f>'H) Péréquation directe'!I92</f>
        <v>83077.878827203065</v>
      </c>
      <c r="H82" s="317">
        <f>+'I) Dépenses thématiques'!T81</f>
        <v>-109288.14870000002</v>
      </c>
      <c r="I82" s="314">
        <f>'K) Plafonnement aide'!J81</f>
        <v>0</v>
      </c>
      <c r="J82" s="317">
        <f>'J) Plafonnement effort'!J81</f>
        <v>0</v>
      </c>
      <c r="K82" s="314">
        <f>'L) Plafonnement taux'!Q82</f>
        <v>0</v>
      </c>
      <c r="L82" s="312">
        <f t="shared" si="3"/>
        <v>322255.11732253135</v>
      </c>
      <c r="M82" s="233">
        <f>'M) Police'!O82</f>
        <v>71551.489396078134</v>
      </c>
      <c r="N82" s="233">
        <f t="shared" si="4"/>
        <v>393806.60671860946</v>
      </c>
      <c r="O82" s="317">
        <f t="shared" si="5"/>
        <v>-26210.269872796955</v>
      </c>
      <c r="P82" s="319"/>
    </row>
    <row r="83" spans="1:16" s="154" customFormat="1" x14ac:dyDescent="0.25">
      <c r="A83" s="151">
        <f>'B) D RI'!A84</f>
        <v>5523</v>
      </c>
      <c r="B83" s="152" t="str">
        <f>'B) D RI'!B84</f>
        <v>Froideville</v>
      </c>
      <c r="C83" s="315">
        <f>'B) D RI'!S84</f>
        <v>72</v>
      </c>
      <c r="D83" s="153">
        <f>'B) D RI'!AA84</f>
        <v>2694</v>
      </c>
      <c r="E83" s="313">
        <f>'D) Ecrêtage'!C82</f>
        <v>85868.846805555557</v>
      </c>
      <c r="F83" s="317">
        <f>'E) Fact soc'!G88</f>
        <v>1301915.7545594652</v>
      </c>
      <c r="G83" s="314">
        <f>'H) Péréquation directe'!I93</f>
        <v>20433.163062874461</v>
      </c>
      <c r="H83" s="317">
        <f>+'I) Dépenses thématiques'!T82</f>
        <v>-121979.41916666666</v>
      </c>
      <c r="I83" s="314">
        <f>'K) Plafonnement aide'!J82</f>
        <v>0</v>
      </c>
      <c r="J83" s="317">
        <f>'J) Plafonnement effort'!J82</f>
        <v>0</v>
      </c>
      <c r="K83" s="314">
        <f>'L) Plafonnement taux'!Q83</f>
        <v>0</v>
      </c>
      <c r="L83" s="312">
        <f t="shared" si="3"/>
        <v>1200369.498455673</v>
      </c>
      <c r="M83" s="233">
        <f>'M) Police'!O83</f>
        <v>257588.84377233568</v>
      </c>
      <c r="N83" s="233">
        <f t="shared" si="4"/>
        <v>1457958.3422280087</v>
      </c>
      <c r="O83" s="317">
        <f t="shared" si="5"/>
        <v>-101546.2561037922</v>
      </c>
      <c r="P83" s="319"/>
    </row>
    <row r="84" spans="1:16" s="154" customFormat="1" x14ac:dyDescent="0.25">
      <c r="A84" s="151">
        <f>'B) D RI'!A85</f>
        <v>5527</v>
      </c>
      <c r="B84" s="152" t="str">
        <f>'B) D RI'!B85</f>
        <v>Morrens</v>
      </c>
      <c r="C84" s="315">
        <f>'B) D RI'!S85</f>
        <v>74</v>
      </c>
      <c r="D84" s="153">
        <f>'B) D RI'!AA85</f>
        <v>1153</v>
      </c>
      <c r="E84" s="313">
        <f>'D) Ecrêtage'!C83</f>
        <v>40564.204594594594</v>
      </c>
      <c r="F84" s="317">
        <f>'E) Fact soc'!G89</f>
        <v>629608.37800918531</v>
      </c>
      <c r="G84" s="314">
        <f>'H) Péréquation directe'!I94</f>
        <v>271259.72184147051</v>
      </c>
      <c r="H84" s="317">
        <f>+'I) Dépenses thématiques'!T83</f>
        <v>-83663.522432432437</v>
      </c>
      <c r="I84" s="314">
        <f>'K) Plafonnement aide'!J83</f>
        <v>0</v>
      </c>
      <c r="J84" s="317">
        <f>'J) Plafonnement effort'!J83</f>
        <v>0</v>
      </c>
      <c r="K84" s="314">
        <f>'L) Plafonnement taux'!Q84</f>
        <v>0</v>
      </c>
      <c r="L84" s="312">
        <f t="shared" si="3"/>
        <v>817204.57741822337</v>
      </c>
      <c r="M84" s="233">
        <f>'M) Police'!O84</f>
        <v>122276.48466461255</v>
      </c>
      <c r="N84" s="233">
        <f t="shared" si="4"/>
        <v>939481.06208283594</v>
      </c>
      <c r="O84" s="317">
        <f t="shared" si="5"/>
        <v>187596.19940903806</v>
      </c>
      <c r="P84" s="319"/>
    </row>
    <row r="85" spans="1:16" s="154" customFormat="1" x14ac:dyDescent="0.25">
      <c r="A85" s="151">
        <f>'B) D RI'!A86</f>
        <v>5529</v>
      </c>
      <c r="B85" s="152" t="str">
        <f>'B) D RI'!B86</f>
        <v>Oulens-sous-Echallens</v>
      </c>
      <c r="C85" s="315">
        <f>'B) D RI'!S86</f>
        <v>70</v>
      </c>
      <c r="D85" s="153">
        <f>'B) D RI'!AA86</f>
        <v>618</v>
      </c>
      <c r="E85" s="313">
        <f>'D) Ecrêtage'!C84</f>
        <v>20201.245428571427</v>
      </c>
      <c r="F85" s="317">
        <f>'E) Fact soc'!G90</f>
        <v>294974.60505310714</v>
      </c>
      <c r="G85" s="314">
        <f>'H) Péréquation directe'!I95</f>
        <v>122423.24717382004</v>
      </c>
      <c r="H85" s="317">
        <f>+'I) Dépenses thématiques'!T84</f>
        <v>-65814.77742857144</v>
      </c>
      <c r="I85" s="314">
        <f>'K) Plafonnement aide'!J84</f>
        <v>0</v>
      </c>
      <c r="J85" s="317">
        <f>'J) Plafonnement effort'!J84</f>
        <v>0</v>
      </c>
      <c r="K85" s="314">
        <f>'L) Plafonnement taux'!Q85</f>
        <v>0</v>
      </c>
      <c r="L85" s="312">
        <f t="shared" si="3"/>
        <v>351583.07479835575</v>
      </c>
      <c r="M85" s="233">
        <f>'M) Police'!O85</f>
        <v>60608.43353925168</v>
      </c>
      <c r="N85" s="233">
        <f t="shared" si="4"/>
        <v>412191.50833760743</v>
      </c>
      <c r="O85" s="317">
        <f t="shared" si="5"/>
        <v>56608.4697452486</v>
      </c>
      <c r="P85" s="319"/>
    </row>
    <row r="86" spans="1:16" s="154" customFormat="1" x14ac:dyDescent="0.25">
      <c r="A86" s="151">
        <f>'B) D RI'!A87</f>
        <v>5530</v>
      </c>
      <c r="B86" s="152" t="str">
        <f>'B) D RI'!B87</f>
        <v>Pailly</v>
      </c>
      <c r="C86" s="315">
        <f>'B) D RI'!S87</f>
        <v>76</v>
      </c>
      <c r="D86" s="153">
        <f>'B) D RI'!AA87</f>
        <v>567</v>
      </c>
      <c r="E86" s="313">
        <f>'D) Ecrêtage'!C85</f>
        <v>18302.009495614031</v>
      </c>
      <c r="F86" s="317">
        <f>'E) Fact soc'!G91</f>
        <v>259766.22801436196</v>
      </c>
      <c r="G86" s="314">
        <f>'H) Péréquation directe'!I96</f>
        <v>71641.699127833475</v>
      </c>
      <c r="H86" s="317">
        <f>+'I) Dépenses thématiques'!T85</f>
        <v>-373632.68590460531</v>
      </c>
      <c r="I86" s="314">
        <f>'K) Plafonnement aide'!J85</f>
        <v>0</v>
      </c>
      <c r="J86" s="317">
        <f>'J) Plafonnement effort'!J85</f>
        <v>0</v>
      </c>
      <c r="K86" s="314">
        <f>'L) Plafonnement taux'!Q86</f>
        <v>0</v>
      </c>
      <c r="L86" s="312">
        <f t="shared" si="3"/>
        <v>-42224.758762409911</v>
      </c>
      <c r="M86" s="233">
        <f>'M) Police'!O86</f>
        <v>55312.528117536451</v>
      </c>
      <c r="N86" s="233">
        <f t="shared" si="4"/>
        <v>13087.76935512654</v>
      </c>
      <c r="O86" s="317">
        <f t="shared" si="5"/>
        <v>-301990.98677677184</v>
      </c>
      <c r="P86" s="319"/>
    </row>
    <row r="87" spans="1:16" s="154" customFormat="1" x14ac:dyDescent="0.25">
      <c r="A87" s="151">
        <f>'B) D RI'!A88</f>
        <v>5531</v>
      </c>
      <c r="B87" s="152" t="str">
        <f>'B) D RI'!B88</f>
        <v>Penthéréaz</v>
      </c>
      <c r="C87" s="315">
        <f>'B) D RI'!S88</f>
        <v>74</v>
      </c>
      <c r="D87" s="153">
        <f>'B) D RI'!AA88</f>
        <v>419</v>
      </c>
      <c r="E87" s="313">
        <f>'D) Ecrêtage'!C86</f>
        <v>13843.062702702704</v>
      </c>
      <c r="F87" s="317">
        <f>'E) Fact soc'!G92</f>
        <v>215030.35177479536</v>
      </c>
      <c r="G87" s="314">
        <f>'H) Péréquation directe'!I97</f>
        <v>74048.308781237691</v>
      </c>
      <c r="H87" s="317">
        <f>+'I) Dépenses thématiques'!T86</f>
        <v>-66376.826756756753</v>
      </c>
      <c r="I87" s="314">
        <f>'K) Plafonnement aide'!J86</f>
        <v>0</v>
      </c>
      <c r="J87" s="317">
        <f>'J) Plafonnement effort'!J86</f>
        <v>0</v>
      </c>
      <c r="K87" s="314">
        <f>'L) Plafonnement taux'!Q87</f>
        <v>0</v>
      </c>
      <c r="L87" s="312">
        <f t="shared" si="3"/>
        <v>222701.83379927627</v>
      </c>
      <c r="M87" s="233">
        <f>'M) Police'!O87</f>
        <v>41845.510848130849</v>
      </c>
      <c r="N87" s="233">
        <f t="shared" si="4"/>
        <v>264547.34464740712</v>
      </c>
      <c r="O87" s="317">
        <f t="shared" si="5"/>
        <v>7671.482024480938</v>
      </c>
      <c r="P87" s="319"/>
    </row>
    <row r="88" spans="1:16" s="154" customFormat="1" x14ac:dyDescent="0.25">
      <c r="A88" s="151">
        <f>'B) D RI'!A89</f>
        <v>5533</v>
      </c>
      <c r="B88" s="152" t="str">
        <f>'B) D RI'!B89</f>
        <v>Poliez-Pittet</v>
      </c>
      <c r="C88" s="315">
        <f>'B) D RI'!S89</f>
        <v>73</v>
      </c>
      <c r="D88" s="153">
        <f>'B) D RI'!AA89</f>
        <v>829</v>
      </c>
      <c r="E88" s="313">
        <f>'D) Ecrêtage'!C87</f>
        <v>27190.167945205478</v>
      </c>
      <c r="F88" s="317">
        <f>'E) Fact soc'!G93</f>
        <v>537823.50863287784</v>
      </c>
      <c r="G88" s="314">
        <f>'H) Péréquation directe'!I98</f>
        <v>145851.34755011683</v>
      </c>
      <c r="H88" s="317">
        <f>+'I) Dépenses thématiques'!T87</f>
        <v>-33167.124041095885</v>
      </c>
      <c r="I88" s="314">
        <f>'K) Plafonnement aide'!J87</f>
        <v>0</v>
      </c>
      <c r="J88" s="317">
        <f>'J) Plafonnement effort'!J87</f>
        <v>0</v>
      </c>
      <c r="K88" s="314">
        <f>'L) Plafonnement taux'!Q88</f>
        <v>0</v>
      </c>
      <c r="L88" s="312">
        <f t="shared" si="3"/>
        <v>650507.73214189883</v>
      </c>
      <c r="M88" s="233">
        <f>'M) Police'!O88</f>
        <v>82112.656513510679</v>
      </c>
      <c r="N88" s="233">
        <f t="shared" si="4"/>
        <v>732620.38865540945</v>
      </c>
      <c r="O88" s="317">
        <f t="shared" si="5"/>
        <v>112684.22350902094</v>
      </c>
      <c r="P88" s="319"/>
    </row>
    <row r="89" spans="1:16" s="154" customFormat="1" x14ac:dyDescent="0.25">
      <c r="A89" s="151">
        <f>'B) D RI'!A90</f>
        <v>5534</v>
      </c>
      <c r="B89" s="152" t="str">
        <f>'B) D RI'!B90</f>
        <v>Rueyres</v>
      </c>
      <c r="C89" s="315">
        <f>'B) D RI'!S90</f>
        <v>73</v>
      </c>
      <c r="D89" s="153">
        <f>'B) D RI'!AA90</f>
        <v>266</v>
      </c>
      <c r="E89" s="313">
        <f>'D) Ecrêtage'!C88</f>
        <v>9755.351210045661</v>
      </c>
      <c r="F89" s="317">
        <f>'E) Fact soc'!G94</f>
        <v>157053.35141308949</v>
      </c>
      <c r="G89" s="314">
        <f>'H) Péréquation directe'!I99</f>
        <v>88595.441174093794</v>
      </c>
      <c r="H89" s="317">
        <f>+'I) Dépenses thématiques'!T88</f>
        <v>-1834.2365924657543</v>
      </c>
      <c r="I89" s="314">
        <f>'K) Plafonnement aide'!J88</f>
        <v>0</v>
      </c>
      <c r="J89" s="317">
        <f>'J) Plafonnement effort'!J88</f>
        <v>0</v>
      </c>
      <c r="K89" s="314">
        <f>'L) Plafonnement taux'!Q89</f>
        <v>0</v>
      </c>
      <c r="L89" s="312">
        <f t="shared" si="3"/>
        <v>243814.55599471755</v>
      </c>
      <c r="M89" s="233">
        <f>'M) Police'!O89</f>
        <v>28782.38980764645</v>
      </c>
      <c r="N89" s="233">
        <f t="shared" si="4"/>
        <v>272596.94580236397</v>
      </c>
      <c r="O89" s="317">
        <f t="shared" si="5"/>
        <v>86761.204581628044</v>
      </c>
      <c r="P89" s="319"/>
    </row>
    <row r="90" spans="1:16" s="154" customFormat="1" x14ac:dyDescent="0.25">
      <c r="A90" s="151">
        <f>'B) D RI'!A91</f>
        <v>5535</v>
      </c>
      <c r="B90" s="152" t="str">
        <f>'B) D RI'!B91</f>
        <v>Saint-Barthélemy</v>
      </c>
      <c r="C90" s="315">
        <f>'B) D RI'!S91</f>
        <v>75</v>
      </c>
      <c r="D90" s="153">
        <f>'B) D RI'!AA91</f>
        <v>784</v>
      </c>
      <c r="E90" s="313">
        <f>'D) Ecrêtage'!C89</f>
        <v>22496.850133333337</v>
      </c>
      <c r="F90" s="317">
        <f>'E) Fact soc'!G95</f>
        <v>335003.96476661012</v>
      </c>
      <c r="G90" s="314">
        <f>'H) Péréquation directe'!I100</f>
        <v>-10643.409605509427</v>
      </c>
      <c r="H90" s="317">
        <f>+'I) Dépenses thématiques'!T89</f>
        <v>0</v>
      </c>
      <c r="I90" s="314">
        <f>'K) Plafonnement aide'!J89</f>
        <v>0</v>
      </c>
      <c r="J90" s="317">
        <f>'J) Plafonnement effort'!J89</f>
        <v>0</v>
      </c>
      <c r="K90" s="314">
        <f>'L) Plafonnement taux'!Q90</f>
        <v>0</v>
      </c>
      <c r="L90" s="312">
        <f t="shared" si="3"/>
        <v>324360.5551611007</v>
      </c>
      <c r="M90" s="233">
        <f>'M) Police'!O90</f>
        <v>67517.078743197664</v>
      </c>
      <c r="N90" s="233">
        <f t="shared" si="4"/>
        <v>391877.63390429836</v>
      </c>
      <c r="O90" s="317">
        <f t="shared" si="5"/>
        <v>-10643.409605509427</v>
      </c>
      <c r="P90" s="319"/>
    </row>
    <row r="91" spans="1:16" s="154" customFormat="1" x14ac:dyDescent="0.25">
      <c r="A91" s="151">
        <f>'B) D RI'!A92</f>
        <v>5537</v>
      </c>
      <c r="B91" s="152" t="str">
        <f>'B) D RI'!B92</f>
        <v>Villars-le-Terroir</v>
      </c>
      <c r="C91" s="315">
        <f>'B) D RI'!S92</f>
        <v>73</v>
      </c>
      <c r="D91" s="153">
        <f>'B) D RI'!AA92</f>
        <v>1281</v>
      </c>
      <c r="E91" s="313">
        <f>'D) Ecrêtage'!C90</f>
        <v>37963.269999999997</v>
      </c>
      <c r="F91" s="317">
        <f>'E) Fact soc'!G96</f>
        <v>610316.53705385723</v>
      </c>
      <c r="G91" s="314">
        <f>'H) Péréquation directe'!I101</f>
        <v>-1624.1171217185911</v>
      </c>
      <c r="H91" s="317">
        <f>+'I) Dépenses thématiques'!T90</f>
        <v>-41948.880000000019</v>
      </c>
      <c r="I91" s="314">
        <f>'K) Plafonnement aide'!J90</f>
        <v>0</v>
      </c>
      <c r="J91" s="317">
        <f>'J) Plafonnement effort'!J90</f>
        <v>0</v>
      </c>
      <c r="K91" s="314">
        <f>'L) Plafonnement taux'!Q91</f>
        <v>0</v>
      </c>
      <c r="L91" s="312">
        <f t="shared" si="3"/>
        <v>566743.53993213864</v>
      </c>
      <c r="M91" s="233">
        <f>'M) Police'!O91</f>
        <v>114054.98573572809</v>
      </c>
      <c r="N91" s="233">
        <f t="shared" si="4"/>
        <v>680798.52566786669</v>
      </c>
      <c r="O91" s="317">
        <f t="shared" si="5"/>
        <v>-43572.99712171861</v>
      </c>
      <c r="P91" s="319"/>
    </row>
    <row r="92" spans="1:16" s="154" customFormat="1" x14ac:dyDescent="0.25">
      <c r="A92" s="151">
        <f>'B) D RI'!A93</f>
        <v>5539</v>
      </c>
      <c r="B92" s="152" t="str">
        <f>'B) D RI'!B93</f>
        <v>Vuarrens</v>
      </c>
      <c r="C92" s="315">
        <f>'B) D RI'!S93</f>
        <v>73.5</v>
      </c>
      <c r="D92" s="153">
        <f>'B) D RI'!AA93</f>
        <v>1060</v>
      </c>
      <c r="E92" s="313">
        <f>'D) Ecrêtage'!C91</f>
        <v>35961.61534013605</v>
      </c>
      <c r="F92" s="317">
        <f>'E) Fact soc'!G97</f>
        <v>652106.91298492998</v>
      </c>
      <c r="G92" s="314">
        <f>'H) Péréquation directe'!I102</f>
        <v>217112.04523045663</v>
      </c>
      <c r="H92" s="317">
        <f>+'I) Dépenses thématiques'!T91</f>
        <v>-36503.538494897963</v>
      </c>
      <c r="I92" s="314">
        <f>'K) Plafonnement aide'!J91</f>
        <v>0</v>
      </c>
      <c r="J92" s="317">
        <f>'J) Plafonnement effort'!J91</f>
        <v>0</v>
      </c>
      <c r="K92" s="314">
        <f>'L) Plafonnement taux'!Q92</f>
        <v>0</v>
      </c>
      <c r="L92" s="312">
        <f t="shared" si="3"/>
        <v>832715.4197204886</v>
      </c>
      <c r="M92" s="233">
        <f>'M) Police'!O92</f>
        <v>108935.22967588052</v>
      </c>
      <c r="N92" s="233">
        <f t="shared" si="4"/>
        <v>941650.64939636912</v>
      </c>
      <c r="O92" s="317">
        <f t="shared" si="5"/>
        <v>180608.50673555868</v>
      </c>
      <c r="P92" s="319"/>
    </row>
    <row r="93" spans="1:16" s="154" customFormat="1" x14ac:dyDescent="0.25">
      <c r="A93" s="151">
        <f>'B) D RI'!A94</f>
        <v>5540</v>
      </c>
      <c r="B93" s="152" t="str">
        <f>'B) D RI'!B94</f>
        <v>Montilliez</v>
      </c>
      <c r="C93" s="315">
        <f>'B) D RI'!S94</f>
        <v>72.5</v>
      </c>
      <c r="D93" s="153">
        <f>'B) D RI'!AA94</f>
        <v>1857</v>
      </c>
      <c r="E93" s="313">
        <f>'D) Ecrêtage'!C92</f>
        <v>66256.548551724132</v>
      </c>
      <c r="F93" s="317">
        <f>'E) Fact soc'!G98</f>
        <v>993758.33727123193</v>
      </c>
      <c r="G93" s="314">
        <f>'H) Péréquation directe'!I103</f>
        <v>359092.39427443233</v>
      </c>
      <c r="H93" s="317">
        <f>+'I) Dépenses thématiques'!T92</f>
        <v>-253713.0472758621</v>
      </c>
      <c r="I93" s="314">
        <f>'K) Plafonnement aide'!J92</f>
        <v>0</v>
      </c>
      <c r="J93" s="317">
        <f>'J) Plafonnement effort'!J92</f>
        <v>0</v>
      </c>
      <c r="K93" s="314">
        <f>'L) Plafonnement taux'!Q93</f>
        <v>0</v>
      </c>
      <c r="L93" s="312">
        <f>F93+G93+H93+I93+J93+K93</f>
        <v>1099137.6842698022</v>
      </c>
      <c r="M93" s="233">
        <f>'M) Police'!O93</f>
        <v>200296.6872307017</v>
      </c>
      <c r="N93" s="233">
        <f t="shared" si="4"/>
        <v>1299434.371500504</v>
      </c>
      <c r="O93" s="317">
        <f t="shared" si="5"/>
        <v>105379.34699857022</v>
      </c>
      <c r="P93" s="319"/>
    </row>
    <row r="94" spans="1:16" s="154" customFormat="1" x14ac:dyDescent="0.25">
      <c r="A94" s="151">
        <f>'B) D RI'!A95</f>
        <v>5541</v>
      </c>
      <c r="B94" s="152" t="str">
        <f>'B) D RI'!B95</f>
        <v>Goumoëns</v>
      </c>
      <c r="C94" s="315">
        <f>'B) D RI'!S95</f>
        <v>75.5</v>
      </c>
      <c r="D94" s="153">
        <f>'B) D RI'!AA95</f>
        <v>1153</v>
      </c>
      <c r="E94" s="313">
        <f>'D) Ecrêtage'!C93</f>
        <v>36998.611258278142</v>
      </c>
      <c r="F94" s="317">
        <f>'E) Fact soc'!G99</f>
        <v>629833.15751664166</v>
      </c>
      <c r="G94" s="314">
        <f>'H) Péréquation directe'!I104</f>
        <v>107911.54124810826</v>
      </c>
      <c r="H94" s="317">
        <f>+'I) Dépenses thématiques'!T93</f>
        <v>-13802.624006622538</v>
      </c>
      <c r="I94" s="314">
        <f>'K) Plafonnement aide'!J93</f>
        <v>0</v>
      </c>
      <c r="J94" s="317">
        <f>'J) Plafonnement effort'!J93</f>
        <v>0</v>
      </c>
      <c r="K94" s="314">
        <f>'L) Plafonnement taux'!Q94</f>
        <v>0</v>
      </c>
      <c r="L94" s="312">
        <f>F94+G94+H94+I94+J94+K94</f>
        <v>723942.07475812733</v>
      </c>
      <c r="M94" s="233">
        <f>'M) Police'!O94</f>
        <v>111864.83771395436</v>
      </c>
      <c r="N94" s="233">
        <f t="shared" si="4"/>
        <v>835806.91247208172</v>
      </c>
      <c r="O94" s="317">
        <f t="shared" si="5"/>
        <v>94108.917241485717</v>
      </c>
      <c r="P94" s="319"/>
    </row>
    <row r="95" spans="1:16" s="154" customFormat="1" x14ac:dyDescent="0.25">
      <c r="A95" s="151">
        <f>'B) D RI'!A96</f>
        <v>5551</v>
      </c>
      <c r="B95" s="152" t="str">
        <f>'B) D RI'!B96</f>
        <v>Bonvillars</v>
      </c>
      <c r="C95" s="315">
        <f>'B) D RI'!S96</f>
        <v>55</v>
      </c>
      <c r="D95" s="153">
        <f>'B) D RI'!AA96</f>
        <v>489</v>
      </c>
      <c r="E95" s="313">
        <f>'D) Ecrêtage'!C94</f>
        <v>19156.634727272725</v>
      </c>
      <c r="F95" s="317">
        <f>'E) Fact soc'!G100</f>
        <v>283826.95219651016</v>
      </c>
      <c r="G95" s="314">
        <f>'H) Péréquation directe'!I105</f>
        <v>253107.30736272811</v>
      </c>
      <c r="H95" s="317">
        <f>+'I) Dépenses thématiques'!T94</f>
        <v>-55355.465590909102</v>
      </c>
      <c r="I95" s="314">
        <f>'K) Plafonnement aide'!J94</f>
        <v>0</v>
      </c>
      <c r="J95" s="317">
        <f>'J) Plafonnement effort'!J94</f>
        <v>0</v>
      </c>
      <c r="K95" s="314">
        <f>'L) Plafonnement taux'!Q95</f>
        <v>0</v>
      </c>
      <c r="L95" s="312">
        <f t="shared" si="3"/>
        <v>481578.79396832921</v>
      </c>
      <c r="M95" s="233">
        <f>'M) Police'!O95</f>
        <v>56084.57190078932</v>
      </c>
      <c r="N95" s="233">
        <f t="shared" si="4"/>
        <v>537663.36586911848</v>
      </c>
      <c r="O95" s="317">
        <f t="shared" si="5"/>
        <v>197751.84177181902</v>
      </c>
      <c r="P95" s="319"/>
    </row>
    <row r="96" spans="1:16" s="154" customFormat="1" x14ac:dyDescent="0.25">
      <c r="A96" s="151">
        <f>'B) D RI'!A97</f>
        <v>5552</v>
      </c>
      <c r="B96" s="152" t="str">
        <f>'B) D RI'!B97</f>
        <v>Bullet</v>
      </c>
      <c r="C96" s="315">
        <f>'B) D RI'!S97</f>
        <v>71.5</v>
      </c>
      <c r="D96" s="153">
        <f>'B) D RI'!AA97</f>
        <v>657</v>
      </c>
      <c r="E96" s="313">
        <f>'D) Ecrêtage'!C95</f>
        <v>17556.417482517485</v>
      </c>
      <c r="F96" s="317">
        <f>'E) Fact soc'!G101</f>
        <v>309337.71490697854</v>
      </c>
      <c r="G96" s="314">
        <f>'H) Péréquation directe'!I106</f>
        <v>-34023.53785432328</v>
      </c>
      <c r="H96" s="317">
        <f>+'I) Dépenses thématiques'!T95</f>
        <v>-184515.93199300696</v>
      </c>
      <c r="I96" s="314">
        <f>'K) Plafonnement aide'!J95</f>
        <v>0</v>
      </c>
      <c r="J96" s="317">
        <f>'J) Plafonnement effort'!J95</f>
        <v>0</v>
      </c>
      <c r="K96" s="314">
        <f>'L) Plafonnement taux'!Q96</f>
        <v>0</v>
      </c>
      <c r="L96" s="312">
        <f t="shared" si="3"/>
        <v>90798.245059648296</v>
      </c>
      <c r="M96" s="233">
        <f>'M) Police'!O96</f>
        <v>52322.193334968972</v>
      </c>
      <c r="N96" s="233">
        <f t="shared" si="4"/>
        <v>143120.43839461726</v>
      </c>
      <c r="O96" s="317">
        <f t="shared" si="5"/>
        <v>-218539.46984733024</v>
      </c>
      <c r="P96" s="319"/>
    </row>
    <row r="97" spans="1:16" s="154" customFormat="1" x14ac:dyDescent="0.25">
      <c r="A97" s="151">
        <f>'B) D RI'!A98</f>
        <v>5553</v>
      </c>
      <c r="B97" s="152" t="str">
        <f>'B) D RI'!B98</f>
        <v>Champagne</v>
      </c>
      <c r="C97" s="315">
        <f>'B) D RI'!S98</f>
        <v>65</v>
      </c>
      <c r="D97" s="153">
        <f>'B) D RI'!AA98</f>
        <v>1061</v>
      </c>
      <c r="E97" s="313">
        <f>'D) Ecrêtage'!C96</f>
        <v>38681.377846153839</v>
      </c>
      <c r="F97" s="317">
        <f>'E) Fact soc'!G102</f>
        <v>679614.08466559683</v>
      </c>
      <c r="G97" s="314">
        <f>'H) Péréquation directe'!I107</f>
        <v>385482.5007151505</v>
      </c>
      <c r="H97" s="317">
        <f>+'I) Dépenses thématiques'!T96</f>
        <v>-144851.23292307695</v>
      </c>
      <c r="I97" s="314">
        <f>'K) Plafonnement aide'!J96</f>
        <v>0</v>
      </c>
      <c r="J97" s="317">
        <f>'J) Plafonnement effort'!J96</f>
        <v>0</v>
      </c>
      <c r="K97" s="314">
        <f>'L) Plafonnement taux'!Q97</f>
        <v>0</v>
      </c>
      <c r="L97" s="312">
        <f t="shared" si="3"/>
        <v>920245.35245767049</v>
      </c>
      <c r="M97" s="233">
        <f>'M) Police'!O97</f>
        <v>114819.306967076</v>
      </c>
      <c r="N97" s="233">
        <f t="shared" si="4"/>
        <v>1035064.6594247465</v>
      </c>
      <c r="O97" s="317">
        <f t="shared" si="5"/>
        <v>240631.26779207354</v>
      </c>
      <c r="P97" s="319"/>
    </row>
    <row r="98" spans="1:16" s="154" customFormat="1" x14ac:dyDescent="0.25">
      <c r="A98" s="151">
        <f>'B) D RI'!A99</f>
        <v>5554</v>
      </c>
      <c r="B98" s="152" t="str">
        <f>'B) D RI'!B99</f>
        <v>Concise</v>
      </c>
      <c r="C98" s="315">
        <f>'B) D RI'!S99</f>
        <v>75</v>
      </c>
      <c r="D98" s="153">
        <f>'B) D RI'!AA99</f>
        <v>1001</v>
      </c>
      <c r="E98" s="313">
        <f>'D) Ecrêtage'!C97</f>
        <v>32327.871066666674</v>
      </c>
      <c r="F98" s="317">
        <f>'E) Fact soc'!G103</f>
        <v>561418.26002218632</v>
      </c>
      <c r="G98" s="314">
        <f>'H) Péréquation directe'!I108</f>
        <v>136597.80138762103</v>
      </c>
      <c r="H98" s="317">
        <f>+'I) Dépenses thématiques'!T97</f>
        <v>-196863.87029999995</v>
      </c>
      <c r="I98" s="314">
        <f>'K) Plafonnement aide'!J97</f>
        <v>0</v>
      </c>
      <c r="J98" s="317">
        <f>'J) Plafonnement effort'!J97</f>
        <v>0</v>
      </c>
      <c r="K98" s="314">
        <f>'L) Plafonnement taux'!Q98</f>
        <v>0</v>
      </c>
      <c r="L98" s="312">
        <f t="shared" si="3"/>
        <v>501152.19110980735</v>
      </c>
      <c r="M98" s="233">
        <f>'M) Police'!O98</f>
        <v>98070.045565043882</v>
      </c>
      <c r="N98" s="233">
        <f t="shared" si="4"/>
        <v>599222.23667485127</v>
      </c>
      <c r="O98" s="317">
        <f t="shared" si="5"/>
        <v>-60266.06891237892</v>
      </c>
      <c r="P98" s="319"/>
    </row>
    <row r="99" spans="1:16" s="154" customFormat="1" x14ac:dyDescent="0.25">
      <c r="A99" s="151">
        <f>'B) D RI'!A100</f>
        <v>5555</v>
      </c>
      <c r="B99" s="152" t="str">
        <f>'B) D RI'!B100</f>
        <v>Corcelles-près-Concise</v>
      </c>
      <c r="C99" s="315">
        <f>'B) D RI'!S100</f>
        <v>69</v>
      </c>
      <c r="D99" s="153">
        <f>'B) D RI'!AA100</f>
        <v>419</v>
      </c>
      <c r="E99" s="313">
        <f>'D) Ecrêtage'!C98</f>
        <v>13599.529565217395</v>
      </c>
      <c r="F99" s="317">
        <f>'E) Fact soc'!G104</f>
        <v>274855.9507931628</v>
      </c>
      <c r="G99" s="314">
        <f>'H) Péréquation directe'!I109</f>
        <v>82916.12391308209</v>
      </c>
      <c r="H99" s="317">
        <f>+'I) Dépenses thématiques'!T98</f>
        <v>-168783.92543478258</v>
      </c>
      <c r="I99" s="314">
        <f>'K) Plafonnement aide'!J98</f>
        <v>0</v>
      </c>
      <c r="J99" s="317">
        <f>'J) Plafonnement effort'!J98</f>
        <v>0</v>
      </c>
      <c r="K99" s="314">
        <f>'L) Plafonnement taux'!Q99</f>
        <v>0</v>
      </c>
      <c r="L99" s="312">
        <f t="shared" si="3"/>
        <v>188988.14927146229</v>
      </c>
      <c r="M99" s="233">
        <f>'M) Police'!O99</f>
        <v>40444.299928406341</v>
      </c>
      <c r="N99" s="233">
        <f t="shared" si="4"/>
        <v>229432.44919986863</v>
      </c>
      <c r="O99" s="317">
        <f t="shared" si="5"/>
        <v>-85867.801521700487</v>
      </c>
      <c r="P99" s="319"/>
    </row>
    <row r="100" spans="1:16" s="154" customFormat="1" x14ac:dyDescent="0.25">
      <c r="A100" s="151">
        <f>'B) D RI'!A101</f>
        <v>5556</v>
      </c>
      <c r="B100" s="152" t="str">
        <f>'B) D RI'!B101</f>
        <v>Fiez</v>
      </c>
      <c r="C100" s="315">
        <f>'B) D RI'!S101</f>
        <v>69</v>
      </c>
      <c r="D100" s="153">
        <f>'B) D RI'!AA101</f>
        <v>451</v>
      </c>
      <c r="E100" s="313">
        <f>'D) Ecrêtage'!C99</f>
        <v>13816.427753623188</v>
      </c>
      <c r="F100" s="317">
        <f>'E) Fact soc'!G105</f>
        <v>232031.13950293619</v>
      </c>
      <c r="G100" s="314">
        <f>'H) Péréquation directe'!I110</f>
        <v>57804.823815376585</v>
      </c>
      <c r="H100" s="317">
        <f>+'I) Dépenses thématiques'!T99</f>
        <v>-18780.862663043481</v>
      </c>
      <c r="I100" s="314">
        <f>'K) Plafonnement aide'!J99</f>
        <v>0</v>
      </c>
      <c r="J100" s="317">
        <f>'J) Plafonnement effort'!J99</f>
        <v>0</v>
      </c>
      <c r="K100" s="314">
        <f>'L) Plafonnement taux'!Q100</f>
        <v>0</v>
      </c>
      <c r="L100" s="312">
        <f t="shared" si="3"/>
        <v>271055.10065526929</v>
      </c>
      <c r="M100" s="233">
        <f>'M) Police'!O100</f>
        <v>41646.710001462838</v>
      </c>
      <c r="N100" s="233">
        <f t="shared" si="4"/>
        <v>312701.81065673212</v>
      </c>
      <c r="O100" s="317">
        <f t="shared" si="5"/>
        <v>39023.961152333104</v>
      </c>
      <c r="P100" s="319"/>
    </row>
    <row r="101" spans="1:16" s="154" customFormat="1" x14ac:dyDescent="0.25">
      <c r="A101" s="151">
        <f>'B) D RI'!A102</f>
        <v>5557</v>
      </c>
      <c r="B101" s="152" t="str">
        <f>'B) D RI'!B102</f>
        <v>Fontaines-sur-Grandson</v>
      </c>
      <c r="C101" s="315">
        <f>'B) D RI'!S102</f>
        <v>69</v>
      </c>
      <c r="D101" s="153">
        <f>'B) D RI'!AA102</f>
        <v>219</v>
      </c>
      <c r="E101" s="313">
        <f>'D) Ecrêtage'!C100</f>
        <v>5880.3275362318818</v>
      </c>
      <c r="F101" s="317">
        <f>'E) Fact soc'!G106</f>
        <v>111900.11122831932</v>
      </c>
      <c r="G101" s="314">
        <f>'H) Péréquation directe'!I111</f>
        <v>-3643.4536940019898</v>
      </c>
      <c r="H101" s="317">
        <f>+'I) Dépenses thématiques'!T100</f>
        <v>-6810.0391304347977</v>
      </c>
      <c r="I101" s="314">
        <f>'K) Plafonnement aide'!J100</f>
        <v>0</v>
      </c>
      <c r="J101" s="317">
        <f>'J) Plafonnement effort'!J100</f>
        <v>0</v>
      </c>
      <c r="K101" s="314">
        <f>'L) Plafonnement taux'!Q101</f>
        <v>0</v>
      </c>
      <c r="L101" s="312">
        <f t="shared" si="3"/>
        <v>101446.61840388253</v>
      </c>
      <c r="M101" s="233">
        <f>'M) Police'!O101</f>
        <v>17541.399770599637</v>
      </c>
      <c r="N101" s="233">
        <f t="shared" si="4"/>
        <v>118988.01817448216</v>
      </c>
      <c r="O101" s="317">
        <f t="shared" si="5"/>
        <v>-10453.492824436787</v>
      </c>
      <c r="P101" s="319"/>
    </row>
    <row r="102" spans="1:16" s="154" customFormat="1" x14ac:dyDescent="0.25">
      <c r="A102" s="151">
        <f>'B) D RI'!A103</f>
        <v>5559</v>
      </c>
      <c r="B102" s="152" t="str">
        <f>'B) D RI'!B103</f>
        <v>Giez</v>
      </c>
      <c r="C102" s="315">
        <f>'B) D RI'!S103</f>
        <v>66</v>
      </c>
      <c r="D102" s="153">
        <f>'B) D RI'!AA103</f>
        <v>414</v>
      </c>
      <c r="E102" s="313">
        <f>'D) Ecrêtage'!C101</f>
        <v>16897.618636363641</v>
      </c>
      <c r="F102" s="317">
        <f>'E) Fact soc'!G107</f>
        <v>288310.3121703472</v>
      </c>
      <c r="G102" s="314">
        <f>'H) Péréquation directe'!I112</f>
        <v>219286.19522557009</v>
      </c>
      <c r="H102" s="317">
        <f>+'I) Dépenses thématiques'!T101</f>
        <v>-12574.538181818156</v>
      </c>
      <c r="I102" s="314">
        <f>'K) Plafonnement aide'!J101</f>
        <v>0</v>
      </c>
      <c r="J102" s="317">
        <f>'J) Plafonnement effort'!J101</f>
        <v>0</v>
      </c>
      <c r="K102" s="314">
        <f>'L) Plafonnement taux'!Q102</f>
        <v>0</v>
      </c>
      <c r="L102" s="312">
        <f t="shared" si="3"/>
        <v>495021.96921409917</v>
      </c>
      <c r="M102" s="233">
        <f>'M) Police'!O102</f>
        <v>50822.687610215347</v>
      </c>
      <c r="N102" s="233">
        <f t="shared" si="4"/>
        <v>545844.6568243145</v>
      </c>
      <c r="O102" s="317">
        <f t="shared" si="5"/>
        <v>206711.65704375194</v>
      </c>
      <c r="P102" s="319"/>
    </row>
    <row r="103" spans="1:16" s="154" customFormat="1" x14ac:dyDescent="0.25">
      <c r="A103" s="151">
        <f>'B) D RI'!A104</f>
        <v>5560</v>
      </c>
      <c r="B103" s="152" t="str">
        <f>'B) D RI'!B104</f>
        <v>Grandevent</v>
      </c>
      <c r="C103" s="315">
        <f>'B) D RI'!S104</f>
        <v>68</v>
      </c>
      <c r="D103" s="153">
        <f>'B) D RI'!AA104</f>
        <v>226</v>
      </c>
      <c r="E103" s="313">
        <f>'D) Ecrêtage'!C102</f>
        <v>6167.8957352941179</v>
      </c>
      <c r="F103" s="317">
        <f>'E) Fact soc'!G108</f>
        <v>97393.130952909181</v>
      </c>
      <c r="G103" s="314">
        <f>'H) Péréquation directe'!I113</f>
        <v>2645.2588149289077</v>
      </c>
      <c r="H103" s="317">
        <f>+'I) Dépenses thématiques'!T102</f>
        <v>-9383.203786764705</v>
      </c>
      <c r="I103" s="314">
        <f>'K) Plafonnement aide'!J102</f>
        <v>0</v>
      </c>
      <c r="J103" s="317">
        <f>'J) Plafonnement effort'!J102</f>
        <v>0</v>
      </c>
      <c r="K103" s="314">
        <f>'L) Plafonnement taux'!Q103</f>
        <v>0</v>
      </c>
      <c r="L103" s="312">
        <f t="shared" si="3"/>
        <v>90655.185981073388</v>
      </c>
      <c r="M103" s="233">
        <f>'M) Police'!O103</f>
        <v>18305.85799765549</v>
      </c>
      <c r="N103" s="233">
        <f t="shared" si="4"/>
        <v>108961.04397872888</v>
      </c>
      <c r="O103" s="317">
        <f t="shared" si="5"/>
        <v>-6737.9449718357973</v>
      </c>
      <c r="P103" s="319"/>
    </row>
    <row r="104" spans="1:16" s="154" customFormat="1" x14ac:dyDescent="0.25">
      <c r="A104" s="151">
        <f>'B) D RI'!A105</f>
        <v>5561</v>
      </c>
      <c r="B104" s="152" t="str">
        <f>'B) D RI'!B105</f>
        <v>Grandson</v>
      </c>
      <c r="C104" s="315">
        <f>'B) D RI'!S105</f>
        <v>69</v>
      </c>
      <c r="D104" s="153">
        <f>'B) D RI'!AA105</f>
        <v>3356</v>
      </c>
      <c r="E104" s="313">
        <f>'D) Ecrêtage'!C103</f>
        <v>114753.11985507245</v>
      </c>
      <c r="F104" s="317">
        <f>'E) Fact soc'!G109</f>
        <v>2005411.8275763905</v>
      </c>
      <c r="G104" s="314">
        <f>'H) Péréquation directe'!I114</f>
        <v>308291.27032172401</v>
      </c>
      <c r="H104" s="317">
        <f>+'I) Dépenses thématiques'!T103</f>
        <v>-1016794.5308695652</v>
      </c>
      <c r="I104" s="314">
        <f>'K) Plafonnement aide'!J103</f>
        <v>0</v>
      </c>
      <c r="J104" s="317">
        <f>'J) Plafonnement effort'!J103</f>
        <v>0</v>
      </c>
      <c r="K104" s="314">
        <f>'L) Plafonnement taux'!Q104</f>
        <v>0</v>
      </c>
      <c r="L104" s="312">
        <f t="shared" si="3"/>
        <v>1296908.5670285493</v>
      </c>
      <c r="M104" s="233">
        <f>'M) Police'!O104</f>
        <v>345020.8211810675</v>
      </c>
      <c r="N104" s="233">
        <f t="shared" si="4"/>
        <v>1641929.3882096168</v>
      </c>
      <c r="O104" s="317">
        <f t="shared" si="5"/>
        <v>-708503.2605478412</v>
      </c>
      <c r="P104" s="319"/>
    </row>
    <row r="105" spans="1:16" s="154" customFormat="1" x14ac:dyDescent="0.25">
      <c r="A105" s="151">
        <f>'B) D RI'!A106</f>
        <v>5562</v>
      </c>
      <c r="B105" s="152" t="str">
        <f>'B) D RI'!B106</f>
        <v>Mauborget</v>
      </c>
      <c r="C105" s="315">
        <f>'B) D RI'!S106</f>
        <v>70</v>
      </c>
      <c r="D105" s="153">
        <f>'B) D RI'!AA106</f>
        <v>128</v>
      </c>
      <c r="E105" s="313">
        <f>'D) Ecrêtage'!C104</f>
        <v>6037.1574285714287</v>
      </c>
      <c r="F105" s="317">
        <f>'E) Fact soc'!G110</f>
        <v>94257.011713431872</v>
      </c>
      <c r="G105" s="314">
        <f>'H) Péréquation directe'!I115</f>
        <v>97298.546512379544</v>
      </c>
      <c r="H105" s="317">
        <f>+'I) Dépenses thématiques'!T104</f>
        <v>-5583.4373571428569</v>
      </c>
      <c r="I105" s="314">
        <f>'K) Plafonnement aide'!J104</f>
        <v>0</v>
      </c>
      <c r="J105" s="317">
        <f>'J) Plafonnement effort'!J104</f>
        <v>0</v>
      </c>
      <c r="K105" s="314">
        <f>'L) Plafonnement taux'!Q105</f>
        <v>0</v>
      </c>
      <c r="L105" s="312">
        <f t="shared" si="3"/>
        <v>185972.12086866854</v>
      </c>
      <c r="M105" s="233">
        <f>'M) Police'!O105</f>
        <v>18214.052590186457</v>
      </c>
      <c r="N105" s="233">
        <f t="shared" si="4"/>
        <v>204186.17345885499</v>
      </c>
      <c r="O105" s="317">
        <f t="shared" si="5"/>
        <v>91715.109155236685</v>
      </c>
      <c r="P105" s="319"/>
    </row>
    <row r="106" spans="1:16" s="154" customFormat="1" x14ac:dyDescent="0.25">
      <c r="A106" s="151">
        <f>'B) D RI'!A107</f>
        <v>5563</v>
      </c>
      <c r="B106" s="152" t="str">
        <f>'B) D RI'!B107</f>
        <v>Mutrux</v>
      </c>
      <c r="C106" s="315">
        <f>'B) D RI'!S107</f>
        <v>80</v>
      </c>
      <c r="D106" s="153">
        <f>'B) D RI'!AA107</f>
        <v>149</v>
      </c>
      <c r="E106" s="313">
        <f>'D) Ecrêtage'!C105</f>
        <v>4073.5824999999995</v>
      </c>
      <c r="F106" s="317">
        <f>'E) Fact soc'!G111</f>
        <v>66849.467838452983</v>
      </c>
      <c r="G106" s="314">
        <f>'H) Péréquation directe'!I116</f>
        <v>-20101.52177160501</v>
      </c>
      <c r="H106" s="317">
        <f>+'I) Dépenses thématiques'!T105</f>
        <v>-47736.568125000005</v>
      </c>
      <c r="I106" s="314">
        <f>'K) Plafonnement aide'!J105</f>
        <v>0</v>
      </c>
      <c r="J106" s="317">
        <f>'J) Plafonnement effort'!J105</f>
        <v>0</v>
      </c>
      <c r="K106" s="314">
        <f>'L) Plafonnement taux'!Q106</f>
        <v>0</v>
      </c>
      <c r="L106" s="312">
        <f t="shared" si="3"/>
        <v>-988.62205815203197</v>
      </c>
      <c r="M106" s="233">
        <f>'M) Police'!O106</f>
        <v>12373.238337940831</v>
      </c>
      <c r="N106" s="233">
        <f t="shared" si="4"/>
        <v>11384.616279788799</v>
      </c>
      <c r="O106" s="317">
        <f t="shared" si="5"/>
        <v>-67838.089896605015</v>
      </c>
      <c r="P106" s="319"/>
    </row>
    <row r="107" spans="1:16" s="154" customFormat="1" x14ac:dyDescent="0.25">
      <c r="A107" s="151">
        <f>'B) D RI'!A108</f>
        <v>5564</v>
      </c>
      <c r="B107" s="152" t="str">
        <f>'B) D RI'!B108</f>
        <v>Novalles</v>
      </c>
      <c r="C107" s="315">
        <f>'B) D RI'!S108</f>
        <v>76</v>
      </c>
      <c r="D107" s="153">
        <f>'B) D RI'!AA108</f>
        <v>99</v>
      </c>
      <c r="E107" s="313">
        <f>'D) Ecrêtage'!C106</f>
        <v>2091.5044407894734</v>
      </c>
      <c r="F107" s="317">
        <f>'E) Fact soc'!G112</f>
        <v>41678.590340022987</v>
      </c>
      <c r="G107" s="314">
        <f>'H) Péréquation directe'!I117</f>
        <v>-34235.440749052483</v>
      </c>
      <c r="H107" s="317">
        <f>+'I) Dépenses thématiques'!T106</f>
        <v>-3089.5950246710545</v>
      </c>
      <c r="I107" s="314">
        <f>'K) Plafonnement aide'!J106</f>
        <v>0</v>
      </c>
      <c r="J107" s="317">
        <f>'J) Plafonnement effort'!J106</f>
        <v>0</v>
      </c>
      <c r="K107" s="314">
        <f>'L) Plafonnement taux'!Q107</f>
        <v>0</v>
      </c>
      <c r="L107" s="312">
        <f t="shared" si="3"/>
        <v>4353.55456629945</v>
      </c>
      <c r="M107" s="233">
        <f>'M) Police'!O107</f>
        <v>6279.7321760974974</v>
      </c>
      <c r="N107" s="233">
        <f t="shared" si="4"/>
        <v>10633.286742396947</v>
      </c>
      <c r="O107" s="317">
        <f t="shared" si="5"/>
        <v>-37325.035773723539</v>
      </c>
      <c r="P107" s="319"/>
    </row>
    <row r="108" spans="1:16" s="154" customFormat="1" x14ac:dyDescent="0.25">
      <c r="A108" s="151">
        <f>'B) D RI'!A109</f>
        <v>5565</v>
      </c>
      <c r="B108" s="152" t="str">
        <f>'B) D RI'!B109</f>
        <v>Onnens</v>
      </c>
      <c r="C108" s="315">
        <f>'B) D RI'!S109</f>
        <v>63.5</v>
      </c>
      <c r="D108" s="153">
        <f>'B) D RI'!AA109</f>
        <v>505</v>
      </c>
      <c r="E108" s="313">
        <f>'D) Ecrêtage'!C107</f>
        <v>19690.582047244097</v>
      </c>
      <c r="F108" s="317">
        <f>'E) Fact soc'!G113</f>
        <v>298806.96311218344</v>
      </c>
      <c r="G108" s="314">
        <f>'H) Péréquation directe'!I118</f>
        <v>239752.1284530595</v>
      </c>
      <c r="H108" s="317">
        <f>+'I) Dépenses thématiques'!T107</f>
        <v>-44521.007716535416</v>
      </c>
      <c r="I108" s="314">
        <f>'K) Plafonnement aide'!J107</f>
        <v>0</v>
      </c>
      <c r="J108" s="317">
        <f>'J) Plafonnement effort'!J107</f>
        <v>0</v>
      </c>
      <c r="K108" s="314">
        <f>'L) Plafonnement taux'!Q108</f>
        <v>0</v>
      </c>
      <c r="L108" s="312">
        <f t="shared" si="3"/>
        <v>494038.08384870755</v>
      </c>
      <c r="M108" s="233">
        <f>'M) Police'!O108</f>
        <v>57583.684956538171</v>
      </c>
      <c r="N108" s="233">
        <f t="shared" si="4"/>
        <v>551621.76880524575</v>
      </c>
      <c r="O108" s="317">
        <f t="shared" si="5"/>
        <v>195231.12073652408</v>
      </c>
      <c r="P108" s="319"/>
    </row>
    <row r="109" spans="1:16" s="154" customFormat="1" x14ac:dyDescent="0.25">
      <c r="A109" s="151">
        <f>'B) D RI'!A110</f>
        <v>5566</v>
      </c>
      <c r="B109" s="152" t="str">
        <f>'B) D RI'!B110</f>
        <v>Provence</v>
      </c>
      <c r="C109" s="315">
        <f>'B) D RI'!S110</f>
        <v>81</v>
      </c>
      <c r="D109" s="153">
        <f>'B) D RI'!AA110</f>
        <v>392</v>
      </c>
      <c r="E109" s="313">
        <f>'D) Ecrêtage'!C108</f>
        <v>7598.735102880657</v>
      </c>
      <c r="F109" s="317">
        <f>'E) Fact soc'!G114</f>
        <v>180201.27519057295</v>
      </c>
      <c r="G109" s="314">
        <f>'H) Péréquation directe'!I119</f>
        <v>-200003.0434161913</v>
      </c>
      <c r="H109" s="317">
        <f>+'I) Dépenses thématiques'!T108</f>
        <v>-325364.53805555555</v>
      </c>
      <c r="I109" s="314">
        <f>'K) Plafonnement aide'!J108</f>
        <v>0</v>
      </c>
      <c r="J109" s="317">
        <f>'J) Plafonnement effort'!J108</f>
        <v>0</v>
      </c>
      <c r="K109" s="314">
        <f>'L) Plafonnement taux'!Q109</f>
        <v>0</v>
      </c>
      <c r="L109" s="312">
        <f t="shared" si="3"/>
        <v>-345166.30628117389</v>
      </c>
      <c r="M109" s="233">
        <f>'M) Police'!O109</f>
        <v>22714.503995694595</v>
      </c>
      <c r="N109" s="233">
        <f t="shared" si="4"/>
        <v>-322451.80228547932</v>
      </c>
      <c r="O109" s="317">
        <f t="shared" si="5"/>
        <v>-525367.58147174679</v>
      </c>
      <c r="P109" s="319"/>
    </row>
    <row r="110" spans="1:16" s="154" customFormat="1" x14ac:dyDescent="0.25">
      <c r="A110" s="151">
        <f>'B) D RI'!A111</f>
        <v>5568</v>
      </c>
      <c r="B110" s="152" t="str">
        <f>'B) D RI'!B111</f>
        <v>Sainte-Croix</v>
      </c>
      <c r="C110" s="315">
        <f>'B) D RI'!S111</f>
        <v>70</v>
      </c>
      <c r="D110" s="153">
        <f>'B) D RI'!AA111</f>
        <v>4917</v>
      </c>
      <c r="E110" s="313">
        <f>'D) Ecrêtage'!C109</f>
        <v>106515.47628571428</v>
      </c>
      <c r="F110" s="317">
        <f>'E) Fact soc'!G115</f>
        <v>2494518.6654816028</v>
      </c>
      <c r="G110" s="314">
        <f>'H) Péréquation directe'!I120</f>
        <v>-2290102.687568591</v>
      </c>
      <c r="H110" s="317">
        <f>+'I) Dépenses thématiques'!T109</f>
        <v>-1480750.2850714286</v>
      </c>
      <c r="I110" s="314">
        <f>'K) Plafonnement aide'!J109</f>
        <v>0</v>
      </c>
      <c r="J110" s="317">
        <f>'J) Plafonnement effort'!J109</f>
        <v>0</v>
      </c>
      <c r="K110" s="314">
        <f>'L) Plafonnement taux'!Q110</f>
        <v>0</v>
      </c>
      <c r="L110" s="312">
        <f t="shared" si="3"/>
        <v>-1276334.3071584168</v>
      </c>
      <c r="M110" s="233">
        <f>'M) Police'!O110</f>
        <v>318706.91294888326</v>
      </c>
      <c r="N110" s="233">
        <f t="shared" si="4"/>
        <v>-957627.39420953358</v>
      </c>
      <c r="O110" s="317">
        <f t="shared" si="5"/>
        <v>-3770852.9726400198</v>
      </c>
      <c r="P110" s="319"/>
    </row>
    <row r="111" spans="1:16" s="154" customFormat="1" x14ac:dyDescent="0.25">
      <c r="A111" s="151">
        <f>'B) D RI'!A112</f>
        <v>5571</v>
      </c>
      <c r="B111" s="152" t="str">
        <f>'B) D RI'!B112</f>
        <v>Tévenon</v>
      </c>
      <c r="C111" s="315">
        <f>'B) D RI'!S112</f>
        <v>71.5</v>
      </c>
      <c r="D111" s="153">
        <f>'B) D RI'!AA112</f>
        <v>894</v>
      </c>
      <c r="E111" s="313">
        <f>'D) Ecrêtage'!C110</f>
        <v>21380.087226107229</v>
      </c>
      <c r="F111" s="317">
        <f>'E) Fact soc'!G116</f>
        <v>364138.83593013941</v>
      </c>
      <c r="G111" s="314">
        <f>'H) Péréquation directe'!I121</f>
        <v>-145859.03233219893</v>
      </c>
      <c r="H111" s="317">
        <f>+'I) Dépenses thématiques'!T110</f>
        <v>-158817.91122377617</v>
      </c>
      <c r="I111" s="314">
        <f>'K) Plafonnement aide'!J110</f>
        <v>0</v>
      </c>
      <c r="J111" s="317">
        <f>'J) Plafonnement effort'!J110</f>
        <v>0</v>
      </c>
      <c r="K111" s="314">
        <f>'L) Plafonnement taux'!Q111</f>
        <v>0</v>
      </c>
      <c r="L111" s="312">
        <f t="shared" si="3"/>
        <v>59461.892374164308</v>
      </c>
      <c r="M111" s="233">
        <f>'M) Police'!O111</f>
        <v>62972.511313620125</v>
      </c>
      <c r="N111" s="233">
        <f t="shared" si="4"/>
        <v>122434.40368778443</v>
      </c>
      <c r="O111" s="317">
        <f t="shared" si="5"/>
        <v>-304676.9435559751</v>
      </c>
      <c r="P111" s="319"/>
    </row>
    <row r="112" spans="1:16" s="154" customFormat="1" x14ac:dyDescent="0.25">
      <c r="A112" s="151">
        <f>'B) D RI'!A113</f>
        <v>5581</v>
      </c>
      <c r="B112" s="152" t="str">
        <f>'B) D RI'!B113</f>
        <v>Belmont-sur-Lausanne</v>
      </c>
      <c r="C112" s="315">
        <f>'B) D RI'!S113</f>
        <v>72</v>
      </c>
      <c r="D112" s="153">
        <f>'B) D RI'!AA113</f>
        <v>3756</v>
      </c>
      <c r="E112" s="313">
        <f>'D) Ecrêtage'!C111</f>
        <v>212445.65069444443</v>
      </c>
      <c r="F112" s="317">
        <f>'E) Fact soc'!G117</f>
        <v>4139273.2512621372</v>
      </c>
      <c r="G112" s="314">
        <f>'H) Péréquation directe'!I122</f>
        <v>2877999.7886336609</v>
      </c>
      <c r="H112" s="317">
        <f>+'I) Dépenses thématiques'!T111</f>
        <v>-726112.34583333344</v>
      </c>
      <c r="I112" s="314">
        <f>'K) Plafonnement aide'!J111</f>
        <v>0</v>
      </c>
      <c r="J112" s="317">
        <f>'J) Plafonnement effort'!J111</f>
        <v>0</v>
      </c>
      <c r="K112" s="314">
        <f>'L) Plafonnement taux'!Q112</f>
        <v>0</v>
      </c>
      <c r="L112" s="312">
        <f t="shared" si="3"/>
        <v>6291160.6940624649</v>
      </c>
      <c r="M112" s="233">
        <f>'M) Police'!O112</f>
        <v>249549.4611302556</v>
      </c>
      <c r="N112" s="233">
        <f t="shared" si="4"/>
        <v>6540710.1551927207</v>
      </c>
      <c r="O112" s="317">
        <f t="shared" si="5"/>
        <v>2151887.4428003272</v>
      </c>
      <c r="P112" s="319"/>
    </row>
    <row r="113" spans="1:17" s="154" customFormat="1" x14ac:dyDescent="0.25">
      <c r="A113" s="151">
        <f>'B) D RI'!A114</f>
        <v>5582</v>
      </c>
      <c r="B113" s="152" t="str">
        <f>'B) D RI'!B114</f>
        <v>Cheseaux-sur-Lausanne</v>
      </c>
      <c r="C113" s="315">
        <f>'B) D RI'!S114</f>
        <v>73</v>
      </c>
      <c r="D113" s="153">
        <f>'B) D RI'!AA114</f>
        <v>4367</v>
      </c>
      <c r="E113" s="313">
        <f>'D) Ecrêtage'!C112</f>
        <v>163780.29383561644</v>
      </c>
      <c r="F113" s="317">
        <f>'E) Fact soc'!G118</f>
        <v>2653387.5565293743</v>
      </c>
      <c r="G113" s="314">
        <f>'H) Péréquation directe'!I123</f>
        <v>646545.33138061594</v>
      </c>
      <c r="H113" s="317">
        <f>+'I) Dépenses thématiques'!T112</f>
        <v>-411011.73698630137</v>
      </c>
      <c r="I113" s="314">
        <f>'K) Plafonnement aide'!J112</f>
        <v>0</v>
      </c>
      <c r="J113" s="317">
        <f>'J) Plafonnement effort'!J112</f>
        <v>0</v>
      </c>
      <c r="K113" s="314">
        <f>'L) Plafonnement taux'!Q113</f>
        <v>0</v>
      </c>
      <c r="L113" s="312">
        <f t="shared" si="3"/>
        <v>2888921.1509236889</v>
      </c>
      <c r="M113" s="233">
        <f>'M) Police'!O113</f>
        <v>492461.87409461371</v>
      </c>
      <c r="N113" s="233">
        <f t="shared" si="4"/>
        <v>3381383.0250183027</v>
      </c>
      <c r="O113" s="317">
        <f t="shared" si="5"/>
        <v>235533.59439431457</v>
      </c>
      <c r="P113" s="319"/>
    </row>
    <row r="114" spans="1:17" s="154" customFormat="1" x14ac:dyDescent="0.25">
      <c r="A114" s="151">
        <f>'B) D RI'!A115</f>
        <v>5583</v>
      </c>
      <c r="B114" s="152" t="str">
        <f>'B) D RI'!B115</f>
        <v>Crissier</v>
      </c>
      <c r="C114" s="315">
        <f>'B) D RI'!S115</f>
        <v>63.5</v>
      </c>
      <c r="D114" s="153">
        <f>'B) D RI'!AA115</f>
        <v>8700</v>
      </c>
      <c r="E114" s="313">
        <f>'D) Ecrêtage'!C113</f>
        <v>368095.30976377946</v>
      </c>
      <c r="F114" s="317">
        <f>'E) Fact soc'!G119</f>
        <v>6417084.6823815387</v>
      </c>
      <c r="G114" s="314">
        <f>'H) Péréquation directe'!I124</f>
        <v>2217048.6353091607</v>
      </c>
      <c r="H114" s="317">
        <f>+'I) Dépenses thématiques'!T113</f>
        <v>-2729215.1414173231</v>
      </c>
      <c r="I114" s="314">
        <f>'K) Plafonnement aide'!J113</f>
        <v>0</v>
      </c>
      <c r="J114" s="317">
        <f>'J) Plafonnement effort'!J113</f>
        <v>0</v>
      </c>
      <c r="K114" s="314">
        <f>'L) Plafonnement taux'!Q114</f>
        <v>0</v>
      </c>
      <c r="L114" s="312">
        <f t="shared" si="3"/>
        <v>5904918.1762733776</v>
      </c>
      <c r="M114" s="233">
        <f>'M) Police'!O114</f>
        <v>432383.46323334647</v>
      </c>
      <c r="N114" s="233">
        <f t="shared" si="4"/>
        <v>6337301.6395067237</v>
      </c>
      <c r="O114" s="317">
        <f t="shared" si="5"/>
        <v>-512166.50610816246</v>
      </c>
      <c r="P114" s="319"/>
    </row>
    <row r="115" spans="1:17" s="154" customFormat="1" x14ac:dyDescent="0.25">
      <c r="A115" s="151">
        <f>'B) D RI'!A116</f>
        <v>5584</v>
      </c>
      <c r="B115" s="152" t="str">
        <f>'B) D RI'!B116</f>
        <v>Epalinges</v>
      </c>
      <c r="C115" s="315">
        <f>'B) D RI'!S116</f>
        <v>64.5</v>
      </c>
      <c r="D115" s="153">
        <f>'B) D RI'!AA116</f>
        <v>9755</v>
      </c>
      <c r="E115" s="313">
        <f>'D) Ecrêtage'!C114</f>
        <v>482115.91751937981</v>
      </c>
      <c r="F115" s="317">
        <f>'E) Fact soc'!G120</f>
        <v>8533969.7987963576</v>
      </c>
      <c r="G115" s="314">
        <f>'H) Péréquation directe'!I125</f>
        <v>4411709.440325371</v>
      </c>
      <c r="H115" s="317">
        <f>+'I) Dépenses thématiques'!T114</f>
        <v>-3377511.4948837208</v>
      </c>
      <c r="I115" s="314">
        <f>'K) Plafonnement aide'!J114</f>
        <v>0</v>
      </c>
      <c r="J115" s="317">
        <f>'J) Plafonnement effort'!J114</f>
        <v>0</v>
      </c>
      <c r="K115" s="314">
        <f>'L) Plafonnement taux'!Q115</f>
        <v>0</v>
      </c>
      <c r="L115" s="312">
        <f t="shared" si="3"/>
        <v>9568167.7442380078</v>
      </c>
      <c r="M115" s="233">
        <f>'M) Police'!O115</f>
        <v>1434709.8075301531</v>
      </c>
      <c r="N115" s="233">
        <f t="shared" si="4"/>
        <v>11002877.551768161</v>
      </c>
      <c r="O115" s="317">
        <f t="shared" si="5"/>
        <v>1034197.9454416502</v>
      </c>
      <c r="P115" s="319"/>
    </row>
    <row r="116" spans="1:17" s="154" customFormat="1" x14ac:dyDescent="0.25">
      <c r="A116" s="151">
        <f>'B) D RI'!A117</f>
        <v>5585</v>
      </c>
      <c r="B116" s="152" t="str">
        <f>'B) D RI'!B117</f>
        <v>Jouxtens-Mézery</v>
      </c>
      <c r="C116" s="315">
        <f>'B) D RI'!S117</f>
        <v>59</v>
      </c>
      <c r="D116" s="153">
        <f>'B) D RI'!AA117</f>
        <v>1411</v>
      </c>
      <c r="E116" s="313">
        <f>'D) Ecrêtage'!C115</f>
        <v>202487.97135593221</v>
      </c>
      <c r="F116" s="317">
        <f>'E) Fact soc'!G121</f>
        <v>6571005.0075512184</v>
      </c>
      <c r="G116" s="314">
        <f>'H) Péréquation directe'!I126</f>
        <v>3613802.0785479639</v>
      </c>
      <c r="H116" s="317">
        <f>+'I) Dépenses thématiques'!T115</f>
        <v>0</v>
      </c>
      <c r="I116" s="314">
        <f>'K) Plafonnement aide'!J115</f>
        <v>0</v>
      </c>
      <c r="J116" s="317">
        <f>'J) Plafonnement effort'!J115</f>
        <v>0</v>
      </c>
      <c r="K116" s="314">
        <f>'L) Plafonnement taux'!Q116</f>
        <v>0</v>
      </c>
      <c r="L116" s="312">
        <f t="shared" si="3"/>
        <v>10184807.086099181</v>
      </c>
      <c r="M116" s="233">
        <f>'M) Police'!O116</f>
        <v>363460.15122318239</v>
      </c>
      <c r="N116" s="233">
        <f t="shared" si="4"/>
        <v>10548267.237322364</v>
      </c>
      <c r="O116" s="317">
        <f t="shared" si="5"/>
        <v>3613802.0785479639</v>
      </c>
      <c r="P116" s="319"/>
    </row>
    <row r="117" spans="1:17" s="154" customFormat="1" x14ac:dyDescent="0.25">
      <c r="A117" s="151">
        <f>'B) D RI'!A118</f>
        <v>5586</v>
      </c>
      <c r="B117" s="152" t="str">
        <f>'B) D RI'!B118</f>
        <v>Lausanne</v>
      </c>
      <c r="C117" s="315">
        <f>'B) D RI'!S118</f>
        <v>78.5</v>
      </c>
      <c r="D117" s="153">
        <f>'B) D RI'!AA118</f>
        <v>140430</v>
      </c>
      <c r="E117" s="313">
        <f>'D) Ecrêtage'!C116</f>
        <v>6272364.2800849257</v>
      </c>
      <c r="F117" s="317">
        <f>'E) Fact soc'!G122</f>
        <v>107364096.49879466</v>
      </c>
      <c r="G117" s="314">
        <f>'H) Péréquation directe'!I127</f>
        <v>-32299256.32060793</v>
      </c>
      <c r="H117" s="317">
        <f>+'I) Dépenses thématiques'!T116</f>
        <v>-44873477.819490448</v>
      </c>
      <c r="I117" s="314">
        <f>'K) Plafonnement aide'!J116</f>
        <v>0</v>
      </c>
      <c r="J117" s="317">
        <f>'J) Plafonnement effort'!J116</f>
        <v>0</v>
      </c>
      <c r="K117" s="314">
        <f>'L) Plafonnement taux'!Q117</f>
        <v>0</v>
      </c>
      <c r="L117" s="312">
        <f t="shared" ref="L117:L167" si="6">F117+G117+H117+I117+J117+K117</f>
        <v>30191362.358696282</v>
      </c>
      <c r="M117" s="233">
        <f>'M) Police'!O117</f>
        <v>7367837.9434519028</v>
      </c>
      <c r="N117" s="233">
        <f t="shared" si="4"/>
        <v>37559200.302148186</v>
      </c>
      <c r="O117" s="317">
        <f t="shared" si="5"/>
        <v>-77172734.140098378</v>
      </c>
      <c r="P117" s="319"/>
      <c r="Q117" s="519"/>
    </row>
    <row r="118" spans="1:17" s="154" customFormat="1" x14ac:dyDescent="0.25">
      <c r="A118" s="151">
        <f>'B) D RI'!A119</f>
        <v>5587</v>
      </c>
      <c r="B118" s="152" t="str">
        <f>'B) D RI'!B119</f>
        <v>Le Mont-sur-Lausanne</v>
      </c>
      <c r="C118" s="315">
        <f>'B) D RI'!S119</f>
        <v>73.5</v>
      </c>
      <c r="D118" s="153">
        <f>'B) D RI'!AA119</f>
        <v>9136</v>
      </c>
      <c r="E118" s="313">
        <f>'D) Ecrêtage'!C117</f>
        <v>442860.74013605446</v>
      </c>
      <c r="F118" s="317">
        <f>'E) Fact soc'!G123</f>
        <v>7766573.4011063259</v>
      </c>
      <c r="G118" s="314">
        <f>'H) Péréquation directe'!I128</f>
        <v>4181336.9048212208</v>
      </c>
      <c r="H118" s="317">
        <f>+'I) Dépenses thématiques'!T117</f>
        <v>-2158272.809183673</v>
      </c>
      <c r="I118" s="314">
        <f>'K) Plafonnement aide'!J117</f>
        <v>0</v>
      </c>
      <c r="J118" s="317">
        <f>'J) Plafonnement effort'!J117</f>
        <v>0</v>
      </c>
      <c r="K118" s="314">
        <f>'L) Plafonnement taux'!Q118</f>
        <v>0</v>
      </c>
      <c r="L118" s="312">
        <f t="shared" si="6"/>
        <v>9789637.4967438728</v>
      </c>
      <c r="M118" s="233">
        <f>'M) Police'!O118</f>
        <v>1327619.0895224386</v>
      </c>
      <c r="N118" s="233">
        <f t="shared" si="4"/>
        <v>11117256.586266311</v>
      </c>
      <c r="O118" s="317">
        <f t="shared" si="5"/>
        <v>2023064.0956375478</v>
      </c>
      <c r="P118" s="319"/>
    </row>
    <row r="119" spans="1:17" s="154" customFormat="1" x14ac:dyDescent="0.25">
      <c r="A119" s="151">
        <f>'B) D RI'!A120</f>
        <v>5588</v>
      </c>
      <c r="B119" s="152" t="str">
        <f>'B) D RI'!B120</f>
        <v>Paudex</v>
      </c>
      <c r="C119" s="315">
        <f>'B) D RI'!S120</f>
        <v>66.5</v>
      </c>
      <c r="D119" s="153">
        <f>'B) D RI'!AA120</f>
        <v>1538</v>
      </c>
      <c r="E119" s="313">
        <f>'D) Ecrêtage'!C118</f>
        <v>135448.58760472611</v>
      </c>
      <c r="F119" s="317">
        <f>'E) Fact soc'!G124</f>
        <v>3390338.4250188731</v>
      </c>
      <c r="G119" s="314">
        <f>'H) Péréquation directe'!I129</f>
        <v>2284964.15709583</v>
      </c>
      <c r="H119" s="317">
        <f>+'I) Dépenses thématiques'!T118</f>
        <v>0</v>
      </c>
      <c r="I119" s="314">
        <f>'K) Plafonnement aide'!J118</f>
        <v>0</v>
      </c>
      <c r="J119" s="317">
        <f>'J) Plafonnement effort'!J118</f>
        <v>0</v>
      </c>
      <c r="K119" s="314">
        <f>'L) Plafonnement taux'!Q119</f>
        <v>0</v>
      </c>
      <c r="L119" s="312">
        <f t="shared" si="6"/>
        <v>5675302.582114703</v>
      </c>
      <c r="M119" s="233">
        <f>'M) Police'!O119</f>
        <v>159104.79662503881</v>
      </c>
      <c r="N119" s="233">
        <f t="shared" si="4"/>
        <v>5834407.3787397416</v>
      </c>
      <c r="O119" s="317">
        <f t="shared" si="5"/>
        <v>2284964.15709583</v>
      </c>
      <c r="P119" s="319"/>
    </row>
    <row r="120" spans="1:17" s="154" customFormat="1" x14ac:dyDescent="0.25">
      <c r="A120" s="151">
        <f>'B) D RI'!A121</f>
        <v>5589</v>
      </c>
      <c r="B120" s="152" t="str">
        <f>'B) D RI'!B121</f>
        <v>Prilly</v>
      </c>
      <c r="C120" s="315">
        <f>'B) D RI'!S121</f>
        <v>72.5</v>
      </c>
      <c r="D120" s="153">
        <f>'B) D RI'!AA121</f>
        <v>12383</v>
      </c>
      <c r="E120" s="313">
        <f>'D) Ecrêtage'!C119</f>
        <v>455017.22467904515</v>
      </c>
      <c r="F120" s="317">
        <f>'E) Fact soc'!G125</f>
        <v>7469125.6772778761</v>
      </c>
      <c r="G120" s="314">
        <f>'H) Péréquation directe'!I130</f>
        <v>-1363655.1455510445</v>
      </c>
      <c r="H120" s="317">
        <f>+'I) Dépenses thématiques'!T119</f>
        <v>-2600319.1519257291</v>
      </c>
      <c r="I120" s="314">
        <f>'K) Plafonnement aide'!J119</f>
        <v>0</v>
      </c>
      <c r="J120" s="317">
        <f>'J) Plafonnement effort'!J119</f>
        <v>0</v>
      </c>
      <c r="K120" s="314">
        <f>'L) Plafonnement taux'!Q120</f>
        <v>0</v>
      </c>
      <c r="L120" s="312">
        <f t="shared" si="6"/>
        <v>3505151.3798011024</v>
      </c>
      <c r="M120" s="233">
        <f>'M) Police'!O120</f>
        <v>534486.36322969699</v>
      </c>
      <c r="N120" s="233">
        <f t="shared" si="4"/>
        <v>4039637.7430307996</v>
      </c>
      <c r="O120" s="317">
        <f t="shared" si="5"/>
        <v>-3963974.2974767736</v>
      </c>
      <c r="P120" s="319"/>
    </row>
    <row r="121" spans="1:17" s="154" customFormat="1" x14ac:dyDescent="0.25">
      <c r="A121" s="151">
        <f>'B) D RI'!A122</f>
        <v>5590</v>
      </c>
      <c r="B121" s="152" t="str">
        <f>'B) D RI'!B122</f>
        <v>Pully</v>
      </c>
      <c r="C121" s="315">
        <f>'B) D RI'!S122</f>
        <v>61</v>
      </c>
      <c r="D121" s="153">
        <f>'B) D RI'!AA122</f>
        <v>18688</v>
      </c>
      <c r="E121" s="313">
        <f>'D) Ecrêtage'!C120</f>
        <v>1478979.5848477751</v>
      </c>
      <c r="F121" s="317">
        <f>'E) Fact soc'!G126</f>
        <v>34786079.014439844</v>
      </c>
      <c r="G121" s="314">
        <f>'H) Péréquation directe'!I131</f>
        <v>14805667.362316988</v>
      </c>
      <c r="H121" s="317">
        <f>+'I) Dépenses thématiques'!T120</f>
        <v>-2342196.2409133497</v>
      </c>
      <c r="I121" s="314">
        <f>'K) Plafonnement aide'!J120</f>
        <v>0</v>
      </c>
      <c r="J121" s="317">
        <f>'J) Plafonnement effort'!J120</f>
        <v>0</v>
      </c>
      <c r="K121" s="314">
        <f>'L) Plafonnement taux'!Q121</f>
        <v>0</v>
      </c>
      <c r="L121" s="312">
        <f t="shared" si="6"/>
        <v>47249550.135843486</v>
      </c>
      <c r="M121" s="233">
        <f>'M) Police'!O121</f>
        <v>1737284.6053330053</v>
      </c>
      <c r="N121" s="233">
        <f t="shared" si="4"/>
        <v>48986834.741176493</v>
      </c>
      <c r="O121" s="317">
        <f t="shared" si="5"/>
        <v>12463471.121403638</v>
      </c>
      <c r="P121" s="319"/>
    </row>
    <row r="122" spans="1:17" s="154" customFormat="1" x14ac:dyDescent="0.25">
      <c r="A122" s="151">
        <f>'B) D RI'!A123</f>
        <v>5591</v>
      </c>
      <c r="B122" s="152" t="str">
        <f>'B) D RI'!B123</f>
        <v>Renens</v>
      </c>
      <c r="C122" s="315">
        <f>'B) D RI'!S123</f>
        <v>77</v>
      </c>
      <c r="D122" s="153">
        <f>'B) D RI'!AA123</f>
        <v>20863</v>
      </c>
      <c r="E122" s="313">
        <f>'D) Ecrêtage'!C121</f>
        <v>596748.60283858993</v>
      </c>
      <c r="F122" s="317">
        <f>'E) Fact soc'!G127</f>
        <v>10966024.251762632</v>
      </c>
      <c r="G122" s="314">
        <f>'H) Péréquation directe'!I132</f>
        <v>-14077044.167692883</v>
      </c>
      <c r="H122" s="317">
        <f>+'I) Dépenses thématiques'!T121</f>
        <v>-5740467.1329684602</v>
      </c>
      <c r="I122" s="314">
        <f>'K) Plafonnement aide'!J121</f>
        <v>0</v>
      </c>
      <c r="J122" s="317">
        <f>'J) Plafonnement effort'!J121</f>
        <v>0</v>
      </c>
      <c r="K122" s="314">
        <f>'L) Plafonnement taux'!Q122</f>
        <v>0</v>
      </c>
      <c r="L122" s="312">
        <f t="shared" si="6"/>
        <v>-8851487.0488987118</v>
      </c>
      <c r="M122" s="233">
        <f>'M) Police'!O122</f>
        <v>700971.24503051699</v>
      </c>
      <c r="N122" s="233">
        <f t="shared" si="4"/>
        <v>-8150515.803868195</v>
      </c>
      <c r="O122" s="317">
        <f t="shared" si="5"/>
        <v>-19817511.300661344</v>
      </c>
      <c r="P122" s="319"/>
    </row>
    <row r="123" spans="1:17" s="154" customFormat="1" x14ac:dyDescent="0.25">
      <c r="A123" s="151">
        <f>'B) D RI'!A124</f>
        <v>5592</v>
      </c>
      <c r="B123" s="152" t="str">
        <f>'B) D RI'!B124</f>
        <v>Romanel-sur-Lausanne</v>
      </c>
      <c r="C123" s="315">
        <f>'B) D RI'!S124</f>
        <v>70.5</v>
      </c>
      <c r="D123" s="153">
        <f>'B) D RI'!AA124</f>
        <v>3247</v>
      </c>
      <c r="E123" s="313">
        <f>'D) Ecrêtage'!C122</f>
        <v>121292.24695035459</v>
      </c>
      <c r="F123" s="317">
        <f>'E) Fact soc'!G128</f>
        <v>1911741.5611728155</v>
      </c>
      <c r="G123" s="314">
        <f>'H) Péréquation directe'!I133</f>
        <v>683387.13372994866</v>
      </c>
      <c r="H123" s="317">
        <f>+'I) Dépenses thématiques'!T122</f>
        <v>-202861.51829787248</v>
      </c>
      <c r="I123" s="314">
        <f>'K) Plafonnement aide'!J122</f>
        <v>0</v>
      </c>
      <c r="J123" s="317">
        <f>'J) Plafonnement effort'!J122</f>
        <v>0</v>
      </c>
      <c r="K123" s="314">
        <f>'L) Plafonnement taux'!Q123</f>
        <v>0</v>
      </c>
      <c r="L123" s="312">
        <f t="shared" si="6"/>
        <v>2392267.1766048917</v>
      </c>
      <c r="M123" s="233">
        <f>'M) Police'!O123</f>
        <v>361846.90165619517</v>
      </c>
      <c r="N123" s="233">
        <f t="shared" si="4"/>
        <v>2754114.0782610867</v>
      </c>
      <c r="O123" s="317">
        <f t="shared" si="5"/>
        <v>480525.61543207616</v>
      </c>
      <c r="P123" s="319"/>
    </row>
    <row r="124" spans="1:17" s="154" customFormat="1" x14ac:dyDescent="0.25">
      <c r="A124" s="151">
        <f>'B) D RI'!A125</f>
        <v>5601</v>
      </c>
      <c r="B124" s="152" t="str">
        <f>'B) D RI'!B125</f>
        <v>Chexbres</v>
      </c>
      <c r="C124" s="315">
        <f>'B) D RI'!S125</f>
        <v>67.5</v>
      </c>
      <c r="D124" s="153">
        <f>'B) D RI'!AA125</f>
        <v>2251</v>
      </c>
      <c r="E124" s="313">
        <f>'D) Ecrêtage'!C123</f>
        <v>98072.029481481484</v>
      </c>
      <c r="F124" s="317">
        <f>'E) Fact soc'!G129</f>
        <v>2171734.0412939899</v>
      </c>
      <c r="G124" s="314">
        <f>'H) Péréquation directe'!I134</f>
        <v>1131808.4984345841</v>
      </c>
      <c r="H124" s="317">
        <f>+'I) Dépenses thématiques'!T123</f>
        <v>-362326.32311111107</v>
      </c>
      <c r="I124" s="314">
        <f>'K) Plafonnement aide'!J123</f>
        <v>0</v>
      </c>
      <c r="J124" s="317">
        <f>'J) Plafonnement effort'!J123</f>
        <v>0</v>
      </c>
      <c r="K124" s="314">
        <f>'L) Plafonnement taux'!Q124</f>
        <v>0</v>
      </c>
      <c r="L124" s="312">
        <f t="shared" si="6"/>
        <v>2941216.2166174632</v>
      </c>
      <c r="M124" s="233">
        <f>'M) Police'!O124</f>
        <v>115200.39138976946</v>
      </c>
      <c r="N124" s="233">
        <f t="shared" si="4"/>
        <v>3056416.6080072327</v>
      </c>
      <c r="O124" s="317">
        <f t="shared" si="5"/>
        <v>769482.17532347306</v>
      </c>
      <c r="P124" s="319"/>
    </row>
    <row r="125" spans="1:17" s="154" customFormat="1" x14ac:dyDescent="0.25">
      <c r="A125" s="151">
        <f>'B) D RI'!A126</f>
        <v>5604</v>
      </c>
      <c r="B125" s="152" t="str">
        <f>'B) D RI'!B126</f>
        <v>Forel (Lavaux)</v>
      </c>
      <c r="C125" s="315">
        <f>'B) D RI'!S126</f>
        <v>69</v>
      </c>
      <c r="D125" s="153">
        <f>'B) D RI'!AA126</f>
        <v>2105</v>
      </c>
      <c r="E125" s="313">
        <f>'D) Ecrêtage'!C124</f>
        <v>71309.914782608685</v>
      </c>
      <c r="F125" s="317">
        <f>'E) Fact soc'!G130</f>
        <v>1152458.5534235996</v>
      </c>
      <c r="G125" s="314">
        <f>'H) Péréquation directe'!I135</f>
        <v>284260.88359808759</v>
      </c>
      <c r="H125" s="317">
        <f>+'I) Dépenses thématiques'!T124</f>
        <v>-292249.26130434789</v>
      </c>
      <c r="I125" s="314">
        <f>'K) Plafonnement aide'!J124</f>
        <v>0</v>
      </c>
      <c r="J125" s="317">
        <f>'J) Plafonnement effort'!J124</f>
        <v>0</v>
      </c>
      <c r="K125" s="314">
        <f>'L) Plafonnement taux'!Q125</f>
        <v>0</v>
      </c>
      <c r="L125" s="312">
        <f t="shared" si="6"/>
        <v>1144470.1757173394</v>
      </c>
      <c r="M125" s="233">
        <f>'M) Police'!O125</f>
        <v>214046.71823986538</v>
      </c>
      <c r="N125" s="233">
        <f t="shared" si="4"/>
        <v>1358516.8939572047</v>
      </c>
      <c r="O125" s="317">
        <f t="shared" si="5"/>
        <v>-7988.377706260304</v>
      </c>
      <c r="P125" s="319"/>
    </row>
    <row r="126" spans="1:17" s="154" customFormat="1" x14ac:dyDescent="0.25">
      <c r="A126" s="151">
        <f>'B) D RI'!A127</f>
        <v>5606</v>
      </c>
      <c r="B126" s="152" t="str">
        <f>'B) D RI'!B127</f>
        <v>Lutry</v>
      </c>
      <c r="C126" s="315">
        <f>'B) D RI'!S127</f>
        <v>54</v>
      </c>
      <c r="D126" s="153">
        <f>'B) D RI'!AA127</f>
        <v>10455</v>
      </c>
      <c r="E126" s="313">
        <f>'D) Ecrêtage'!C125</f>
        <v>875230.37264550268</v>
      </c>
      <c r="F126" s="317">
        <f>'E) Fact soc'!G131</f>
        <v>20758556.112360306</v>
      </c>
      <c r="G126" s="314">
        <f>'H) Péréquation directe'!I136</f>
        <v>11355160.700088335</v>
      </c>
      <c r="H126" s="317">
        <f>+'I) Dépenses thématiques'!T125</f>
        <v>-2144340.7641269839</v>
      </c>
      <c r="I126" s="314">
        <f>'K) Plafonnement aide'!J125</f>
        <v>0</v>
      </c>
      <c r="J126" s="317">
        <f>'J) Plafonnement effort'!J125</f>
        <v>0</v>
      </c>
      <c r="K126" s="314">
        <f>'L) Plafonnement taux'!Q126</f>
        <v>0</v>
      </c>
      <c r="L126" s="312">
        <f t="shared" si="6"/>
        <v>29969376.048321661</v>
      </c>
      <c r="M126" s="233">
        <f>'M) Police'!O126</f>
        <v>1028090.0886629901</v>
      </c>
      <c r="N126" s="233">
        <f t="shared" si="4"/>
        <v>30997466.13698465</v>
      </c>
      <c r="O126" s="317">
        <f t="shared" si="5"/>
        <v>9210819.9359613508</v>
      </c>
      <c r="P126" s="319"/>
    </row>
    <row r="127" spans="1:17" s="154" customFormat="1" x14ac:dyDescent="0.25">
      <c r="A127" s="151">
        <f>'B) D RI'!A128</f>
        <v>5607</v>
      </c>
      <c r="B127" s="152" t="str">
        <f>'B) D RI'!B128</f>
        <v>Puidoux</v>
      </c>
      <c r="C127" s="315">
        <f>'B) D RI'!S128</f>
        <v>68.5</v>
      </c>
      <c r="D127" s="153">
        <f>'B) D RI'!AA128</f>
        <v>2894</v>
      </c>
      <c r="E127" s="313">
        <f>'D) Ecrêtage'!C126</f>
        <v>102944.97501110758</v>
      </c>
      <c r="F127" s="317">
        <f>'E) Fact soc'!G132</f>
        <v>2036400.0670641251</v>
      </c>
      <c r="G127" s="314">
        <f>'H) Péréquation directe'!I137</f>
        <v>504958.71324683819</v>
      </c>
      <c r="H127" s="317">
        <f>+'I) Dépenses thématiques'!T126</f>
        <v>-854631.14993335458</v>
      </c>
      <c r="I127" s="314">
        <f>'K) Plafonnement aide'!J126</f>
        <v>0</v>
      </c>
      <c r="J127" s="317">
        <f>'J) Plafonnement effort'!J126</f>
        <v>0</v>
      </c>
      <c r="K127" s="314">
        <f>'L) Plafonnement taux'!Q127</f>
        <v>0</v>
      </c>
      <c r="L127" s="312">
        <f t="shared" si="6"/>
        <v>1686727.6303776088</v>
      </c>
      <c r="M127" s="233">
        <f>'M) Police'!O127</f>
        <v>120924.40092849277</v>
      </c>
      <c r="N127" s="233">
        <f t="shared" si="4"/>
        <v>1807652.0313061015</v>
      </c>
      <c r="O127" s="317">
        <f t="shared" si="5"/>
        <v>-349672.43668651639</v>
      </c>
      <c r="P127" s="319"/>
    </row>
    <row r="128" spans="1:17" s="154" customFormat="1" x14ac:dyDescent="0.25">
      <c r="A128" s="151">
        <f>'B) D RI'!A129</f>
        <v>5609</v>
      </c>
      <c r="B128" s="152" t="str">
        <f>'B) D RI'!B129</f>
        <v>Rivaz</v>
      </c>
      <c r="C128" s="315">
        <f>'B) D RI'!S129</f>
        <v>62</v>
      </c>
      <c r="D128" s="153">
        <f>'B) D RI'!AA129</f>
        <v>337</v>
      </c>
      <c r="E128" s="313">
        <f>'D) Ecrêtage'!C127</f>
        <v>16048.850483870969</v>
      </c>
      <c r="F128" s="317">
        <f>'E) Fact soc'!G133</f>
        <v>249547.53413099426</v>
      </c>
      <c r="G128" s="314">
        <f>'H) Péréquation directe'!I138</f>
        <v>262933.78183587058</v>
      </c>
      <c r="H128" s="317">
        <f>+'I) Dépenses thématiques'!T127</f>
        <v>-24237.259233870962</v>
      </c>
      <c r="I128" s="314">
        <f>'K) Plafonnement aide'!J127</f>
        <v>0</v>
      </c>
      <c r="J128" s="317">
        <f>'J) Plafonnement effort'!J127</f>
        <v>0</v>
      </c>
      <c r="K128" s="314">
        <f>'L) Plafonnement taux'!Q128</f>
        <v>0</v>
      </c>
      <c r="L128" s="312">
        <f t="shared" si="6"/>
        <v>488244.05673299386</v>
      </c>
      <c r="M128" s="233">
        <f>'M) Police'!O128</f>
        <v>18851.795632993744</v>
      </c>
      <c r="N128" s="233">
        <f t="shared" si="4"/>
        <v>507095.85236598761</v>
      </c>
      <c r="O128" s="317">
        <f t="shared" si="5"/>
        <v>238696.52260199963</v>
      </c>
      <c r="P128" s="319"/>
    </row>
    <row r="129" spans="1:16" s="154" customFormat="1" x14ac:dyDescent="0.25">
      <c r="A129" s="151">
        <f>'B) D RI'!A130</f>
        <v>5610</v>
      </c>
      <c r="B129" s="152" t="str">
        <f>'B) D RI'!B130</f>
        <v>St-Saphorin (Lavaux)</v>
      </c>
      <c r="C129" s="315">
        <f>'B) D RI'!S130</f>
        <v>72</v>
      </c>
      <c r="D129" s="153">
        <f>'B) D RI'!AA130</f>
        <v>388</v>
      </c>
      <c r="E129" s="313">
        <f>'D) Ecrêtage'!C128</f>
        <v>19213.723703703701</v>
      </c>
      <c r="F129" s="317">
        <f>'E) Fact soc'!G134</f>
        <v>331053.79376717017</v>
      </c>
      <c r="G129" s="314">
        <f>'H) Péréquation directe'!I139</f>
        <v>320102.97933975811</v>
      </c>
      <c r="H129" s="317">
        <f>+'I) Dépenses thématiques'!T128</f>
        <v>-5993.4077777777929</v>
      </c>
      <c r="I129" s="314">
        <f>'K) Plafonnement aide'!J128</f>
        <v>0</v>
      </c>
      <c r="J129" s="317">
        <f>'J) Plafonnement effort'!J128</f>
        <v>0</v>
      </c>
      <c r="K129" s="314">
        <f>'L) Plafonnement taux'!Q129</f>
        <v>0</v>
      </c>
      <c r="L129" s="312">
        <f t="shared" si="6"/>
        <v>645163.36532915046</v>
      </c>
      <c r="M129" s="233">
        <f>'M) Police'!O129</f>
        <v>22569.416605572635</v>
      </c>
      <c r="N129" s="233">
        <f t="shared" si="4"/>
        <v>667732.78193472314</v>
      </c>
      <c r="O129" s="317">
        <f t="shared" si="5"/>
        <v>314109.57156198029</v>
      </c>
      <c r="P129" s="319"/>
    </row>
    <row r="130" spans="1:16" s="154" customFormat="1" x14ac:dyDescent="0.25">
      <c r="A130" s="151">
        <f>'B) D RI'!A131</f>
        <v>5611</v>
      </c>
      <c r="B130" s="152" t="str">
        <f>'B) D RI'!B131</f>
        <v>Savigny</v>
      </c>
      <c r="C130" s="315">
        <f>'B) D RI'!S131</f>
        <v>69</v>
      </c>
      <c r="D130" s="153">
        <f>'B) D RI'!AA131</f>
        <v>3348</v>
      </c>
      <c r="E130" s="313">
        <f>'D) Ecrêtage'!C129</f>
        <v>136715.33886473431</v>
      </c>
      <c r="F130" s="317">
        <f>'E) Fact soc'!G135</f>
        <v>2374044.3780054618</v>
      </c>
      <c r="G130" s="314">
        <f>'H) Péréquation directe'!I140</f>
        <v>1160012.7950854916</v>
      </c>
      <c r="H130" s="317">
        <f>+'I) Dépenses thématiques'!T129</f>
        <v>-512205.96681159415</v>
      </c>
      <c r="I130" s="314">
        <f>'K) Plafonnement aide'!J129</f>
        <v>0</v>
      </c>
      <c r="J130" s="317">
        <f>'J) Plafonnement effort'!J129</f>
        <v>0</v>
      </c>
      <c r="K130" s="314">
        <f>'L) Plafonnement taux'!Q130</f>
        <v>0</v>
      </c>
      <c r="L130" s="312">
        <f t="shared" si="6"/>
        <v>3021851.2062793593</v>
      </c>
      <c r="M130" s="233">
        <f>'M) Police'!O130</f>
        <v>160592.78705123861</v>
      </c>
      <c r="N130" s="233">
        <f t="shared" si="4"/>
        <v>3182443.9933305979</v>
      </c>
      <c r="O130" s="317">
        <f t="shared" si="5"/>
        <v>647806.82827389752</v>
      </c>
      <c r="P130" s="319"/>
    </row>
    <row r="131" spans="1:16" s="154" customFormat="1" x14ac:dyDescent="0.25">
      <c r="A131" s="151">
        <f>'B) D RI'!A132</f>
        <v>5613</v>
      </c>
      <c r="B131" s="152" t="str">
        <f>'B) D RI'!B132</f>
        <v>Bourg-en-Lavaux</v>
      </c>
      <c r="C131" s="315">
        <f>'B) D RI'!S132</f>
        <v>62.5</v>
      </c>
      <c r="D131" s="153">
        <f>'B) D RI'!AA132</f>
        <v>5389</v>
      </c>
      <c r="E131" s="313">
        <f>'D) Ecrêtage'!C130</f>
        <v>343828.17631999997</v>
      </c>
      <c r="F131" s="317">
        <f>'E) Fact soc'!G136</f>
        <v>6755591.6653184881</v>
      </c>
      <c r="G131" s="314">
        <f>'H) Péréquation directe'!I141</f>
        <v>4547304.734862607</v>
      </c>
      <c r="H131" s="317">
        <f>+'I) Dépenses thématiques'!T130</f>
        <v>0</v>
      </c>
      <c r="I131" s="314">
        <f>'K) Plafonnement aide'!J130</f>
        <v>0</v>
      </c>
      <c r="J131" s="317">
        <f>'J) Plafonnement effort'!J130</f>
        <v>0</v>
      </c>
      <c r="K131" s="314">
        <f>'L) Plafonnement taux'!Q131</f>
        <v>0</v>
      </c>
      <c r="L131" s="312">
        <f t="shared" si="6"/>
        <v>11302896.400181096</v>
      </c>
      <c r="M131" s="233">
        <f>'M) Police'!O131</f>
        <v>403878.05465343082</v>
      </c>
      <c r="N131" s="233">
        <f t="shared" si="4"/>
        <v>11706774.454834526</v>
      </c>
      <c r="O131" s="317">
        <f t="shared" si="5"/>
        <v>4547304.734862607</v>
      </c>
      <c r="P131" s="319"/>
    </row>
    <row r="132" spans="1:16" s="154" customFormat="1" x14ac:dyDescent="0.25">
      <c r="A132" s="151">
        <f>'B) D RI'!A133</f>
        <v>5621</v>
      </c>
      <c r="B132" s="152" t="str">
        <f>'B) D RI'!B133</f>
        <v>Aclens</v>
      </c>
      <c r="C132" s="315">
        <f>'B) D RI'!S133</f>
        <v>62</v>
      </c>
      <c r="D132" s="153">
        <f>'B) D RI'!AA133</f>
        <v>528</v>
      </c>
      <c r="E132" s="313">
        <f>'D) Ecrêtage'!C131</f>
        <v>32411.912521994131</v>
      </c>
      <c r="F132" s="317">
        <f>'E) Fact soc'!G137</f>
        <v>682249.82172647421</v>
      </c>
      <c r="G132" s="314">
        <f>'H) Péréquation directe'!I142</f>
        <v>555674.48934232991</v>
      </c>
      <c r="H132" s="317">
        <f>+'I) Dépenses thématiques'!T131</f>
        <v>-38817.524868035216</v>
      </c>
      <c r="I132" s="314">
        <f>'K) Plafonnement aide'!J131</f>
        <v>0</v>
      </c>
      <c r="J132" s="317">
        <f>'J) Plafonnement effort'!J131</f>
        <v>0</v>
      </c>
      <c r="K132" s="314">
        <f>'L) Plafonnement taux'!Q132</f>
        <v>0</v>
      </c>
      <c r="L132" s="312">
        <f t="shared" si="6"/>
        <v>1199106.7862007688</v>
      </c>
      <c r="M132" s="233">
        <f>'M) Police'!O132</f>
        <v>85075.339836935658</v>
      </c>
      <c r="N132" s="233">
        <f t="shared" si="4"/>
        <v>1284182.1260377045</v>
      </c>
      <c r="O132" s="317">
        <f t="shared" si="5"/>
        <v>516856.96447429468</v>
      </c>
      <c r="P132" s="319"/>
    </row>
    <row r="133" spans="1:16" s="154" customFormat="1" x14ac:dyDescent="0.25">
      <c r="A133" s="151">
        <f>'B) D RI'!A134</f>
        <v>5622</v>
      </c>
      <c r="B133" s="152" t="str">
        <f>'B) D RI'!B134</f>
        <v>Bremblens</v>
      </c>
      <c r="C133" s="315">
        <f>'B) D RI'!S134</f>
        <v>68</v>
      </c>
      <c r="D133" s="153">
        <f>'B) D RI'!AA134</f>
        <v>583</v>
      </c>
      <c r="E133" s="313">
        <f>'D) Ecrêtage'!C132</f>
        <v>27803.201911764703</v>
      </c>
      <c r="F133" s="317">
        <f>'E) Fact soc'!G138</f>
        <v>430724.91719349334</v>
      </c>
      <c r="G133" s="314">
        <f>'H) Péréquation directe'!I143</f>
        <v>455347.51351743046</v>
      </c>
      <c r="H133" s="317">
        <f>+'I) Dépenses thématiques'!T132</f>
        <v>0</v>
      </c>
      <c r="I133" s="314">
        <f>'K) Plafonnement aide'!J132</f>
        <v>0</v>
      </c>
      <c r="J133" s="317">
        <f>'J) Plafonnement effort'!J132</f>
        <v>0</v>
      </c>
      <c r="K133" s="314">
        <f>'L) Plafonnement taux'!Q133</f>
        <v>0</v>
      </c>
      <c r="L133" s="312">
        <f t="shared" si="6"/>
        <v>886072.43071092386</v>
      </c>
      <c r="M133" s="233">
        <f>'M) Police'!O133</f>
        <v>83713.814066829131</v>
      </c>
      <c r="N133" s="233">
        <f t="shared" si="4"/>
        <v>969786.24477775302</v>
      </c>
      <c r="O133" s="317">
        <f t="shared" si="5"/>
        <v>455347.51351743046</v>
      </c>
      <c r="P133" s="319"/>
    </row>
    <row r="134" spans="1:16" s="154" customFormat="1" x14ac:dyDescent="0.25">
      <c r="A134" s="151">
        <f>'B) D RI'!A135</f>
        <v>5623</v>
      </c>
      <c r="B134" s="152" t="str">
        <f>'B) D RI'!B135</f>
        <v>Buchillon</v>
      </c>
      <c r="C134" s="315">
        <f>'B) D RI'!S135</f>
        <v>52</v>
      </c>
      <c r="D134" s="153">
        <f>'B) D RI'!AA135</f>
        <v>686</v>
      </c>
      <c r="E134" s="313">
        <f>'D) Ecrêtage'!C133</f>
        <v>94394.012307692305</v>
      </c>
      <c r="F134" s="317">
        <f>'E) Fact soc'!G139</f>
        <v>2703523.9792142785</v>
      </c>
      <c r="G134" s="314">
        <f>'H) Péréquation directe'!I144</f>
        <v>1723911.1009749363</v>
      </c>
      <c r="H134" s="317">
        <f>+'I) Dépenses thématiques'!T133</f>
        <v>0</v>
      </c>
      <c r="I134" s="314">
        <f>'K) Plafonnement aide'!J133</f>
        <v>0</v>
      </c>
      <c r="J134" s="317">
        <f>'J) Plafonnement effort'!J133</f>
        <v>0</v>
      </c>
      <c r="K134" s="314">
        <f>'L) Plafonnement taux'!Q134</f>
        <v>0</v>
      </c>
      <c r="L134" s="312">
        <f t="shared" si="6"/>
        <v>4427435.080189215</v>
      </c>
      <c r="M134" s="233">
        <f>'M) Police'!O134</f>
        <v>110880.00544283833</v>
      </c>
      <c r="N134" s="233">
        <f t="shared" si="4"/>
        <v>4538315.0856320532</v>
      </c>
      <c r="O134" s="317">
        <f t="shared" si="5"/>
        <v>1723911.1009749363</v>
      </c>
      <c r="P134" s="319"/>
    </row>
    <row r="135" spans="1:16" s="154" customFormat="1" x14ac:dyDescent="0.25">
      <c r="A135" s="151">
        <f>'B) D RI'!A136</f>
        <v>5624</v>
      </c>
      <c r="B135" s="152" t="str">
        <f>'B) D RI'!B136</f>
        <v>Bussigny</v>
      </c>
      <c r="C135" s="315">
        <f>'B) D RI'!S136</f>
        <v>62.5</v>
      </c>
      <c r="D135" s="153">
        <f>'B) D RI'!AA136</f>
        <v>9614</v>
      </c>
      <c r="E135" s="313">
        <f>'D) Ecrêtage'!C134</f>
        <v>351876.09247999993</v>
      </c>
      <c r="F135" s="317">
        <f>'E) Fact soc'!G140</f>
        <v>6454225.0695142252</v>
      </c>
      <c r="G135" s="314">
        <f>'H) Péréquation directe'!I145</f>
        <v>291563.67591784243</v>
      </c>
      <c r="H135" s="317">
        <f>+'I) Dépenses thématiques'!T134</f>
        <v>-1339907.7826200007</v>
      </c>
      <c r="I135" s="314">
        <f>'K) Plafonnement aide'!J134</f>
        <v>0</v>
      </c>
      <c r="J135" s="317">
        <f>'J) Plafonnement effort'!J134</f>
        <v>0</v>
      </c>
      <c r="K135" s="314">
        <f>'L) Plafonnement taux'!Q135</f>
        <v>0</v>
      </c>
      <c r="L135" s="312">
        <f t="shared" si="6"/>
        <v>5405880.962812067</v>
      </c>
      <c r="M135" s="233">
        <f>'M) Police'!O135</f>
        <v>413331.54609646363</v>
      </c>
      <c r="N135" s="233">
        <f t="shared" ref="N135:N193" si="7">L135+M135</f>
        <v>5819212.5089085307</v>
      </c>
      <c r="O135" s="317">
        <f t="shared" ref="O135:O198" si="8">SUM(G135:K135)</f>
        <v>-1048344.1067021582</v>
      </c>
      <c r="P135" s="319"/>
    </row>
    <row r="136" spans="1:16" s="154" customFormat="1" x14ac:dyDescent="0.25">
      <c r="A136" s="151">
        <f>'B) D RI'!A137</f>
        <v>5625</v>
      </c>
      <c r="B136" s="152" t="str">
        <f>'B) D RI'!B137</f>
        <v>Bussy-Chardonney</v>
      </c>
      <c r="C136" s="315">
        <f>'B) D RI'!S137</f>
        <v>77</v>
      </c>
      <c r="D136" s="153">
        <f>'B) D RI'!AA137</f>
        <v>404</v>
      </c>
      <c r="E136" s="313">
        <f>'D) Ecrêtage'!C135</f>
        <v>17740.486103896103</v>
      </c>
      <c r="F136" s="317">
        <f>'E) Fact soc'!G141</f>
        <v>333797.10993771115</v>
      </c>
      <c r="G136" s="314">
        <f>'H) Péréquation directe'!I146</f>
        <v>248973.12958758726</v>
      </c>
      <c r="H136" s="317">
        <f>+'I) Dépenses thématiques'!T135</f>
        <v>-16227.083376623385</v>
      </c>
      <c r="I136" s="314">
        <f>'K) Plafonnement aide'!J135</f>
        <v>0</v>
      </c>
      <c r="J136" s="317">
        <f>'J) Plafonnement effort'!J135</f>
        <v>0</v>
      </c>
      <c r="K136" s="314">
        <f>'L) Plafonnement taux'!Q136</f>
        <v>0</v>
      </c>
      <c r="L136" s="312">
        <f t="shared" si="6"/>
        <v>566543.15614867501</v>
      </c>
      <c r="M136" s="233">
        <f>'M) Police'!O136</f>
        <v>53560.952931661785</v>
      </c>
      <c r="N136" s="233">
        <f t="shared" si="7"/>
        <v>620104.10908033676</v>
      </c>
      <c r="O136" s="317">
        <f t="shared" si="8"/>
        <v>232746.04621096386</v>
      </c>
      <c r="P136" s="319"/>
    </row>
    <row r="137" spans="1:16" s="154" customFormat="1" x14ac:dyDescent="0.25">
      <c r="A137" s="151">
        <f>'B) D RI'!A138</f>
        <v>5627</v>
      </c>
      <c r="B137" s="152" t="str">
        <f>'B) D RI'!B138</f>
        <v>Chavannes-près-Renens</v>
      </c>
      <c r="C137" s="315">
        <f>'B) D RI'!S138</f>
        <v>77.5</v>
      </c>
      <c r="D137" s="153">
        <f>'B) D RI'!AA138</f>
        <v>8487</v>
      </c>
      <c r="E137" s="313">
        <f>'D) Ecrêtage'!C136</f>
        <v>161901.70176344088</v>
      </c>
      <c r="F137" s="317">
        <f>'E) Fact soc'!G142</f>
        <v>2702170.6701104902</v>
      </c>
      <c r="G137" s="314">
        <f>'H) Péréquation directe'!I147</f>
        <v>-6732896.7903827829</v>
      </c>
      <c r="H137" s="317">
        <f>+'I) Dépenses thématiques'!T136</f>
        <v>-1490266.7894193546</v>
      </c>
      <c r="I137" s="314">
        <f>'K) Plafonnement aide'!J136</f>
        <v>2735512.5061647659</v>
      </c>
      <c r="J137" s="317">
        <f>'J) Plafonnement effort'!J136</f>
        <v>0</v>
      </c>
      <c r="K137" s="314">
        <f>'L) Plafonnement taux'!Q137</f>
        <v>0</v>
      </c>
      <c r="L137" s="312">
        <f t="shared" si="6"/>
        <v>-2785480.4035268817</v>
      </c>
      <c r="M137" s="233">
        <f>'M) Police'!O137</f>
        <v>190177.96927858959</v>
      </c>
      <c r="N137" s="233">
        <f t="shared" si="7"/>
        <v>-2595302.4342482919</v>
      </c>
      <c r="O137" s="317">
        <f t="shared" si="8"/>
        <v>-5487651.0736373719</v>
      </c>
      <c r="P137" s="319"/>
    </row>
    <row r="138" spans="1:16" s="154" customFormat="1" x14ac:dyDescent="0.25">
      <c r="A138" s="151">
        <f>'B) D RI'!A139</f>
        <v>5628</v>
      </c>
      <c r="B138" s="152" t="str">
        <f>'B) D RI'!B139</f>
        <v>Chigny</v>
      </c>
      <c r="C138" s="315">
        <f>'B) D RI'!S139</f>
        <v>62</v>
      </c>
      <c r="D138" s="153">
        <f>'B) D RI'!AA139</f>
        <v>396</v>
      </c>
      <c r="E138" s="313">
        <f>'D) Ecrêtage'!C137</f>
        <v>24624.530161290324</v>
      </c>
      <c r="F138" s="317">
        <f>'E) Fact soc'!G143</f>
        <v>477016.25190432847</v>
      </c>
      <c r="G138" s="314">
        <f>'H) Péréquation directe'!I148</f>
        <v>422803.95807461668</v>
      </c>
      <c r="H138" s="317">
        <f>+'I) Dépenses thématiques'!T137</f>
        <v>0</v>
      </c>
      <c r="I138" s="314">
        <f>'K) Plafonnement aide'!J137</f>
        <v>0</v>
      </c>
      <c r="J138" s="317">
        <f>'J) Plafonnement effort'!J137</f>
        <v>0</v>
      </c>
      <c r="K138" s="314">
        <f>'L) Plafonnement taux'!Q138</f>
        <v>0</v>
      </c>
      <c r="L138" s="312">
        <f t="shared" si="6"/>
        <v>899820.20997894509</v>
      </c>
      <c r="M138" s="233">
        <f>'M) Police'!O138</f>
        <v>64177.219712436286</v>
      </c>
      <c r="N138" s="233">
        <f t="shared" si="7"/>
        <v>963997.4296913814</v>
      </c>
      <c r="O138" s="317">
        <f t="shared" si="8"/>
        <v>422803.95807461668</v>
      </c>
      <c r="P138" s="319"/>
    </row>
    <row r="139" spans="1:16" s="154" customFormat="1" x14ac:dyDescent="0.25">
      <c r="A139" s="151">
        <f>'B) D RI'!A140</f>
        <v>5629</v>
      </c>
      <c r="B139" s="152" t="str">
        <f>'B) D RI'!B140</f>
        <v>Clarmont</v>
      </c>
      <c r="C139" s="315">
        <f>'B) D RI'!S140</f>
        <v>73.5</v>
      </c>
      <c r="D139" s="153">
        <f>'B) D RI'!AA140</f>
        <v>201</v>
      </c>
      <c r="E139" s="313">
        <f>'D) Ecrêtage'!C138</f>
        <v>8521.2598639455773</v>
      </c>
      <c r="F139" s="317">
        <f>'E) Fact soc'!G144</f>
        <v>117158.06023827582</v>
      </c>
      <c r="G139" s="314">
        <f>'H) Péréquation directe'!I149</f>
        <v>113220.17435216857</v>
      </c>
      <c r="H139" s="317">
        <f>+'I) Dépenses thématiques'!T138</f>
        <v>-36676.440816326533</v>
      </c>
      <c r="I139" s="314">
        <f>'K) Plafonnement aide'!J138</f>
        <v>0</v>
      </c>
      <c r="J139" s="317">
        <f>'J) Plafonnement effort'!J138</f>
        <v>0</v>
      </c>
      <c r="K139" s="314">
        <f>'L) Plafonnement taux'!Q139</f>
        <v>0</v>
      </c>
      <c r="L139" s="312">
        <f t="shared" si="6"/>
        <v>193701.79377411786</v>
      </c>
      <c r="M139" s="233">
        <f>'M) Police'!O139</f>
        <v>26010.805700720626</v>
      </c>
      <c r="N139" s="233">
        <f t="shared" si="7"/>
        <v>219712.5994748385</v>
      </c>
      <c r="O139" s="317">
        <f t="shared" si="8"/>
        <v>76543.733535842039</v>
      </c>
      <c r="P139" s="319"/>
    </row>
    <row r="140" spans="1:16" s="154" customFormat="1" x14ac:dyDescent="0.25">
      <c r="A140" s="151">
        <f>'B) D RI'!A141</f>
        <v>5631</v>
      </c>
      <c r="B140" s="152" t="str">
        <f>'B) D RI'!B141</f>
        <v>Denens</v>
      </c>
      <c r="C140" s="315">
        <f>'B) D RI'!S141</f>
        <v>68</v>
      </c>
      <c r="D140" s="153">
        <f>'B) D RI'!AA141</f>
        <v>742</v>
      </c>
      <c r="E140" s="313">
        <f>'D) Ecrêtage'!C139</f>
        <v>43455.14235294117</v>
      </c>
      <c r="F140" s="317">
        <f>'E) Fact soc'!G145</f>
        <v>886394.91332080564</v>
      </c>
      <c r="G140" s="314">
        <f>'H) Péréquation directe'!I150</f>
        <v>740772.71820228873</v>
      </c>
      <c r="H140" s="317">
        <f>+'I) Dépenses thématiques'!T139</f>
        <v>0</v>
      </c>
      <c r="I140" s="314">
        <f>'K) Plafonnement aide'!J139</f>
        <v>0</v>
      </c>
      <c r="J140" s="317">
        <f>'J) Plafonnement effort'!J139</f>
        <v>0</v>
      </c>
      <c r="K140" s="314">
        <f>'L) Plafonnement taux'!Q140</f>
        <v>0</v>
      </c>
      <c r="L140" s="312">
        <f t="shared" si="6"/>
        <v>1627167.6315230944</v>
      </c>
      <c r="M140" s="233">
        <f>'M) Police'!O140</f>
        <v>117097.59939795472</v>
      </c>
      <c r="N140" s="233">
        <f t="shared" si="7"/>
        <v>1744265.2309210491</v>
      </c>
      <c r="O140" s="317">
        <f t="shared" si="8"/>
        <v>740772.71820228873</v>
      </c>
      <c r="P140" s="319"/>
    </row>
    <row r="141" spans="1:16" s="154" customFormat="1" x14ac:dyDescent="0.25">
      <c r="A141" s="151">
        <f>'B) D RI'!A142</f>
        <v>5632</v>
      </c>
      <c r="B141" s="152" t="str">
        <f>'B) D RI'!B142</f>
        <v>Denges</v>
      </c>
      <c r="C141" s="315">
        <f>'B) D RI'!S142</f>
        <v>62</v>
      </c>
      <c r="D141" s="153">
        <f>'B) D RI'!AA142</f>
        <v>1730</v>
      </c>
      <c r="E141" s="313">
        <f>'D) Ecrêtage'!C140</f>
        <v>76479.966774193541</v>
      </c>
      <c r="F141" s="317">
        <f>'E) Fact soc'!G146</f>
        <v>1245757.0991123724</v>
      </c>
      <c r="G141" s="314">
        <f>'H) Péréquation directe'!I151</f>
        <v>982538.51927672478</v>
      </c>
      <c r="H141" s="317">
        <f>+'I) Dépenses thématiques'!T140</f>
        <v>-96245.449354838755</v>
      </c>
      <c r="I141" s="314">
        <f>'K) Plafonnement aide'!J140</f>
        <v>0</v>
      </c>
      <c r="J141" s="317">
        <f>'J) Plafonnement effort'!J140</f>
        <v>0</v>
      </c>
      <c r="K141" s="314">
        <f>'L) Plafonnement taux'!Q141</f>
        <v>0</v>
      </c>
      <c r="L141" s="312">
        <f t="shared" si="6"/>
        <v>2132050.1690342585</v>
      </c>
      <c r="M141" s="233">
        <f>'M) Police'!O141</f>
        <v>230777.23236991628</v>
      </c>
      <c r="N141" s="233">
        <f t="shared" si="7"/>
        <v>2362827.401404175</v>
      </c>
      <c r="O141" s="317">
        <f t="shared" si="8"/>
        <v>886293.06992188608</v>
      </c>
      <c r="P141" s="319"/>
    </row>
    <row r="142" spans="1:16" s="154" customFormat="1" x14ac:dyDescent="0.25">
      <c r="A142" s="151">
        <f>'B) D RI'!A143</f>
        <v>5633</v>
      </c>
      <c r="B142" s="152" t="str">
        <f>'B) D RI'!B143</f>
        <v>Echandens</v>
      </c>
      <c r="C142" s="315">
        <f>'B) D RI'!S143</f>
        <v>60.5</v>
      </c>
      <c r="D142" s="153">
        <f>'B) D RI'!AA143</f>
        <v>2743</v>
      </c>
      <c r="E142" s="313">
        <f>'D) Ecrêtage'!C141</f>
        <v>148489.97685950415</v>
      </c>
      <c r="F142" s="317">
        <f>'E) Fact soc'!G147</f>
        <v>2988302.4791140342</v>
      </c>
      <c r="G142" s="314">
        <f>'H) Péréquation directe'!I152</f>
        <v>2116534.274565699</v>
      </c>
      <c r="H142" s="317">
        <f>+'I) Dépenses thématiques'!T141</f>
        <v>-629392.63884297502</v>
      </c>
      <c r="I142" s="314">
        <f>'K) Plafonnement aide'!J141</f>
        <v>0</v>
      </c>
      <c r="J142" s="317">
        <f>'J) Plafonnement effort'!J141</f>
        <v>0</v>
      </c>
      <c r="K142" s="314">
        <f>'L) Plafonnement taux'!Q142</f>
        <v>0</v>
      </c>
      <c r="L142" s="312">
        <f t="shared" si="6"/>
        <v>4475444.1148367589</v>
      </c>
      <c r="M142" s="233">
        <f>'M) Police'!O142</f>
        <v>418606.25339296786</v>
      </c>
      <c r="N142" s="233">
        <f t="shared" si="7"/>
        <v>4894050.3682297263</v>
      </c>
      <c r="O142" s="317">
        <f t="shared" si="8"/>
        <v>1487141.635722724</v>
      </c>
      <c r="P142" s="319"/>
    </row>
    <row r="143" spans="1:16" s="154" customFormat="1" x14ac:dyDescent="0.25">
      <c r="A143" s="151">
        <f>'B) D RI'!A144</f>
        <v>5634</v>
      </c>
      <c r="B143" s="152" t="str">
        <f>'B) D RI'!B144</f>
        <v>Echichens</v>
      </c>
      <c r="C143" s="315">
        <f>'B) D RI'!S144</f>
        <v>66</v>
      </c>
      <c r="D143" s="153">
        <f>'B) D RI'!AA144</f>
        <v>3127</v>
      </c>
      <c r="E143" s="313">
        <f>'D) Ecrêtage'!C142</f>
        <v>164177.5981818182</v>
      </c>
      <c r="F143" s="317">
        <f>'E) Fact soc'!G148</f>
        <v>2822825.6311324951</v>
      </c>
      <c r="G143" s="314">
        <f>'H) Péréquation directe'!I153</f>
        <v>2264957.5424116943</v>
      </c>
      <c r="H143" s="317">
        <f>+'I) Dépenses thématiques'!T142</f>
        <v>0</v>
      </c>
      <c r="I143" s="314">
        <f>'K) Plafonnement aide'!J142</f>
        <v>0</v>
      </c>
      <c r="J143" s="317">
        <f>'J) Plafonnement effort'!J142</f>
        <v>0</v>
      </c>
      <c r="K143" s="314">
        <f>'L) Plafonnement taux'!Q143</f>
        <v>0</v>
      </c>
      <c r="L143" s="312">
        <f t="shared" si="6"/>
        <v>5087783.173544189</v>
      </c>
      <c r="M143" s="233">
        <f>'M) Police'!O143</f>
        <v>471217.48340302659</v>
      </c>
      <c r="N143" s="233">
        <f t="shared" si="7"/>
        <v>5559000.656947216</v>
      </c>
      <c r="O143" s="317">
        <f t="shared" si="8"/>
        <v>2264957.5424116943</v>
      </c>
      <c r="P143" s="319"/>
    </row>
    <row r="144" spans="1:16" s="154" customFormat="1" x14ac:dyDescent="0.25">
      <c r="A144" s="151">
        <f>'B) D RI'!A145</f>
        <v>5635</v>
      </c>
      <c r="B144" s="152" t="str">
        <f>'B) D RI'!B145</f>
        <v>Ecublens</v>
      </c>
      <c r="C144" s="315">
        <f>'B) D RI'!S145</f>
        <v>62.5</v>
      </c>
      <c r="D144" s="153">
        <f>'B) D RI'!AA145</f>
        <v>13164</v>
      </c>
      <c r="E144" s="313">
        <f>'D) Ecrêtage'!C143</f>
        <v>681739.39309333346</v>
      </c>
      <c r="F144" s="317">
        <f>'E) Fact soc'!G149</f>
        <v>12008536.787417224</v>
      </c>
      <c r="G144" s="314">
        <f>'H) Péréquation directe'!I154</f>
        <v>5189778.7724901419</v>
      </c>
      <c r="H144" s="317">
        <f>+'I) Dépenses thématiques'!T143</f>
        <v>-2044088.1414399992</v>
      </c>
      <c r="I144" s="314">
        <f>'K) Plafonnement aide'!J143</f>
        <v>0</v>
      </c>
      <c r="J144" s="317">
        <f>'J) Plafonnement effort'!J143</f>
        <v>0</v>
      </c>
      <c r="K144" s="314">
        <f>'L) Plafonnement taux'!Q144</f>
        <v>0</v>
      </c>
      <c r="L144" s="312">
        <f t="shared" si="6"/>
        <v>15154227.418467367</v>
      </c>
      <c r="M144" s="233">
        <f>'M) Police'!O144</f>
        <v>800805.74783053342</v>
      </c>
      <c r="N144" s="233">
        <f t="shared" si="7"/>
        <v>15955033.166297901</v>
      </c>
      <c r="O144" s="317">
        <f t="shared" si="8"/>
        <v>3145690.6310501425</v>
      </c>
      <c r="P144" s="319"/>
    </row>
    <row r="145" spans="1:16" s="154" customFormat="1" x14ac:dyDescent="0.25">
      <c r="A145" s="151">
        <f>'B) D RI'!A146</f>
        <v>5636</v>
      </c>
      <c r="B145" s="152" t="str">
        <f>'B) D RI'!B146</f>
        <v>Etoy</v>
      </c>
      <c r="C145" s="315">
        <f>'B) D RI'!S146</f>
        <v>60</v>
      </c>
      <c r="D145" s="153">
        <f>'B) D RI'!AA146</f>
        <v>2909</v>
      </c>
      <c r="E145" s="313">
        <f>'D) Ecrêtage'!C144</f>
        <v>170715.46099999998</v>
      </c>
      <c r="F145" s="317">
        <f>'E) Fact soc'!G150</f>
        <v>3363910.1128994189</v>
      </c>
      <c r="G145" s="314">
        <f>'H) Péréquation directe'!I155</f>
        <v>2484832.0255770329</v>
      </c>
      <c r="H145" s="317">
        <f>+'I) Dépenses thématiques'!T144</f>
        <v>0</v>
      </c>
      <c r="I145" s="314">
        <f>'K) Plafonnement aide'!J144</f>
        <v>0</v>
      </c>
      <c r="J145" s="317">
        <f>'J) Plafonnement effort'!J144</f>
        <v>0</v>
      </c>
      <c r="K145" s="314">
        <f>'L) Plafonnement taux'!Q145</f>
        <v>0</v>
      </c>
      <c r="L145" s="312">
        <f t="shared" si="6"/>
        <v>5848742.1384764519</v>
      </c>
      <c r="M145" s="233">
        <f>'M) Police'!O145</f>
        <v>459490.78825957514</v>
      </c>
      <c r="N145" s="233">
        <f t="shared" si="7"/>
        <v>6308232.926736027</v>
      </c>
      <c r="O145" s="317">
        <f t="shared" si="8"/>
        <v>2484832.0255770329</v>
      </c>
      <c r="P145" s="319"/>
    </row>
    <row r="146" spans="1:16" s="154" customFormat="1" x14ac:dyDescent="0.25">
      <c r="A146" s="151">
        <f>'B) D RI'!A147</f>
        <v>5637</v>
      </c>
      <c r="B146" s="152" t="str">
        <f>'B) D RI'!B147</f>
        <v>Lavigny</v>
      </c>
      <c r="C146" s="315">
        <f>'B) D RI'!S147</f>
        <v>73</v>
      </c>
      <c r="D146" s="153">
        <f>'B) D RI'!AA147</f>
        <v>1008</v>
      </c>
      <c r="E146" s="313">
        <f>'D) Ecrêtage'!C145</f>
        <v>41194.659315068493</v>
      </c>
      <c r="F146" s="317">
        <f>'E) Fact soc'!G151</f>
        <v>735403.05191350612</v>
      </c>
      <c r="G146" s="314">
        <f>'H) Péréquation directe'!I156</f>
        <v>505325.56833552255</v>
      </c>
      <c r="H146" s="317">
        <f>+'I) Dépenses thématiques'!T145</f>
        <v>-147826.29410958904</v>
      </c>
      <c r="I146" s="314">
        <f>'K) Plafonnement aide'!J145</f>
        <v>0</v>
      </c>
      <c r="J146" s="317">
        <f>'J) Plafonnement effort'!J145</f>
        <v>0</v>
      </c>
      <c r="K146" s="314">
        <f>'L) Plafonnement taux'!Q146</f>
        <v>0</v>
      </c>
      <c r="L146" s="312">
        <f t="shared" si="6"/>
        <v>1092902.3261394398</v>
      </c>
      <c r="M146" s="233">
        <f>'M) Police'!O146</f>
        <v>125325.20071708134</v>
      </c>
      <c r="N146" s="233">
        <f t="shared" si="7"/>
        <v>1218227.5268565211</v>
      </c>
      <c r="O146" s="317">
        <f t="shared" si="8"/>
        <v>357499.27422593348</v>
      </c>
      <c r="P146" s="319"/>
    </row>
    <row r="147" spans="1:16" s="154" customFormat="1" x14ac:dyDescent="0.25">
      <c r="A147" s="151">
        <f>'B) D RI'!A148</f>
        <v>5638</v>
      </c>
      <c r="B147" s="152" t="str">
        <f>'B) D RI'!B148</f>
        <v>Lonay</v>
      </c>
      <c r="C147" s="315">
        <f>'B) D RI'!S148</f>
        <v>55</v>
      </c>
      <c r="D147" s="153">
        <f>'B) D RI'!AA148</f>
        <v>2679</v>
      </c>
      <c r="E147" s="313">
        <f>'D) Ecrêtage'!C146</f>
        <v>145490.01981818181</v>
      </c>
      <c r="F147" s="317">
        <f>'E) Fact soc'!G152</f>
        <v>3294376.0662645623</v>
      </c>
      <c r="G147" s="314">
        <f>'H) Péréquation directe'!I157</f>
        <v>2081262.6855699676</v>
      </c>
      <c r="H147" s="317">
        <f>+'I) Dépenses thématiques'!T146</f>
        <v>-466652.13109090913</v>
      </c>
      <c r="I147" s="314">
        <f>'K) Plafonnement aide'!J146</f>
        <v>0</v>
      </c>
      <c r="J147" s="317">
        <f>'J) Plafonnement effort'!J146</f>
        <v>0</v>
      </c>
      <c r="K147" s="314">
        <f>'L) Plafonnement taux'!Q147</f>
        <v>0</v>
      </c>
      <c r="L147" s="312">
        <f t="shared" si="6"/>
        <v>4908986.6207436211</v>
      </c>
      <c r="M147" s="233">
        <f>'M) Police'!O147</f>
        <v>409385.0592617027</v>
      </c>
      <c r="N147" s="233">
        <f t="shared" si="7"/>
        <v>5318371.6800053241</v>
      </c>
      <c r="O147" s="317">
        <f t="shared" si="8"/>
        <v>1614610.5544790584</v>
      </c>
      <c r="P147" s="319"/>
    </row>
    <row r="148" spans="1:16" s="154" customFormat="1" x14ac:dyDescent="0.25">
      <c r="A148" s="151">
        <f>'B) D RI'!A149</f>
        <v>5639</v>
      </c>
      <c r="B148" s="152" t="str">
        <f>'B) D RI'!B149</f>
        <v>Lully</v>
      </c>
      <c r="C148" s="315">
        <f>'B) D RI'!S149</f>
        <v>61</v>
      </c>
      <c r="D148" s="153">
        <f>'B) D RI'!AA149</f>
        <v>825</v>
      </c>
      <c r="E148" s="313">
        <f>'D) Ecrêtage'!C147</f>
        <v>45623.094262295082</v>
      </c>
      <c r="F148" s="317">
        <f>'E) Fact soc'!G153</f>
        <v>768982.02563257376</v>
      </c>
      <c r="G148" s="314">
        <f>'H) Péréquation directe'!I158</f>
        <v>772027.94395391282</v>
      </c>
      <c r="H148" s="317">
        <f>+'I) Dépenses thématiques'!T147</f>
        <v>0</v>
      </c>
      <c r="I148" s="314">
        <f>'K) Plafonnement aide'!J147</f>
        <v>0</v>
      </c>
      <c r="J148" s="317">
        <f>'J) Plafonnement effort'!J147</f>
        <v>0</v>
      </c>
      <c r="K148" s="314">
        <f>'L) Plafonnement taux'!Q148</f>
        <v>0</v>
      </c>
      <c r="L148" s="312">
        <f t="shared" si="6"/>
        <v>1541009.9695864865</v>
      </c>
      <c r="M148" s="233">
        <f>'M) Police'!O148</f>
        <v>127032.86159355272</v>
      </c>
      <c r="N148" s="233">
        <f t="shared" si="7"/>
        <v>1668042.8311800391</v>
      </c>
      <c r="O148" s="317">
        <f t="shared" si="8"/>
        <v>772027.94395391282</v>
      </c>
      <c r="P148" s="319"/>
    </row>
    <row r="149" spans="1:16" s="154" customFormat="1" x14ac:dyDescent="0.25">
      <c r="A149" s="151">
        <f>'B) D RI'!A150</f>
        <v>5640</v>
      </c>
      <c r="B149" s="152" t="str">
        <f>'B) D RI'!B150</f>
        <v>Lussy-sur-Morges</v>
      </c>
      <c r="C149" s="315">
        <f>'B) D RI'!S150</f>
        <v>66</v>
      </c>
      <c r="D149" s="153">
        <f>'B) D RI'!AA150</f>
        <v>722</v>
      </c>
      <c r="E149" s="313">
        <f>'D) Ecrêtage'!C148</f>
        <v>57031.532424242418</v>
      </c>
      <c r="F149" s="317">
        <f>'E) Fact soc'!G154</f>
        <v>1373333.9867743717</v>
      </c>
      <c r="G149" s="314">
        <f>'H) Péréquation directe'!I159</f>
        <v>1003431.1276830628</v>
      </c>
      <c r="H149" s="317">
        <f>+'I) Dépenses thématiques'!T148</f>
        <v>0</v>
      </c>
      <c r="I149" s="314">
        <f>'K) Plafonnement aide'!J148</f>
        <v>0</v>
      </c>
      <c r="J149" s="317">
        <f>'J) Plafonnement effort'!J148</f>
        <v>0</v>
      </c>
      <c r="K149" s="314">
        <f>'L) Plafonnement taux'!Q149</f>
        <v>0</v>
      </c>
      <c r="L149" s="312">
        <f t="shared" si="6"/>
        <v>2376765.1144574345</v>
      </c>
      <c r="M149" s="233">
        <f>'M) Police'!O149</f>
        <v>66992.137223709113</v>
      </c>
      <c r="N149" s="233">
        <f t="shared" si="7"/>
        <v>2443757.2516811434</v>
      </c>
      <c r="O149" s="317">
        <f t="shared" si="8"/>
        <v>1003431.1276830628</v>
      </c>
      <c r="P149" s="319"/>
    </row>
    <row r="150" spans="1:16" s="154" customFormat="1" x14ac:dyDescent="0.25">
      <c r="A150" s="151">
        <f>'B) D RI'!A151</f>
        <v>5642</v>
      </c>
      <c r="B150" s="152" t="str">
        <f>'B) D RI'!B151</f>
        <v>Morges</v>
      </c>
      <c r="C150" s="315">
        <f>'B) D RI'!S151</f>
        <v>67</v>
      </c>
      <c r="D150" s="153">
        <f>'B) D RI'!AA151</f>
        <v>16095</v>
      </c>
      <c r="E150" s="313">
        <f>'D) Ecrêtage'!C149</f>
        <v>787513.11402985093</v>
      </c>
      <c r="F150" s="317">
        <f>'E) Fact soc'!G155</f>
        <v>13917012.989499314</v>
      </c>
      <c r="G150" s="314">
        <f>'H) Péréquation directe'!I160</f>
        <v>4255111.145142924</v>
      </c>
      <c r="H150" s="317">
        <f>+'I) Dépenses thématiques'!T149</f>
        <v>-1192094.3158208944</v>
      </c>
      <c r="I150" s="314">
        <f>'K) Plafonnement aide'!J149</f>
        <v>0</v>
      </c>
      <c r="J150" s="317">
        <f>'J) Plafonnement effort'!J149</f>
        <v>0</v>
      </c>
      <c r="K150" s="314">
        <f>'L) Plafonnement taux'!Q150</f>
        <v>0</v>
      </c>
      <c r="L150" s="312">
        <f t="shared" si="6"/>
        <v>16980029.818821341</v>
      </c>
      <c r="M150" s="233">
        <f>'M) Police'!O150</f>
        <v>925052.93752430787</v>
      </c>
      <c r="N150" s="233">
        <f t="shared" si="7"/>
        <v>17905082.756345648</v>
      </c>
      <c r="O150" s="317">
        <f t="shared" si="8"/>
        <v>3063016.8293220298</v>
      </c>
      <c r="P150" s="319"/>
    </row>
    <row r="151" spans="1:16" s="154" customFormat="1" x14ac:dyDescent="0.25">
      <c r="A151" s="151">
        <f>'B) D RI'!A152</f>
        <v>5643</v>
      </c>
      <c r="B151" s="152" t="str">
        <f>'B) D RI'!B152</f>
        <v>Préverenges</v>
      </c>
      <c r="C151" s="315">
        <f>'B) D RI'!S152</f>
        <v>62.5</v>
      </c>
      <c r="D151" s="153">
        <f>'B) D RI'!AA152</f>
        <v>5241</v>
      </c>
      <c r="E151" s="313">
        <f>'D) Ecrêtage'!C150</f>
        <v>262337.37167999998</v>
      </c>
      <c r="F151" s="317">
        <f>'E) Fact soc'!G156</f>
        <v>4136413.5929758837</v>
      </c>
      <c r="G151" s="314">
        <f>'H) Péréquation directe'!I161</f>
        <v>3073696.7199277328</v>
      </c>
      <c r="H151" s="317">
        <f>+'I) Dépenses thématiques'!T150</f>
        <v>0</v>
      </c>
      <c r="I151" s="314">
        <f>'K) Plafonnement aide'!J150</f>
        <v>0</v>
      </c>
      <c r="J151" s="317">
        <f>'J) Plafonnement effort'!J150</f>
        <v>0</v>
      </c>
      <c r="K151" s="314">
        <f>'L) Plafonnement taux'!Q151</f>
        <v>0</v>
      </c>
      <c r="L151" s="312">
        <f t="shared" si="6"/>
        <v>7210110.3129036166</v>
      </c>
      <c r="M151" s="233">
        <f>'M) Police'!O151</f>
        <v>308154.81288073055</v>
      </c>
      <c r="N151" s="233">
        <f t="shared" si="7"/>
        <v>7518265.1257843468</v>
      </c>
      <c r="O151" s="317">
        <f t="shared" si="8"/>
        <v>3073696.7199277328</v>
      </c>
      <c r="P151" s="319"/>
    </row>
    <row r="152" spans="1:16" s="154" customFormat="1" x14ac:dyDescent="0.25">
      <c r="A152" s="151">
        <f>'B) D RI'!A153</f>
        <v>5644</v>
      </c>
      <c r="B152" s="152" t="str">
        <f>'B) D RI'!B153</f>
        <v>Reverolle</v>
      </c>
      <c r="C152" s="315">
        <f>'B) D RI'!S153</f>
        <v>74</v>
      </c>
      <c r="D152" s="153">
        <f>'B) D RI'!AA153</f>
        <v>407</v>
      </c>
      <c r="E152" s="313">
        <f>'D) Ecrêtage'!C151</f>
        <v>16020.747027027028</v>
      </c>
      <c r="F152" s="317">
        <f>'E) Fact soc'!G157</f>
        <v>230874.04181697263</v>
      </c>
      <c r="G152" s="314">
        <f>'H) Péréquation directe'!I162</f>
        <v>177812.45915806526</v>
      </c>
      <c r="H152" s="317">
        <f>+'I) Dépenses thématiques'!T151</f>
        <v>-60465.767837837833</v>
      </c>
      <c r="I152" s="314">
        <f>'K) Plafonnement aide'!J151</f>
        <v>0</v>
      </c>
      <c r="J152" s="317">
        <f>'J) Plafonnement effort'!J151</f>
        <v>0</v>
      </c>
      <c r="K152" s="314">
        <f>'L) Plafonnement taux'!Q152</f>
        <v>0</v>
      </c>
      <c r="L152" s="312">
        <f t="shared" si="6"/>
        <v>348220.73313720012</v>
      </c>
      <c r="M152" s="233">
        <f>'M) Police'!O152</f>
        <v>48630.344154196064</v>
      </c>
      <c r="N152" s="233">
        <f t="shared" si="7"/>
        <v>396851.07729139621</v>
      </c>
      <c r="O152" s="317">
        <f t="shared" si="8"/>
        <v>117346.69132022743</v>
      </c>
      <c r="P152" s="319"/>
    </row>
    <row r="153" spans="1:16" s="154" customFormat="1" x14ac:dyDescent="0.25">
      <c r="A153" s="151">
        <f>'B) D RI'!A154</f>
        <v>5645</v>
      </c>
      <c r="B153" s="152" t="str">
        <f>'B) D RI'!B154</f>
        <v>Romanel-sur-Morges</v>
      </c>
      <c r="C153" s="315">
        <f>'B) D RI'!S154</f>
        <v>56</v>
      </c>
      <c r="D153" s="153">
        <f>'B) D RI'!AA154</f>
        <v>466</v>
      </c>
      <c r="E153" s="313">
        <f>'D) Ecrêtage'!C152</f>
        <v>27365.134464285718</v>
      </c>
      <c r="F153" s="317">
        <f>'E) Fact soc'!G158</f>
        <v>527711.09225883393</v>
      </c>
      <c r="G153" s="314">
        <f>'H) Péréquation directe'!I163</f>
        <v>466645.4407504361</v>
      </c>
      <c r="H153" s="317">
        <f>+'I) Dépenses thématiques'!T152</f>
        <v>-69668.943214285682</v>
      </c>
      <c r="I153" s="314">
        <f>'K) Plafonnement aide'!J152</f>
        <v>0</v>
      </c>
      <c r="J153" s="317">
        <f>'J) Plafonnement effort'!J152</f>
        <v>0</v>
      </c>
      <c r="K153" s="314">
        <f>'L) Plafonnement taux'!Q153</f>
        <v>0</v>
      </c>
      <c r="L153" s="312">
        <f t="shared" si="6"/>
        <v>924687.58979498432</v>
      </c>
      <c r="M153" s="233">
        <f>'M) Police'!O153</f>
        <v>73627.886065907631</v>
      </c>
      <c r="N153" s="233">
        <f t="shared" si="7"/>
        <v>998315.47586089198</v>
      </c>
      <c r="O153" s="317">
        <f t="shared" si="8"/>
        <v>396976.49753615039</v>
      </c>
      <c r="P153" s="319"/>
    </row>
    <row r="154" spans="1:16" s="154" customFormat="1" x14ac:dyDescent="0.25">
      <c r="A154" s="151">
        <f>'B) D RI'!A155</f>
        <v>5646</v>
      </c>
      <c r="B154" s="152" t="str">
        <f>'B) D RI'!B155</f>
        <v>Saint-Prex</v>
      </c>
      <c r="C154" s="315">
        <f>'B) D RI'!S155</f>
        <v>55</v>
      </c>
      <c r="D154" s="153">
        <f>'B) D RI'!AA155</f>
        <v>5865</v>
      </c>
      <c r="E154" s="313">
        <f>'D) Ecrêtage'!C153</f>
        <v>541092.68090909091</v>
      </c>
      <c r="F154" s="317">
        <f>'E) Fact soc'!G159</f>
        <v>13375686.068332639</v>
      </c>
      <c r="G154" s="314">
        <f>'H) Péréquation directe'!I164</f>
        <v>8044388.8778055096</v>
      </c>
      <c r="H154" s="317">
        <f>+'I) Dépenses thématiques'!T153</f>
        <v>0</v>
      </c>
      <c r="I154" s="314">
        <f>'K) Plafonnement aide'!J153</f>
        <v>0</v>
      </c>
      <c r="J154" s="317">
        <f>'J) Plafonnement effort'!J153</f>
        <v>0</v>
      </c>
      <c r="K154" s="314">
        <f>'L) Plafonnement taux'!Q154</f>
        <v>0</v>
      </c>
      <c r="L154" s="312">
        <f t="shared" si="6"/>
        <v>21420074.946138147</v>
      </c>
      <c r="M154" s="233">
        <f>'M) Police'!O154</f>
        <v>635594.96982406371</v>
      </c>
      <c r="N154" s="233">
        <f t="shared" si="7"/>
        <v>22055669.915962212</v>
      </c>
      <c r="O154" s="317">
        <f t="shared" si="8"/>
        <v>8044388.8778055096</v>
      </c>
      <c r="P154" s="319"/>
    </row>
    <row r="155" spans="1:16" s="154" customFormat="1" x14ac:dyDescent="0.25">
      <c r="A155" s="151">
        <f>'B) D RI'!A156</f>
        <v>5648</v>
      </c>
      <c r="B155" s="152" t="str">
        <f>'B) D RI'!B156</f>
        <v>Saint-Sulpice</v>
      </c>
      <c r="C155" s="315">
        <f>'B) D RI'!S156</f>
        <v>55</v>
      </c>
      <c r="D155" s="153">
        <f>'B) D RI'!AA156</f>
        <v>4909</v>
      </c>
      <c r="E155" s="313">
        <f>'D) Ecrêtage'!C154</f>
        <v>396480.48181818181</v>
      </c>
      <c r="F155" s="317">
        <f>'E) Fact soc'!G160</f>
        <v>8827102.0457805265</v>
      </c>
      <c r="G155" s="314">
        <f>'H) Péréquation directe'!I165</f>
        <v>5832991.1409827136</v>
      </c>
      <c r="H155" s="317">
        <f>+'I) Dépenses thématiques'!T154</f>
        <v>0</v>
      </c>
      <c r="I155" s="314">
        <f>'K) Plafonnement aide'!J154</f>
        <v>0</v>
      </c>
      <c r="J155" s="317">
        <f>'J) Plafonnement effort'!J154</f>
        <v>0</v>
      </c>
      <c r="K155" s="314">
        <f>'L) Plafonnement taux'!Q155</f>
        <v>0</v>
      </c>
      <c r="L155" s="312">
        <f t="shared" si="6"/>
        <v>14660093.18676324</v>
      </c>
      <c r="M155" s="233">
        <f>'M) Police'!O155</f>
        <v>465726.12930869829</v>
      </c>
      <c r="N155" s="233">
        <f t="shared" si="7"/>
        <v>15125819.316071939</v>
      </c>
      <c r="O155" s="317">
        <f t="shared" si="8"/>
        <v>5832991.1409827136</v>
      </c>
      <c r="P155" s="319"/>
    </row>
    <row r="156" spans="1:16" s="154" customFormat="1" x14ac:dyDescent="0.25">
      <c r="A156" s="151">
        <f>'B) D RI'!A157</f>
        <v>5649</v>
      </c>
      <c r="B156" s="152" t="str">
        <f>'B) D RI'!B157</f>
        <v>Tolochenaz</v>
      </c>
      <c r="C156" s="315">
        <f>'B) D RI'!S157</f>
        <v>65</v>
      </c>
      <c r="D156" s="153">
        <f>'B) D RI'!AA157</f>
        <v>1889</v>
      </c>
      <c r="E156" s="313">
        <f>'D) Ecrêtage'!C155</f>
        <v>215548.34569230766</v>
      </c>
      <c r="F156" s="317">
        <f>'E) Fact soc'!G161</f>
        <v>6311179.0340569997</v>
      </c>
      <c r="G156" s="314">
        <f>'H) Péréquation directe'!I166</f>
        <v>3698138.1396239004</v>
      </c>
      <c r="H156" s="317">
        <f>+'I) Dépenses thématiques'!T155</f>
        <v>0</v>
      </c>
      <c r="I156" s="314">
        <f>'K) Plafonnement aide'!J155</f>
        <v>0</v>
      </c>
      <c r="J156" s="317">
        <f>'J) Plafonnement effort'!J155</f>
        <v>0</v>
      </c>
      <c r="K156" s="314">
        <f>'L) Plafonnement taux'!Q156</f>
        <v>0</v>
      </c>
      <c r="L156" s="312">
        <f t="shared" si="6"/>
        <v>10009317.1736809</v>
      </c>
      <c r="M156" s="233">
        <f>'M) Police'!O156</f>
        <v>253194.04440243533</v>
      </c>
      <c r="N156" s="233">
        <f t="shared" si="7"/>
        <v>10262511.218083335</v>
      </c>
      <c r="O156" s="317">
        <f t="shared" si="8"/>
        <v>3698138.1396239004</v>
      </c>
      <c r="P156" s="319"/>
    </row>
    <row r="157" spans="1:16" s="154" customFormat="1" x14ac:dyDescent="0.25">
      <c r="A157" s="151">
        <f>'B) D RI'!A158</f>
        <v>5650</v>
      </c>
      <c r="B157" s="152" t="str">
        <f>'B) D RI'!B158</f>
        <v>Vaux-sur-Morges</v>
      </c>
      <c r="C157" s="315">
        <f>'B) D RI'!S158</f>
        <v>56</v>
      </c>
      <c r="D157" s="153">
        <f>'B) D RI'!AA158</f>
        <v>194</v>
      </c>
      <c r="E157" s="313">
        <f>'D) Ecrêtage'!C156</f>
        <v>63002.429285714286</v>
      </c>
      <c r="F157" s="317">
        <f>'E) Fact soc'!G162</f>
        <v>12989857.617240502</v>
      </c>
      <c r="G157" s="314">
        <f>'H) Péréquation directe'!I167</f>
        <v>1183326.4678820488</v>
      </c>
      <c r="H157" s="317">
        <f>+'I) Dépenses thématiques'!T156</f>
        <v>0</v>
      </c>
      <c r="I157" s="314">
        <f>'K) Plafonnement aide'!J156</f>
        <v>0</v>
      </c>
      <c r="J157" s="317">
        <f>'J) Plafonnement effort'!J156</f>
        <v>-619663.35440826486</v>
      </c>
      <c r="K157" s="314">
        <f>'L) Plafonnement taux'!Q157</f>
        <v>0</v>
      </c>
      <c r="L157" s="312">
        <f t="shared" si="6"/>
        <v>13553520.730714286</v>
      </c>
      <c r="M157" s="233">
        <f>'M) Police'!O157</f>
        <v>91275.772846408538</v>
      </c>
      <c r="N157" s="233">
        <f t="shared" si="7"/>
        <v>13644796.503560694</v>
      </c>
      <c r="O157" s="317">
        <f t="shared" si="8"/>
        <v>563663.11347378395</v>
      </c>
      <c r="P157" s="319"/>
    </row>
    <row r="158" spans="1:16" s="154" customFormat="1" x14ac:dyDescent="0.25">
      <c r="A158" s="151">
        <f>'B) D RI'!A159</f>
        <v>5651</v>
      </c>
      <c r="B158" s="152" t="str">
        <f>'B) D RI'!B159</f>
        <v>Villars-Sainte-Croix</v>
      </c>
      <c r="C158" s="315">
        <f>'B) D RI'!S159</f>
        <v>60.5</v>
      </c>
      <c r="D158" s="153">
        <f>'B) D RI'!AA159</f>
        <v>958</v>
      </c>
      <c r="E158" s="313">
        <f>'D) Ecrêtage'!C157</f>
        <v>56095.490247933893</v>
      </c>
      <c r="F158" s="317">
        <f>'E) Fact soc'!G163</f>
        <v>1079431.7399279783</v>
      </c>
      <c r="G158" s="314">
        <f>'H) Péréquation directe'!I168</f>
        <v>956230.19922465575</v>
      </c>
      <c r="H158" s="317">
        <f>+'I) Dépenses thématiques'!T157</f>
        <v>0</v>
      </c>
      <c r="I158" s="314">
        <f>'K) Plafonnement aide'!J157</f>
        <v>0</v>
      </c>
      <c r="J158" s="317">
        <f>'J) Plafonnement effort'!J157</f>
        <v>0</v>
      </c>
      <c r="K158" s="314">
        <f>'L) Plafonnement taux'!Q158</f>
        <v>0</v>
      </c>
      <c r="L158" s="312">
        <f t="shared" si="6"/>
        <v>2035661.939152634</v>
      </c>
      <c r="M158" s="233">
        <f>'M) Police'!O158</f>
        <v>65892.614499052594</v>
      </c>
      <c r="N158" s="233">
        <f t="shared" si="7"/>
        <v>2101554.5536516868</v>
      </c>
      <c r="O158" s="317">
        <f t="shared" si="8"/>
        <v>956230.19922465575</v>
      </c>
      <c r="P158" s="319"/>
    </row>
    <row r="159" spans="1:16" s="154" customFormat="1" x14ac:dyDescent="0.25">
      <c r="A159" s="151">
        <f>'B) D RI'!A160</f>
        <v>5652</v>
      </c>
      <c r="B159" s="152" t="str">
        <f>'B) D RI'!B160</f>
        <v>Villars-sous-Yens</v>
      </c>
      <c r="C159" s="315">
        <f>'B) D RI'!S160</f>
        <v>76</v>
      </c>
      <c r="D159" s="153">
        <f>'B) D RI'!AA160</f>
        <v>615</v>
      </c>
      <c r="E159" s="313">
        <f>'D) Ecrêtage'!C158</f>
        <v>25662.281995614037</v>
      </c>
      <c r="F159" s="317">
        <f>'E) Fact soc'!G164</f>
        <v>431278.66688005638</v>
      </c>
      <c r="G159" s="314">
        <f>'H) Péréquation directe'!I169</f>
        <v>323726.10277722613</v>
      </c>
      <c r="H159" s="317">
        <f>+'I) Dépenses thématiques'!T158</f>
        <v>-13931.808026315775</v>
      </c>
      <c r="I159" s="314">
        <f>'K) Plafonnement aide'!J158</f>
        <v>0</v>
      </c>
      <c r="J159" s="317">
        <f>'J) Plafonnement effort'!J158</f>
        <v>0</v>
      </c>
      <c r="K159" s="314">
        <f>'L) Plafonnement taux'!Q159</f>
        <v>0</v>
      </c>
      <c r="L159" s="312">
        <f t="shared" si="6"/>
        <v>741072.96163096675</v>
      </c>
      <c r="M159" s="233">
        <f>'M) Police'!O159</f>
        <v>78558.918097524744</v>
      </c>
      <c r="N159" s="233">
        <f t="shared" si="7"/>
        <v>819631.87972849153</v>
      </c>
      <c r="O159" s="317">
        <f t="shared" si="8"/>
        <v>309794.29475091037</v>
      </c>
      <c r="P159" s="319"/>
    </row>
    <row r="160" spans="1:16" s="154" customFormat="1" x14ac:dyDescent="0.25">
      <c r="A160" s="151">
        <f>'B) D RI'!A161</f>
        <v>5653</v>
      </c>
      <c r="B160" s="152" t="str">
        <f>'B) D RI'!B161</f>
        <v>Vufflens-le-Château</v>
      </c>
      <c r="C160" s="315">
        <f>'B) D RI'!S161</f>
        <v>58.5</v>
      </c>
      <c r="D160" s="153">
        <f>'B) D RI'!AA161</f>
        <v>870</v>
      </c>
      <c r="E160" s="313">
        <f>'D) Ecrêtage'!C159</f>
        <v>68786.034529914527</v>
      </c>
      <c r="F160" s="317">
        <f>'E) Fact soc'!G165</f>
        <v>1566833.4273874885</v>
      </c>
      <c r="G160" s="314">
        <f>'H) Péréquation directe'!I170</f>
        <v>1210343.8109818723</v>
      </c>
      <c r="H160" s="317">
        <f>+'I) Dépenses thématiques'!T159</f>
        <v>0</v>
      </c>
      <c r="I160" s="314">
        <f>'K) Plafonnement aide'!J159</f>
        <v>0</v>
      </c>
      <c r="J160" s="317">
        <f>'J) Plafonnement effort'!J159</f>
        <v>0</v>
      </c>
      <c r="K160" s="314">
        <f>'L) Plafonnement taux'!Q160</f>
        <v>0</v>
      </c>
      <c r="L160" s="312">
        <f t="shared" si="6"/>
        <v>2777177.2383693606</v>
      </c>
      <c r="M160" s="233">
        <f>'M) Police'!O160</f>
        <v>158247.13723399537</v>
      </c>
      <c r="N160" s="233">
        <f t="shared" si="7"/>
        <v>2935424.3756033559</v>
      </c>
      <c r="O160" s="317">
        <f t="shared" si="8"/>
        <v>1210343.8109818723</v>
      </c>
      <c r="P160" s="319"/>
    </row>
    <row r="161" spans="1:16" s="154" customFormat="1" x14ac:dyDescent="0.25">
      <c r="A161" s="151">
        <f>'B) D RI'!A162</f>
        <v>5654</v>
      </c>
      <c r="B161" s="152" t="str">
        <f>'B) D RI'!B162</f>
        <v>Vullierens</v>
      </c>
      <c r="C161" s="315">
        <f>'B) D RI'!S162</f>
        <v>76</v>
      </c>
      <c r="D161" s="153">
        <f>'B) D RI'!AA162</f>
        <v>542</v>
      </c>
      <c r="E161" s="313">
        <f>'D) Ecrêtage'!C160</f>
        <v>19265.899342105262</v>
      </c>
      <c r="F161" s="317">
        <f>'E) Fact soc'!G166</f>
        <v>341293.38951403101</v>
      </c>
      <c r="G161" s="314">
        <f>'H) Péréquation directe'!I171</f>
        <v>143456.75130748667</v>
      </c>
      <c r="H161" s="317">
        <f>+'I) Dépenses thématiques'!T160</f>
        <v>-25199.103947368429</v>
      </c>
      <c r="I161" s="314">
        <f>'K) Plafonnement aide'!J160</f>
        <v>0</v>
      </c>
      <c r="J161" s="317">
        <f>'J) Plafonnement effort'!J160</f>
        <v>0</v>
      </c>
      <c r="K161" s="314">
        <f>'L) Plafonnement taux'!Q161</f>
        <v>0</v>
      </c>
      <c r="L161" s="312">
        <f t="shared" si="6"/>
        <v>459551.03687414923</v>
      </c>
      <c r="M161" s="233">
        <f>'M) Police'!O161</f>
        <v>58314.800815456081</v>
      </c>
      <c r="N161" s="233">
        <f t="shared" si="7"/>
        <v>517865.83768960531</v>
      </c>
      <c r="O161" s="317">
        <f t="shared" si="8"/>
        <v>118257.64736011825</v>
      </c>
      <c r="P161" s="319"/>
    </row>
    <row r="162" spans="1:16" s="154" customFormat="1" x14ac:dyDescent="0.25">
      <c r="A162" s="151">
        <f>'B) D RI'!A163</f>
        <v>5655</v>
      </c>
      <c r="B162" s="152" t="str">
        <f>'B) D RI'!B163</f>
        <v>Yens</v>
      </c>
      <c r="C162" s="315">
        <f>'B) D RI'!S163</f>
        <v>71.5</v>
      </c>
      <c r="D162" s="153">
        <f>'B) D RI'!AA163</f>
        <v>1480</v>
      </c>
      <c r="E162" s="313">
        <f>'D) Ecrêtage'!C161</f>
        <v>90935.122097902116</v>
      </c>
      <c r="F162" s="317">
        <f>'E) Fact soc'!G167</f>
        <v>1782540.5577110946</v>
      </c>
      <c r="G162" s="314">
        <f>'H) Péréquation directe'!I172</f>
        <v>1452042.7865031902</v>
      </c>
      <c r="H162" s="317">
        <f>+'I) Dépenses thématiques'!T161</f>
        <v>0</v>
      </c>
      <c r="I162" s="314">
        <f>'K) Plafonnement aide'!J161</f>
        <v>0</v>
      </c>
      <c r="J162" s="317">
        <f>'J) Plafonnement effort'!J161</f>
        <v>0</v>
      </c>
      <c r="K162" s="314">
        <f>'L) Plafonnement taux'!Q162</f>
        <v>0</v>
      </c>
      <c r="L162" s="312">
        <f t="shared" si="6"/>
        <v>3234583.3442142848</v>
      </c>
      <c r="M162" s="233">
        <f>'M) Police'!O162</f>
        <v>238566.89664667507</v>
      </c>
      <c r="N162" s="233">
        <f t="shared" si="7"/>
        <v>3473150.24086096</v>
      </c>
      <c r="O162" s="317">
        <f t="shared" si="8"/>
        <v>1452042.7865031902</v>
      </c>
      <c r="P162" s="319"/>
    </row>
    <row r="163" spans="1:16" s="154" customFormat="1" x14ac:dyDescent="0.25">
      <c r="A163" s="151">
        <f>'B) D RI'!A164</f>
        <v>5661</v>
      </c>
      <c r="B163" s="152" t="str">
        <f>'B) D RI'!B164</f>
        <v>Boulens</v>
      </c>
      <c r="C163" s="315">
        <f>'B) D RI'!S164</f>
        <v>71.5</v>
      </c>
      <c r="D163" s="153">
        <f>'B) D RI'!AA164</f>
        <v>369</v>
      </c>
      <c r="E163" s="313">
        <f>'D) Ecrêtage'!C162</f>
        <v>10167.852447552446</v>
      </c>
      <c r="F163" s="317">
        <f>'E) Fact soc'!G168</f>
        <v>154515.82421717723</v>
      </c>
      <c r="G163" s="314">
        <f>'H) Péréquation directe'!I173</f>
        <v>-6913.1790662886924</v>
      </c>
      <c r="H163" s="317">
        <f>+'I) Dépenses thématiques'!T162</f>
        <v>-13664.360664335665</v>
      </c>
      <c r="I163" s="314">
        <f>'K) Plafonnement aide'!J162</f>
        <v>0</v>
      </c>
      <c r="J163" s="317">
        <f>'J) Plafonnement effort'!J162</f>
        <v>0</v>
      </c>
      <c r="K163" s="314">
        <f>'L) Plafonnement taux'!Q163</f>
        <v>0</v>
      </c>
      <c r="L163" s="312">
        <f t="shared" si="6"/>
        <v>133938.28448655288</v>
      </c>
      <c r="M163" s="233">
        <f>'M) Police'!O163</f>
        <v>30648.821829394474</v>
      </c>
      <c r="N163" s="233">
        <f t="shared" si="7"/>
        <v>164587.10631594734</v>
      </c>
      <c r="O163" s="317">
        <f t="shared" si="8"/>
        <v>-20577.539730624358</v>
      </c>
      <c r="P163" s="319"/>
    </row>
    <row r="164" spans="1:16" s="154" customFormat="1" x14ac:dyDescent="0.25">
      <c r="A164" s="151">
        <f>'B) D RI'!A165</f>
        <v>5663</v>
      </c>
      <c r="B164" s="152" t="str">
        <f>'B) D RI'!B165</f>
        <v>Bussy-sur-Moudon</v>
      </c>
      <c r="C164" s="315">
        <f>'B) D RI'!S165</f>
        <v>80</v>
      </c>
      <c r="D164" s="153">
        <f>'B) D RI'!AA165</f>
        <v>219</v>
      </c>
      <c r="E164" s="313">
        <f>'D) Ecrêtage'!C163</f>
        <v>5408.1284999999998</v>
      </c>
      <c r="F164" s="317">
        <f>'E) Fact soc'!G169</f>
        <v>83667.040745368722</v>
      </c>
      <c r="G164" s="314">
        <f>'H) Péréquation directe'!I174</f>
        <v>-55517.963668418568</v>
      </c>
      <c r="H164" s="317">
        <f>+'I) Dépenses thématiques'!T163</f>
        <v>0</v>
      </c>
      <c r="I164" s="314">
        <f>'K) Plafonnement aide'!J163</f>
        <v>0</v>
      </c>
      <c r="J164" s="317">
        <f>'J) Plafonnement effort'!J163</f>
        <v>0</v>
      </c>
      <c r="K164" s="314">
        <f>'L) Plafonnement taux'!Q164</f>
        <v>0</v>
      </c>
      <c r="L164" s="312">
        <f t="shared" si="6"/>
        <v>28149.077076950154</v>
      </c>
      <c r="M164" s="233">
        <f>'M) Police'!O164</f>
        <v>16324.020912128437</v>
      </c>
      <c r="N164" s="233">
        <f t="shared" si="7"/>
        <v>44473.097989078589</v>
      </c>
      <c r="O164" s="317">
        <f t="shared" si="8"/>
        <v>-55517.963668418568</v>
      </c>
      <c r="P164" s="319"/>
    </row>
    <row r="165" spans="1:16" s="154" customFormat="1" x14ac:dyDescent="0.25">
      <c r="A165" s="151">
        <f>'B) D RI'!A166</f>
        <v>5665</v>
      </c>
      <c r="B165" s="152" t="str">
        <f>'B) D RI'!B166</f>
        <v>Chavannes-sur-Moudon</v>
      </c>
      <c r="C165" s="315">
        <f>'B) D RI'!S166</f>
        <v>73</v>
      </c>
      <c r="D165" s="153">
        <f>'B) D RI'!AA166</f>
        <v>223</v>
      </c>
      <c r="E165" s="313">
        <f>'D) Ecrêtage'!C164</f>
        <v>6834.8221917808223</v>
      </c>
      <c r="F165" s="317">
        <f>'E) Fact soc'!G170</f>
        <v>118809.73548497618</v>
      </c>
      <c r="G165" s="314">
        <f>'H) Péréquation directe'!I175</f>
        <v>19800.977675279442</v>
      </c>
      <c r="H165" s="317">
        <f>+'I) Dépenses thématiques'!T164</f>
        <v>-2301.8833561643833</v>
      </c>
      <c r="I165" s="314">
        <f>'K) Plafonnement aide'!J164</f>
        <v>0</v>
      </c>
      <c r="J165" s="317">
        <f>'J) Plafonnement effort'!J164</f>
        <v>0</v>
      </c>
      <c r="K165" s="314">
        <f>'L) Plafonnement taux'!Q165</f>
        <v>0</v>
      </c>
      <c r="L165" s="312">
        <f t="shared" si="6"/>
        <v>136308.82980409125</v>
      </c>
      <c r="M165" s="233">
        <f>'M) Police'!O165</f>
        <v>20996.806859748707</v>
      </c>
      <c r="N165" s="233">
        <f t="shared" si="7"/>
        <v>157305.63666383995</v>
      </c>
      <c r="O165" s="317">
        <f t="shared" si="8"/>
        <v>17499.094319115058</v>
      </c>
      <c r="P165" s="319"/>
    </row>
    <row r="166" spans="1:16" s="154" customFormat="1" x14ac:dyDescent="0.25">
      <c r="A166" s="151">
        <f>'B) D RI'!A167</f>
        <v>5669</v>
      </c>
      <c r="B166" s="152" t="str">
        <f>'B) D RI'!B167</f>
        <v>Curtilles</v>
      </c>
      <c r="C166" s="315">
        <f>'B) D RI'!S167</f>
        <v>73</v>
      </c>
      <c r="D166" s="153">
        <f>'B) D RI'!AA167</f>
        <v>301</v>
      </c>
      <c r="E166" s="313">
        <f>'D) Ecrêtage'!C165</f>
        <v>10286.853972602739</v>
      </c>
      <c r="F166" s="317">
        <f>'E) Fact soc'!G171</f>
        <v>155136.31552199807</v>
      </c>
      <c r="G166" s="314">
        <f>'H) Péréquation directe'!I176</f>
        <v>69759.576646810223</v>
      </c>
      <c r="H166" s="317">
        <f>+'I) Dépenses thématiques'!T165</f>
        <v>0</v>
      </c>
      <c r="I166" s="314">
        <f>'K) Plafonnement aide'!J165</f>
        <v>0</v>
      </c>
      <c r="J166" s="317">
        <f>'J) Plafonnement effort'!J165</f>
        <v>0</v>
      </c>
      <c r="K166" s="314">
        <f>'L) Plafonnement taux'!Q166</f>
        <v>0</v>
      </c>
      <c r="L166" s="312">
        <f t="shared" si="6"/>
        <v>224895.89216880829</v>
      </c>
      <c r="M166" s="233">
        <f>'M) Police'!O166</f>
        <v>31324.98873898726</v>
      </c>
      <c r="N166" s="233">
        <f t="shared" si="7"/>
        <v>256220.88090779557</v>
      </c>
      <c r="O166" s="317">
        <f t="shared" si="8"/>
        <v>69759.576646810223</v>
      </c>
      <c r="P166" s="319"/>
    </row>
    <row r="167" spans="1:16" s="154" customFormat="1" x14ac:dyDescent="0.25">
      <c r="A167" s="151">
        <f>'B) D RI'!A168</f>
        <v>5671</v>
      </c>
      <c r="B167" s="152" t="str">
        <f>'B) D RI'!B168</f>
        <v>Dompierre</v>
      </c>
      <c r="C167" s="315">
        <f>'B) D RI'!S168</f>
        <v>78</v>
      </c>
      <c r="D167" s="153">
        <f>'B) D RI'!AA168</f>
        <v>245</v>
      </c>
      <c r="E167" s="313">
        <f>'D) Ecrêtage'!C166</f>
        <v>6034.0657692307695</v>
      </c>
      <c r="F167" s="317">
        <f>'E) Fact soc'!G172</f>
        <v>110672.61733831752</v>
      </c>
      <c r="G167" s="314">
        <f>'H) Péréquation directe'!I177</f>
        <v>-55520.160931044971</v>
      </c>
      <c r="H167" s="317">
        <f>+'I) Dépenses thématiques'!T166</f>
        <v>-46922.605384615381</v>
      </c>
      <c r="I167" s="314">
        <f>'K) Plafonnement aide'!J166</f>
        <v>0</v>
      </c>
      <c r="J167" s="317">
        <f>'J) Plafonnement effort'!J166</f>
        <v>0</v>
      </c>
      <c r="K167" s="314">
        <f>'L) Plafonnement taux'!Q167</f>
        <v>0</v>
      </c>
      <c r="L167" s="312">
        <f t="shared" si="6"/>
        <v>8229.8510226571671</v>
      </c>
      <c r="M167" s="233">
        <f>'M) Police'!O167</f>
        <v>18329.169885709147</v>
      </c>
      <c r="N167" s="233">
        <f t="shared" si="7"/>
        <v>26559.020908366314</v>
      </c>
      <c r="O167" s="317">
        <f t="shared" si="8"/>
        <v>-102442.76631566035</v>
      </c>
      <c r="P167" s="319"/>
    </row>
    <row r="168" spans="1:16" s="154" customFormat="1" x14ac:dyDescent="0.25">
      <c r="A168" s="151">
        <f>'B) D RI'!A169</f>
        <v>5673</v>
      </c>
      <c r="B168" s="152" t="str">
        <f>'B) D RI'!B169</f>
        <v>Hermenches</v>
      </c>
      <c r="C168" s="315">
        <f>'B) D RI'!S169</f>
        <v>73.5</v>
      </c>
      <c r="D168" s="153">
        <f>'B) D RI'!AA169</f>
        <v>384</v>
      </c>
      <c r="E168" s="313">
        <f>'D) Ecrêtage'!C167</f>
        <v>10638.728435374151</v>
      </c>
      <c r="F168" s="317">
        <f>'E) Fact soc'!G173</f>
        <v>157821.18486359189</v>
      </c>
      <c r="G168" s="314">
        <f>'H) Péréquation directe'!I178</f>
        <v>-14054.063852440217</v>
      </c>
      <c r="H168" s="317">
        <f>+'I) Dépenses thématiques'!T167</f>
        <v>-54464.58306122449</v>
      </c>
      <c r="I168" s="314">
        <f>'K) Plafonnement aide'!J167</f>
        <v>0</v>
      </c>
      <c r="J168" s="317">
        <f>'J) Plafonnement effort'!J167</f>
        <v>0</v>
      </c>
      <c r="K168" s="314">
        <f>'L) Plafonnement taux'!Q168</f>
        <v>0</v>
      </c>
      <c r="L168" s="312">
        <f t="shared" ref="L168:L220" si="9">F168+G168+H168+I168+J168+K168</f>
        <v>89302.53794992718</v>
      </c>
      <c r="M168" s="233">
        <f>'M) Police'!O168</f>
        <v>32418.248118205804</v>
      </c>
      <c r="N168" s="233">
        <f t="shared" si="7"/>
        <v>121720.78606813299</v>
      </c>
      <c r="O168" s="317">
        <f t="shared" si="8"/>
        <v>-68518.646913664707</v>
      </c>
      <c r="P168" s="319"/>
    </row>
    <row r="169" spans="1:16" s="154" customFormat="1" x14ac:dyDescent="0.25">
      <c r="A169" s="151">
        <f>'B) D RI'!A170</f>
        <v>5674</v>
      </c>
      <c r="B169" s="152" t="str">
        <f>'B) D RI'!B170</f>
        <v>Lovatens</v>
      </c>
      <c r="C169" s="315">
        <f>'B) D RI'!S170</f>
        <v>75</v>
      </c>
      <c r="D169" s="153">
        <f>'B) D RI'!AA170</f>
        <v>142</v>
      </c>
      <c r="E169" s="313">
        <f>'D) Ecrêtage'!C168</f>
        <v>3430.742038095239</v>
      </c>
      <c r="F169" s="317">
        <f>'E) Fact soc'!G174</f>
        <v>84114.698331179039</v>
      </c>
      <c r="G169" s="314">
        <f>'H) Péréquation directe'!I179</f>
        <v>-28800.641810924455</v>
      </c>
      <c r="H169" s="317">
        <f>+'I) Dépenses thématiques'!T168</f>
        <v>-29781.797771428566</v>
      </c>
      <c r="I169" s="314">
        <f>'K) Plafonnement aide'!J168</f>
        <v>0</v>
      </c>
      <c r="J169" s="317">
        <f>'J) Plafonnement effort'!J168</f>
        <v>0</v>
      </c>
      <c r="K169" s="314">
        <f>'L) Plafonnement taux'!Q169</f>
        <v>0</v>
      </c>
      <c r="L169" s="312">
        <f t="shared" si="9"/>
        <v>25532.258748826018</v>
      </c>
      <c r="M169" s="233">
        <f>'M) Police'!O169</f>
        <v>10381.814935472345</v>
      </c>
      <c r="N169" s="233">
        <f t="shared" si="7"/>
        <v>35914.073684298361</v>
      </c>
      <c r="O169" s="317">
        <f t="shared" si="8"/>
        <v>-58582.439582353021</v>
      </c>
      <c r="P169" s="319"/>
    </row>
    <row r="170" spans="1:16" s="154" customFormat="1" x14ac:dyDescent="0.25">
      <c r="A170" s="151">
        <f>'B) D RI'!A171</f>
        <v>5675</v>
      </c>
      <c r="B170" s="152" t="str">
        <f>'B) D RI'!B171</f>
        <v>Lucens</v>
      </c>
      <c r="C170" s="315">
        <f>'B) D RI'!S171</f>
        <v>67.5</v>
      </c>
      <c r="D170" s="153">
        <f>'B) D RI'!AA171</f>
        <v>4309</v>
      </c>
      <c r="E170" s="313">
        <f>'D) Ecrêtage'!C169</f>
        <v>97154.219717171698</v>
      </c>
      <c r="F170" s="317">
        <f>'E) Fact soc'!G175</f>
        <v>1572416.1674650915</v>
      </c>
      <c r="G170" s="314">
        <f>'H) Péréquation directe'!I180</f>
        <v>-1623961.3985867461</v>
      </c>
      <c r="H170" s="317">
        <f>+'I) Dépenses thématiques'!T169</f>
        <v>-580714.68169696978</v>
      </c>
      <c r="I170" s="314">
        <f>'K) Plafonnement aide'!J169</f>
        <v>0</v>
      </c>
      <c r="J170" s="317">
        <f>'J) Plafonnement effort'!J169</f>
        <v>0</v>
      </c>
      <c r="K170" s="314">
        <f>'L) Plafonnement taux'!Q170</f>
        <v>0</v>
      </c>
      <c r="L170" s="312">
        <f t="shared" ref="L170" si="10">F170+G170+H170+I170+J170+K170</f>
        <v>-632259.91281862441</v>
      </c>
      <c r="M170" s="233">
        <f>'M) Police'!O170</f>
        <v>290449.41249421524</v>
      </c>
      <c r="N170" s="233">
        <f t="shared" ref="N170" si="11">L170+M170</f>
        <v>-341810.50032440916</v>
      </c>
      <c r="O170" s="317">
        <f t="shared" si="8"/>
        <v>-2204676.0802837159</v>
      </c>
      <c r="P170" s="319"/>
    </row>
    <row r="171" spans="1:16" s="154" customFormat="1" x14ac:dyDescent="0.25">
      <c r="A171" s="151">
        <f>'B) D RI'!A172</f>
        <v>5678</v>
      </c>
      <c r="B171" s="152" t="str">
        <f>'B) D RI'!B172</f>
        <v>Moudon</v>
      </c>
      <c r="C171" s="315">
        <f>'B) D RI'!S172</f>
        <v>72.5</v>
      </c>
      <c r="D171" s="153">
        <f>'B) D RI'!AA172</f>
        <v>6109</v>
      </c>
      <c r="E171" s="313">
        <f>'D) Ecrêtage'!C170</f>
        <v>124965.41862068966</v>
      </c>
      <c r="F171" s="317">
        <f>'E) Fact soc'!G176</f>
        <v>2346705.2817523354</v>
      </c>
      <c r="G171" s="314">
        <f>'H) Péréquation directe'!I181</f>
        <v>-3645789.8807779234</v>
      </c>
      <c r="H171" s="317">
        <f>+'I) Dépenses thématiques'!T170</f>
        <v>-1223154.4882758621</v>
      </c>
      <c r="I171" s="314">
        <f>'K) Plafonnement aide'!J170</f>
        <v>299361.25006007089</v>
      </c>
      <c r="J171" s="317">
        <f>'J) Plafonnement effort'!J170</f>
        <v>0</v>
      </c>
      <c r="K171" s="314">
        <f>'L) Plafonnement taux'!Q171</f>
        <v>0</v>
      </c>
      <c r="L171" s="312">
        <f t="shared" si="9"/>
        <v>-2222877.8372413791</v>
      </c>
      <c r="M171" s="233">
        <f>'M) Police'!O171</f>
        <v>371378.52927916602</v>
      </c>
      <c r="N171" s="233">
        <f t="shared" si="7"/>
        <v>-1851499.3079622132</v>
      </c>
      <c r="O171" s="317">
        <f t="shared" si="8"/>
        <v>-4569583.1189937145</v>
      </c>
      <c r="P171" s="319"/>
    </row>
    <row r="172" spans="1:16" s="154" customFormat="1" x14ac:dyDescent="0.25">
      <c r="A172" s="151">
        <f>'B) D RI'!A173</f>
        <v>5680</v>
      </c>
      <c r="B172" s="152" t="str">
        <f>'B) D RI'!B173</f>
        <v>Ogens</v>
      </c>
      <c r="C172" s="315">
        <f>'B) D RI'!S173</f>
        <v>78</v>
      </c>
      <c r="D172" s="153">
        <f>'B) D RI'!AA173</f>
        <v>301</v>
      </c>
      <c r="E172" s="313">
        <f>'D) Ecrêtage'!C171</f>
        <v>8675.0652136752142</v>
      </c>
      <c r="F172" s="317">
        <f>'E) Fact soc'!G177</f>
        <v>168656.99811826195</v>
      </c>
      <c r="G172" s="314">
        <f>'H) Péréquation directe'!I182</f>
        <v>-13230.337099781376</v>
      </c>
      <c r="H172" s="317">
        <f>+'I) Dépenses thématiques'!T171</f>
        <v>-6168.7010897435894</v>
      </c>
      <c r="I172" s="314">
        <f>'K) Plafonnement aide'!J171</f>
        <v>0</v>
      </c>
      <c r="J172" s="317">
        <f>'J) Plafonnement effort'!J171</f>
        <v>0</v>
      </c>
      <c r="K172" s="314">
        <f>'L) Plafonnement taux'!Q172</f>
        <v>0</v>
      </c>
      <c r="L172" s="312">
        <f t="shared" si="9"/>
        <v>149257.95992873699</v>
      </c>
      <c r="M172" s="233">
        <f>'M) Police'!O172</f>
        <v>26216.088500480328</v>
      </c>
      <c r="N172" s="233">
        <f t="shared" si="7"/>
        <v>175474.04842921731</v>
      </c>
      <c r="O172" s="317">
        <f t="shared" si="8"/>
        <v>-19399.038189524967</v>
      </c>
      <c r="P172" s="319"/>
    </row>
    <row r="173" spans="1:16" s="154" customFormat="1" x14ac:dyDescent="0.25">
      <c r="A173" s="151">
        <f>'B) D RI'!A174</f>
        <v>5683</v>
      </c>
      <c r="B173" s="152" t="str">
        <f>'B) D RI'!B174</f>
        <v>Prévonloup</v>
      </c>
      <c r="C173" s="315">
        <f>'B) D RI'!S174</f>
        <v>72.5</v>
      </c>
      <c r="D173" s="153">
        <f>'B) D RI'!AA174</f>
        <v>202</v>
      </c>
      <c r="E173" s="313">
        <f>'D) Ecrêtage'!C172</f>
        <v>5006.0282758620697</v>
      </c>
      <c r="F173" s="317">
        <f>'E) Fact soc'!G178</f>
        <v>69816.704189291631</v>
      </c>
      <c r="G173" s="314">
        <f>'H) Péréquation directe'!I183</f>
        <v>-28736.051951591973</v>
      </c>
      <c r="H173" s="317">
        <f>+'I) Dépenses thématiques'!T172</f>
        <v>0</v>
      </c>
      <c r="I173" s="314">
        <f>'K) Plafonnement aide'!J172</f>
        <v>0</v>
      </c>
      <c r="J173" s="317">
        <f>'J) Plafonnement effort'!J172</f>
        <v>0</v>
      </c>
      <c r="K173" s="314">
        <f>'L) Plafonnement taux'!Q173</f>
        <v>0</v>
      </c>
      <c r="L173" s="312">
        <f t="shared" si="9"/>
        <v>41080.652237699658</v>
      </c>
      <c r="M173" s="233">
        <f>'M) Police'!O173</f>
        <v>15043.171159876363</v>
      </c>
      <c r="N173" s="233">
        <f t="shared" si="7"/>
        <v>56123.823397576023</v>
      </c>
      <c r="O173" s="317">
        <f t="shared" si="8"/>
        <v>-28736.051951591973</v>
      </c>
      <c r="P173" s="319"/>
    </row>
    <row r="174" spans="1:16" s="154" customFormat="1" x14ac:dyDescent="0.25">
      <c r="A174" s="151">
        <f>'B) D RI'!A175</f>
        <v>5684</v>
      </c>
      <c r="B174" s="152" t="str">
        <f>'B) D RI'!B175</f>
        <v>Rossenges</v>
      </c>
      <c r="C174" s="315">
        <f>'B) D RI'!S175</f>
        <v>75</v>
      </c>
      <c r="D174" s="153">
        <f>'B) D RI'!AA175</f>
        <v>84</v>
      </c>
      <c r="E174" s="313">
        <f>'D) Ecrêtage'!C173</f>
        <v>4335.3234000000011</v>
      </c>
      <c r="F174" s="317">
        <f>'E) Fact soc'!G179</f>
        <v>62908.167625324408</v>
      </c>
      <c r="G174" s="314">
        <f>'H) Péréquation directe'!I184</f>
        <v>72666.833364051185</v>
      </c>
      <c r="H174" s="317">
        <f>+'I) Dépenses thématiques'!T173</f>
        <v>0</v>
      </c>
      <c r="I174" s="314">
        <f>'K) Plafonnement aide'!J173</f>
        <v>0</v>
      </c>
      <c r="J174" s="317">
        <f>'J) Plafonnement effort'!J173</f>
        <v>0</v>
      </c>
      <c r="K174" s="314">
        <f>'L) Plafonnement taux'!Q174</f>
        <v>0</v>
      </c>
      <c r="L174" s="312">
        <f t="shared" si="9"/>
        <v>135575.00098937558</v>
      </c>
      <c r="M174" s="233">
        <f>'M) Police'!O174</f>
        <v>12570.18711720741</v>
      </c>
      <c r="N174" s="233">
        <f t="shared" si="7"/>
        <v>148145.18810658299</v>
      </c>
      <c r="O174" s="317">
        <f t="shared" si="8"/>
        <v>72666.833364051185</v>
      </c>
      <c r="P174" s="319"/>
    </row>
    <row r="175" spans="1:16" s="154" customFormat="1" x14ac:dyDescent="0.25">
      <c r="A175" s="151">
        <f>'B) D RI'!A176</f>
        <v>5688</v>
      </c>
      <c r="B175" s="152" t="str">
        <f>'B) D RI'!B176</f>
        <v>Syens</v>
      </c>
      <c r="C175" s="315">
        <f>'B) D RI'!S176</f>
        <v>75.599999999999994</v>
      </c>
      <c r="D175" s="153">
        <f>'B) D RI'!AA176</f>
        <v>156</v>
      </c>
      <c r="E175" s="313">
        <f>'D) Ecrêtage'!C174</f>
        <v>5094.0764550264557</v>
      </c>
      <c r="F175" s="317">
        <f>'E) Fact soc'!G180</f>
        <v>68843.040204403122</v>
      </c>
      <c r="G175" s="314">
        <f>'H) Péréquation directe'!I185</f>
        <v>22780.898933697084</v>
      </c>
      <c r="H175" s="317">
        <f>+'I) Dépenses thématiques'!T174</f>
        <v>-9830.5412698412656</v>
      </c>
      <c r="I175" s="314">
        <f>'K) Plafonnement aide'!J174</f>
        <v>0</v>
      </c>
      <c r="J175" s="317">
        <f>'J) Plafonnement effort'!J174</f>
        <v>0</v>
      </c>
      <c r="K175" s="314">
        <f>'L) Plafonnement taux'!Q175</f>
        <v>-29396.217297415456</v>
      </c>
      <c r="L175" s="312">
        <f t="shared" si="9"/>
        <v>52397.180570843484</v>
      </c>
      <c r="M175" s="233">
        <f>'M) Police'!O175</f>
        <v>15540.488149172186</v>
      </c>
      <c r="N175" s="233">
        <f t="shared" si="7"/>
        <v>67937.668720015674</v>
      </c>
      <c r="O175" s="317">
        <f t="shared" si="8"/>
        <v>-16445.859633559638</v>
      </c>
      <c r="P175" s="319"/>
    </row>
    <row r="176" spans="1:16" s="154" customFormat="1" x14ac:dyDescent="0.25">
      <c r="A176" s="151">
        <f>'B) D RI'!A177</f>
        <v>5690</v>
      </c>
      <c r="B176" s="152" t="str">
        <f>'B) D RI'!B177</f>
        <v>Villars-le-Comte</v>
      </c>
      <c r="C176" s="315">
        <f>'B) D RI'!S177</f>
        <v>70</v>
      </c>
      <c r="D176" s="153">
        <f>'B) D RI'!AA177</f>
        <v>120</v>
      </c>
      <c r="E176" s="313">
        <f>'D) Ecrêtage'!C175</f>
        <v>3483.7788571428573</v>
      </c>
      <c r="F176" s="317">
        <f>'E) Fact soc'!G181</f>
        <v>64844.243896383501</v>
      </c>
      <c r="G176" s="314">
        <f>'H) Péréquation directe'!I186</f>
        <v>6736.2117896009877</v>
      </c>
      <c r="H176" s="317">
        <f>+'I) Dépenses thématiques'!T175</f>
        <v>-9710.0768571428562</v>
      </c>
      <c r="I176" s="314">
        <f>'K) Plafonnement aide'!J175</f>
        <v>0</v>
      </c>
      <c r="J176" s="317">
        <f>'J) Plafonnement effort'!J175</f>
        <v>0</v>
      </c>
      <c r="K176" s="314">
        <f>'L) Plafonnement taux'!Q176</f>
        <v>0</v>
      </c>
      <c r="L176" s="312">
        <f t="shared" si="9"/>
        <v>61870.378828841633</v>
      </c>
      <c r="M176" s="233">
        <f>'M) Police'!O176</f>
        <v>10441.235745956465</v>
      </c>
      <c r="N176" s="233">
        <f t="shared" si="7"/>
        <v>72311.614574798092</v>
      </c>
      <c r="O176" s="317">
        <f t="shared" si="8"/>
        <v>-2973.8650675418685</v>
      </c>
      <c r="P176" s="319"/>
    </row>
    <row r="177" spans="1:16" s="154" customFormat="1" x14ac:dyDescent="0.25">
      <c r="A177" s="151">
        <f>'B) D RI'!A178</f>
        <v>5692</v>
      </c>
      <c r="B177" s="152" t="str">
        <f>'B) D RI'!B178</f>
        <v>Vucherens</v>
      </c>
      <c r="C177" s="315">
        <f>'B) D RI'!S178</f>
        <v>77</v>
      </c>
      <c r="D177" s="153">
        <f>'B) D RI'!AA178</f>
        <v>617</v>
      </c>
      <c r="E177" s="313">
        <f>'D) Ecrêtage'!C176</f>
        <v>18084.556363636369</v>
      </c>
      <c r="F177" s="317">
        <f>'E) Fact soc'!G182</f>
        <v>298488.78182712855</v>
      </c>
      <c r="G177" s="314">
        <f>'H) Péréquation directe'!I187</f>
        <v>-6719.8888191436999</v>
      </c>
      <c r="H177" s="317">
        <f>+'I) Dépenses thématiques'!T176</f>
        <v>-79806.411818181776</v>
      </c>
      <c r="I177" s="314">
        <f>'K) Plafonnement aide'!J176</f>
        <v>0</v>
      </c>
      <c r="J177" s="317">
        <f>'J) Plafonnement effort'!J176</f>
        <v>0</v>
      </c>
      <c r="K177" s="314">
        <f>'L) Plafonnement taux'!Q177</f>
        <v>0</v>
      </c>
      <c r="L177" s="312">
        <f t="shared" si="9"/>
        <v>211962.48118980307</v>
      </c>
      <c r="M177" s="233">
        <f>'M) Police'!O177</f>
        <v>54786.37145370325</v>
      </c>
      <c r="N177" s="233">
        <f t="shared" si="7"/>
        <v>266748.85264350631</v>
      </c>
      <c r="O177" s="317">
        <f t="shared" si="8"/>
        <v>-86526.300637325476</v>
      </c>
      <c r="P177" s="319"/>
    </row>
    <row r="178" spans="1:16" s="154" customFormat="1" x14ac:dyDescent="0.25">
      <c r="A178" s="151">
        <f>'B) D RI'!A179</f>
        <v>5693</v>
      </c>
      <c r="B178" s="152" t="str">
        <f>'B) D RI'!B179</f>
        <v>Montanaire</v>
      </c>
      <c r="C178" s="315">
        <f>'B) D RI'!S179</f>
        <v>72</v>
      </c>
      <c r="D178" s="153">
        <f>'B) D RI'!AA179</f>
        <v>2782</v>
      </c>
      <c r="E178" s="313">
        <f>'D) Ecrêtage'!C177</f>
        <v>71120.535138888881</v>
      </c>
      <c r="F178" s="317">
        <f>'E) Fact soc'!G183</f>
        <v>1218889.6696645399</v>
      </c>
      <c r="G178" s="314">
        <f>'H) Péréquation directe'!I188</f>
        <v>-687660.75519837881</v>
      </c>
      <c r="H178" s="317">
        <f>+'I) Dépenses thématiques'!T177</f>
        <v>-432892.6378125</v>
      </c>
      <c r="I178" s="314">
        <f>'K) Plafonnement aide'!J177</f>
        <v>0</v>
      </c>
      <c r="J178" s="317">
        <f>'J) Plafonnement effort'!J177</f>
        <v>0</v>
      </c>
      <c r="K178" s="314">
        <f>'L) Plafonnement taux'!Q178</f>
        <v>0</v>
      </c>
      <c r="L178" s="312">
        <f>F178+G178+H178+I178+J178+K178</f>
        <v>98336.276653661043</v>
      </c>
      <c r="M178" s="233">
        <f>'M) Police'!O178</f>
        <v>213747.64687006082</v>
      </c>
      <c r="N178" s="233">
        <f t="shared" si="7"/>
        <v>312083.92352372187</v>
      </c>
      <c r="O178" s="317">
        <f t="shared" si="8"/>
        <v>-1120553.3930108789</v>
      </c>
      <c r="P178" s="319"/>
    </row>
    <row r="179" spans="1:16" s="154" customFormat="1" x14ac:dyDescent="0.25">
      <c r="A179" s="151">
        <f>'B) D RI'!A180</f>
        <v>5701</v>
      </c>
      <c r="B179" s="152" t="str">
        <f>'B) D RI'!B180</f>
        <v>Arnex-sur-Nyon</v>
      </c>
      <c r="C179" s="315">
        <f>'B) D RI'!S180</f>
        <v>70</v>
      </c>
      <c r="D179" s="153">
        <f>'B) D RI'!AA180</f>
        <v>240</v>
      </c>
      <c r="E179" s="313">
        <f>'D) Ecrêtage'!C178</f>
        <v>12579.391714285715</v>
      </c>
      <c r="F179" s="317">
        <f>'E) Fact soc'!G184</f>
        <v>261697.76606511991</v>
      </c>
      <c r="G179" s="314">
        <f>'H) Péréquation directe'!I189</f>
        <v>211313.4589915468</v>
      </c>
      <c r="H179" s="317">
        <f>+'I) Dépenses thématiques'!T178</f>
        <v>0</v>
      </c>
      <c r="I179" s="314">
        <f>'K) Plafonnement aide'!J178</f>
        <v>0</v>
      </c>
      <c r="J179" s="317">
        <f>'J) Plafonnement effort'!J178</f>
        <v>0</v>
      </c>
      <c r="K179" s="314">
        <f>'L) Plafonnement taux'!Q179</f>
        <v>0</v>
      </c>
      <c r="L179" s="312">
        <f>F179+G179+H179+I179+J179+K179</f>
        <v>473011.22505666671</v>
      </c>
      <c r="M179" s="233">
        <f>'M) Police'!O179</f>
        <v>36141.238310834866</v>
      </c>
      <c r="N179" s="233">
        <f t="shared" si="7"/>
        <v>509152.46336750156</v>
      </c>
      <c r="O179" s="317">
        <f t="shared" si="8"/>
        <v>211313.4589915468</v>
      </c>
      <c r="P179" s="319"/>
    </row>
    <row r="180" spans="1:16" s="154" customFormat="1" x14ac:dyDescent="0.25">
      <c r="A180" s="151">
        <f>'B) D RI'!A181</f>
        <v>5702</v>
      </c>
      <c r="B180" s="152" t="str">
        <f>'B) D RI'!B181</f>
        <v>Arzier-Le Muids</v>
      </c>
      <c r="C180" s="315">
        <f>'B) D RI'!S181</f>
        <v>64</v>
      </c>
      <c r="D180" s="153">
        <f>'B) D RI'!AA181</f>
        <v>2912</v>
      </c>
      <c r="E180" s="313">
        <f>'D) Ecrêtage'!C179</f>
        <v>167751.11713541666</v>
      </c>
      <c r="F180" s="317">
        <f>'E) Fact soc'!G185</f>
        <v>3111629.4105793475</v>
      </c>
      <c r="G180" s="314">
        <f>'H) Péréquation directe'!I190</f>
        <v>2426981.6614446696</v>
      </c>
      <c r="H180" s="317">
        <f>+'I) Dépenses thématiques'!T179</f>
        <v>-439337.91214843746</v>
      </c>
      <c r="I180" s="314">
        <f>'K) Plafonnement aide'!J179</f>
        <v>0</v>
      </c>
      <c r="J180" s="317">
        <f>'J) Plafonnement effort'!J179</f>
        <v>0</v>
      </c>
      <c r="K180" s="314">
        <f>'L) Plafonnement taux'!Q180</f>
        <v>0</v>
      </c>
      <c r="L180" s="312">
        <f t="shared" si="9"/>
        <v>5099273.1598755801</v>
      </c>
      <c r="M180" s="233">
        <f>'M) Police'!O180</f>
        <v>456275.77982823574</v>
      </c>
      <c r="N180" s="233">
        <f t="shared" si="7"/>
        <v>5555548.9397038156</v>
      </c>
      <c r="O180" s="317">
        <f t="shared" si="8"/>
        <v>1987643.7492962321</v>
      </c>
      <c r="P180" s="319"/>
    </row>
    <row r="181" spans="1:16" s="154" customFormat="1" x14ac:dyDescent="0.25">
      <c r="A181" s="151">
        <f>'B) D RI'!A182</f>
        <v>5703</v>
      </c>
      <c r="B181" s="152" t="str">
        <f>'B) D RI'!B182</f>
        <v>Bassins</v>
      </c>
      <c r="C181" s="315">
        <f>'B) D RI'!S182</f>
        <v>72.5</v>
      </c>
      <c r="D181" s="153">
        <f>'B) D RI'!AA182</f>
        <v>1475</v>
      </c>
      <c r="E181" s="313">
        <f>'D) Ecrêtage'!C180</f>
        <v>66904.36396059113</v>
      </c>
      <c r="F181" s="317">
        <f>'E) Fact soc'!G186</f>
        <v>1167079.7700135177</v>
      </c>
      <c r="G181" s="314">
        <f>'H) Péréquation directe'!I191</f>
        <v>905832.02854243456</v>
      </c>
      <c r="H181" s="317">
        <f>+'I) Dépenses thématiques'!T180</f>
        <v>-276762.47702955664</v>
      </c>
      <c r="I181" s="314">
        <f>'K) Plafonnement aide'!J180</f>
        <v>0</v>
      </c>
      <c r="J181" s="317">
        <f>'J) Plafonnement effort'!J180</f>
        <v>0</v>
      </c>
      <c r="K181" s="314">
        <f>'L) Plafonnement taux'!Q181</f>
        <v>0</v>
      </c>
      <c r="L181" s="312">
        <f t="shared" si="9"/>
        <v>1796149.3215263956</v>
      </c>
      <c r="M181" s="233">
        <f>'M) Police'!O181</f>
        <v>203346.25407314475</v>
      </c>
      <c r="N181" s="233">
        <f t="shared" si="7"/>
        <v>1999495.5755995405</v>
      </c>
      <c r="O181" s="317">
        <f t="shared" si="8"/>
        <v>629069.55151287792</v>
      </c>
      <c r="P181" s="319"/>
    </row>
    <row r="182" spans="1:16" s="154" customFormat="1" x14ac:dyDescent="0.25">
      <c r="A182" s="151">
        <f>'B) D RI'!A183</f>
        <v>5704</v>
      </c>
      <c r="B182" s="152" t="str">
        <f>'B) D RI'!B183</f>
        <v>Begnins</v>
      </c>
      <c r="C182" s="315">
        <f>'B) D RI'!S183</f>
        <v>62.5</v>
      </c>
      <c r="D182" s="153">
        <f>'B) D RI'!AA183</f>
        <v>1928</v>
      </c>
      <c r="E182" s="313">
        <f>'D) Ecrêtage'!C181</f>
        <v>141538.79477333333</v>
      </c>
      <c r="F182" s="317">
        <f>'E) Fact soc'!G187</f>
        <v>2938556.8511514338</v>
      </c>
      <c r="G182" s="314">
        <f>'H) Péréquation directe'!I192</f>
        <v>2266275.7438854752</v>
      </c>
      <c r="H182" s="317">
        <f>+'I) Dépenses thématiques'!T181</f>
        <v>0</v>
      </c>
      <c r="I182" s="314">
        <f>'K) Plafonnement aide'!J181</f>
        <v>0</v>
      </c>
      <c r="J182" s="317">
        <f>'J) Plafonnement effort'!J181</f>
        <v>0</v>
      </c>
      <c r="K182" s="314">
        <f>'L) Plafonnement taux'!Q182</f>
        <v>0</v>
      </c>
      <c r="L182" s="312">
        <f t="shared" si="9"/>
        <v>5204832.595036909</v>
      </c>
      <c r="M182" s="233">
        <f>'M) Police'!O182</f>
        <v>337889.58764380845</v>
      </c>
      <c r="N182" s="233">
        <f t="shared" si="7"/>
        <v>5542722.1826807177</v>
      </c>
      <c r="O182" s="317">
        <f t="shared" si="8"/>
        <v>2266275.7438854752</v>
      </c>
      <c r="P182" s="319"/>
    </row>
    <row r="183" spans="1:16" s="154" customFormat="1" x14ac:dyDescent="0.25">
      <c r="A183" s="151">
        <f>'B) D RI'!A184</f>
        <v>5705</v>
      </c>
      <c r="B183" s="152" t="str">
        <f>'B) D RI'!B184</f>
        <v>Bogis-Bossey</v>
      </c>
      <c r="C183" s="315">
        <f>'B) D RI'!S184</f>
        <v>74.5</v>
      </c>
      <c r="D183" s="153">
        <f>'B) D RI'!AA184</f>
        <v>835</v>
      </c>
      <c r="E183" s="313">
        <f>'D) Ecrêtage'!C182</f>
        <v>56148.948053691274</v>
      </c>
      <c r="F183" s="317">
        <f>'E) Fact soc'!G188</f>
        <v>1261174.8148226461</v>
      </c>
      <c r="G183" s="314">
        <f>'H) Péréquation directe'!I193</f>
        <v>972505.92448608042</v>
      </c>
      <c r="H183" s="317">
        <f>+'I) Dépenses thématiques'!T182</f>
        <v>0</v>
      </c>
      <c r="I183" s="314">
        <f>'K) Plafonnement aide'!J182</f>
        <v>0</v>
      </c>
      <c r="J183" s="317">
        <f>'J) Plafonnement effort'!J182</f>
        <v>0</v>
      </c>
      <c r="K183" s="314">
        <f>'L) Plafonnement taux'!Q183</f>
        <v>0</v>
      </c>
      <c r="L183" s="312">
        <f t="shared" si="9"/>
        <v>2233680.7393087265</v>
      </c>
      <c r="M183" s="233">
        <f>'M) Police'!O183</f>
        <v>140287.26643450573</v>
      </c>
      <c r="N183" s="233">
        <f t="shared" si="7"/>
        <v>2373968.0057432321</v>
      </c>
      <c r="O183" s="317">
        <f t="shared" si="8"/>
        <v>972505.92448608042</v>
      </c>
      <c r="P183" s="319"/>
    </row>
    <row r="184" spans="1:16" s="154" customFormat="1" x14ac:dyDescent="0.25">
      <c r="A184" s="151">
        <f>'B) D RI'!A185</f>
        <v>5706</v>
      </c>
      <c r="B184" s="152" t="str">
        <f>'B) D RI'!B185</f>
        <v>Borex</v>
      </c>
      <c r="C184" s="315">
        <f>'B) D RI'!S185</f>
        <v>57</v>
      </c>
      <c r="D184" s="153">
        <f>'B) D RI'!AA185</f>
        <v>1157</v>
      </c>
      <c r="E184" s="313">
        <f>'D) Ecrêtage'!C183</f>
        <v>84057.706842105254</v>
      </c>
      <c r="F184" s="317">
        <f>'E) Fact soc'!G189</f>
        <v>1690158.331890923</v>
      </c>
      <c r="G184" s="314">
        <f>'H) Péréquation directe'!I194</f>
        <v>1432383.8420637292</v>
      </c>
      <c r="H184" s="317">
        <f>+'I) Dépenses thématiques'!T183</f>
        <v>0</v>
      </c>
      <c r="I184" s="314">
        <f>'K) Plafonnement aide'!J183</f>
        <v>0</v>
      </c>
      <c r="J184" s="317">
        <f>'J) Plafonnement effort'!J183</f>
        <v>0</v>
      </c>
      <c r="K184" s="314">
        <f>'L) Plafonnement taux'!Q184</f>
        <v>0</v>
      </c>
      <c r="L184" s="312">
        <f t="shared" si="9"/>
        <v>3122542.1739546522</v>
      </c>
      <c r="M184" s="233">
        <f>'M) Police'!O184</f>
        <v>201734.81407447215</v>
      </c>
      <c r="N184" s="233">
        <f t="shared" si="7"/>
        <v>3324276.9880291242</v>
      </c>
      <c r="O184" s="317">
        <f t="shared" si="8"/>
        <v>1432383.8420637292</v>
      </c>
      <c r="P184" s="319"/>
    </row>
    <row r="185" spans="1:16" s="154" customFormat="1" x14ac:dyDescent="0.25">
      <c r="A185" s="151">
        <f>'B) D RI'!A186</f>
        <v>5707</v>
      </c>
      <c r="B185" s="152" t="str">
        <f>'B) D RI'!B186</f>
        <v>Chavannes-de-Bogis</v>
      </c>
      <c r="C185" s="315">
        <f>'B) D RI'!S186</f>
        <v>58</v>
      </c>
      <c r="D185" s="153">
        <f>'B) D RI'!AA186</f>
        <v>1329</v>
      </c>
      <c r="E185" s="313">
        <f>'D) Ecrêtage'!C184</f>
        <v>81835.320459770097</v>
      </c>
      <c r="F185" s="317">
        <f>'E) Fact soc'!G190</f>
        <v>1762136.8882629981</v>
      </c>
      <c r="G185" s="314">
        <f>'H) Péréquation directe'!I195</f>
        <v>1330078.439751057</v>
      </c>
      <c r="H185" s="317">
        <f>+'I) Dépenses thématiques'!T184</f>
        <v>0</v>
      </c>
      <c r="I185" s="314">
        <f>'K) Plafonnement aide'!J184</f>
        <v>0</v>
      </c>
      <c r="J185" s="317">
        <f>'J) Plafonnement effort'!J184</f>
        <v>0</v>
      </c>
      <c r="K185" s="314">
        <f>'L) Plafonnement taux'!Q185</f>
        <v>0</v>
      </c>
      <c r="L185" s="312">
        <f t="shared" si="9"/>
        <v>3092215.3280140553</v>
      </c>
      <c r="M185" s="233">
        <f>'M) Police'!O185</f>
        <v>214435.75853323747</v>
      </c>
      <c r="N185" s="233">
        <f t="shared" si="7"/>
        <v>3306651.0865472928</v>
      </c>
      <c r="O185" s="317">
        <f t="shared" si="8"/>
        <v>1330078.439751057</v>
      </c>
      <c r="P185" s="319"/>
    </row>
    <row r="186" spans="1:16" s="154" customFormat="1" x14ac:dyDescent="0.25">
      <c r="A186" s="151">
        <f>'B) D RI'!A187</f>
        <v>5708</v>
      </c>
      <c r="B186" s="152" t="str">
        <f>'B) D RI'!B187</f>
        <v>Chavannes-des-Bois</v>
      </c>
      <c r="C186" s="315">
        <f>'B) D RI'!S187</f>
        <v>68</v>
      </c>
      <c r="D186" s="153">
        <f>'B) D RI'!AA187</f>
        <v>1013</v>
      </c>
      <c r="E186" s="313">
        <f>'D) Ecrêtage'!C185</f>
        <v>67256.112794117653</v>
      </c>
      <c r="F186" s="317">
        <f>'E) Fact soc'!G191</f>
        <v>1373029.8512153095</v>
      </c>
      <c r="G186" s="314">
        <f>'H) Péréquation directe'!I196</f>
        <v>1160391.7286775715</v>
      </c>
      <c r="H186" s="317">
        <f>+'I) Dépenses thématiques'!T185</f>
        <v>0</v>
      </c>
      <c r="I186" s="314">
        <f>'K) Plafonnement aide'!J185</f>
        <v>0</v>
      </c>
      <c r="J186" s="317">
        <f>'J) Plafonnement effort'!J185</f>
        <v>0</v>
      </c>
      <c r="K186" s="314">
        <f>'L) Plafonnement taux'!Q186</f>
        <v>0</v>
      </c>
      <c r="L186" s="312">
        <f t="shared" si="9"/>
        <v>2533421.5798928812</v>
      </c>
      <c r="M186" s="233">
        <f>'M) Police'!O186</f>
        <v>169179.90039222836</v>
      </c>
      <c r="N186" s="233">
        <f t="shared" si="7"/>
        <v>2702601.4802851095</v>
      </c>
      <c r="O186" s="317">
        <f t="shared" si="8"/>
        <v>1160391.7286775715</v>
      </c>
      <c r="P186" s="319"/>
    </row>
    <row r="187" spans="1:16" s="154" customFormat="1" x14ac:dyDescent="0.25">
      <c r="A187" s="151">
        <f>'B) D RI'!A188</f>
        <v>5709</v>
      </c>
      <c r="B187" s="152" t="str">
        <f>'B) D RI'!B188</f>
        <v>Chéserex</v>
      </c>
      <c r="C187" s="315">
        <f>'B) D RI'!S188</f>
        <v>57</v>
      </c>
      <c r="D187" s="153">
        <f>'B) D RI'!AA188</f>
        <v>1248</v>
      </c>
      <c r="E187" s="313">
        <f>'D) Ecrêtage'!C186</f>
        <v>97368.06631578946</v>
      </c>
      <c r="F187" s="317">
        <f>'E) Fact soc'!G192</f>
        <v>2162117.3568649846</v>
      </c>
      <c r="G187" s="314">
        <f>'H) Péréquation directe'!I197</f>
        <v>1655870.4883459634</v>
      </c>
      <c r="H187" s="317">
        <f>+'I) Dépenses thématiques'!T186</f>
        <v>0</v>
      </c>
      <c r="I187" s="314">
        <f>'K) Plafonnement aide'!J186</f>
        <v>0</v>
      </c>
      <c r="J187" s="317">
        <f>'J) Plafonnement effort'!J186</f>
        <v>0</v>
      </c>
      <c r="K187" s="314">
        <f>'L) Plafonnement taux'!Q187</f>
        <v>0</v>
      </c>
      <c r="L187" s="312">
        <f t="shared" si="9"/>
        <v>3817987.845210948</v>
      </c>
      <c r="M187" s="233">
        <f>'M) Police'!O187</f>
        <v>225470.67613798281</v>
      </c>
      <c r="N187" s="233">
        <f t="shared" si="7"/>
        <v>4043458.5213489309</v>
      </c>
      <c r="O187" s="317">
        <f t="shared" si="8"/>
        <v>1655870.4883459634</v>
      </c>
      <c r="P187" s="319"/>
    </row>
    <row r="188" spans="1:16" s="154" customFormat="1" x14ac:dyDescent="0.25">
      <c r="A188" s="151">
        <f>'B) D RI'!A189</f>
        <v>5710</v>
      </c>
      <c r="B188" s="152" t="str">
        <f>'B) D RI'!B189</f>
        <v>Coinsins</v>
      </c>
      <c r="C188" s="315">
        <f>'B) D RI'!S189</f>
        <v>51</v>
      </c>
      <c r="D188" s="153">
        <f>'B) D RI'!AA189</f>
        <v>509</v>
      </c>
      <c r="E188" s="313">
        <f>'D) Ecrêtage'!C187</f>
        <v>41108.965294117646</v>
      </c>
      <c r="F188" s="317">
        <f>'E) Fact soc'!G193</f>
        <v>850424.65817788569</v>
      </c>
      <c r="G188" s="314">
        <f>'H) Péréquation directe'!I198</f>
        <v>724701.07249682595</v>
      </c>
      <c r="H188" s="317">
        <f>+'I) Dépenses thématiques'!T187</f>
        <v>0</v>
      </c>
      <c r="I188" s="314">
        <f>'K) Plafonnement aide'!J187</f>
        <v>0</v>
      </c>
      <c r="J188" s="317">
        <f>'J) Plafonnement effort'!J187</f>
        <v>0</v>
      </c>
      <c r="K188" s="314">
        <f>'L) Plafonnement taux'!Q188</f>
        <v>0</v>
      </c>
      <c r="L188" s="312">
        <f t="shared" si="9"/>
        <v>1575125.7306747115</v>
      </c>
      <c r="M188" s="233">
        <f>'M) Police'!O188</f>
        <v>93599.956555975557</v>
      </c>
      <c r="N188" s="233">
        <f t="shared" si="7"/>
        <v>1668725.6872306871</v>
      </c>
      <c r="O188" s="317">
        <f t="shared" si="8"/>
        <v>724701.07249682595</v>
      </c>
      <c r="P188" s="319"/>
    </row>
    <row r="189" spans="1:16" s="154" customFormat="1" x14ac:dyDescent="0.25">
      <c r="A189" s="151">
        <f>'B) D RI'!A190</f>
        <v>5711</v>
      </c>
      <c r="B189" s="152" t="str">
        <f>'B) D RI'!B190</f>
        <v>Commugny</v>
      </c>
      <c r="C189" s="315">
        <f>'B) D RI'!S190</f>
        <v>55.5</v>
      </c>
      <c r="D189" s="153">
        <f>'B) D RI'!AA190</f>
        <v>2997</v>
      </c>
      <c r="E189" s="313">
        <f>'D) Ecrêtage'!C188</f>
        <v>252772.67295911297</v>
      </c>
      <c r="F189" s="317">
        <f>'E) Fact soc'!G194</f>
        <v>5902899.3225434162</v>
      </c>
      <c r="G189" s="314">
        <f>'H) Péréquation directe'!I199</f>
        <v>4026827.8942220341</v>
      </c>
      <c r="H189" s="317">
        <f>+'I) Dépenses thématiques'!T188</f>
        <v>0</v>
      </c>
      <c r="I189" s="314">
        <f>'K) Plafonnement aide'!J188</f>
        <v>0</v>
      </c>
      <c r="J189" s="317">
        <f>'J) Plafonnement effort'!J188</f>
        <v>0</v>
      </c>
      <c r="K189" s="314">
        <f>'L) Plafonnement taux'!Q189</f>
        <v>0</v>
      </c>
      <c r="L189" s="312">
        <f t="shared" si="9"/>
        <v>9929727.2167654503</v>
      </c>
      <c r="M189" s="233">
        <f>'M) Police'!O189</f>
        <v>563713.13748071413</v>
      </c>
      <c r="N189" s="233">
        <f t="shared" si="7"/>
        <v>10493440.354246164</v>
      </c>
      <c r="O189" s="317">
        <f t="shared" si="8"/>
        <v>4026827.8942220341</v>
      </c>
      <c r="P189" s="319"/>
    </row>
    <row r="190" spans="1:16" s="154" customFormat="1" x14ac:dyDescent="0.25">
      <c r="A190" s="151">
        <f>'B) D RI'!A191</f>
        <v>5712</v>
      </c>
      <c r="B190" s="152" t="str">
        <f>'B) D RI'!B191</f>
        <v>Coppet</v>
      </c>
      <c r="C190" s="315">
        <f>'B) D RI'!S191</f>
        <v>53</v>
      </c>
      <c r="D190" s="153">
        <f>'B) D RI'!AA191</f>
        <v>3247</v>
      </c>
      <c r="E190" s="313">
        <f>'D) Ecrêtage'!C189</f>
        <v>382004.08345911955</v>
      </c>
      <c r="F190" s="317">
        <f>'E) Fact soc'!G195</f>
        <v>10575797.966616083</v>
      </c>
      <c r="G190" s="314">
        <f>'H) Péréquation directe'!I200</f>
        <v>6379876.6840076772</v>
      </c>
      <c r="H190" s="317">
        <f>+'I) Dépenses thématiques'!T189</f>
        <v>0</v>
      </c>
      <c r="I190" s="314">
        <f>'K) Plafonnement aide'!J189</f>
        <v>0</v>
      </c>
      <c r="J190" s="317">
        <f>'J) Plafonnement effort'!J189</f>
        <v>0</v>
      </c>
      <c r="K190" s="314">
        <f>'L) Plafonnement taux'!Q190</f>
        <v>0</v>
      </c>
      <c r="L190" s="312">
        <f t="shared" si="9"/>
        <v>16955674.650623761</v>
      </c>
      <c r="M190" s="233">
        <f>'M) Police'!O190</f>
        <v>737769.96903331915</v>
      </c>
      <c r="N190" s="233">
        <f t="shared" si="7"/>
        <v>17693444.619657081</v>
      </c>
      <c r="O190" s="317">
        <f t="shared" si="8"/>
        <v>6379876.6840076772</v>
      </c>
      <c r="P190" s="319"/>
    </row>
    <row r="191" spans="1:16" s="154" customFormat="1" x14ac:dyDescent="0.25">
      <c r="A191" s="151">
        <f>'B) D RI'!A192</f>
        <v>5713</v>
      </c>
      <c r="B191" s="152" t="str">
        <f>'B) D RI'!B192</f>
        <v>Crans-près-Céligny</v>
      </c>
      <c r="C191" s="315">
        <f>'B) D RI'!S192</f>
        <v>56</v>
      </c>
      <c r="D191" s="153">
        <f>'B) D RI'!AA192</f>
        <v>2340</v>
      </c>
      <c r="E191" s="313">
        <f>'D) Ecrêtage'!C190</f>
        <v>308668.8301785714</v>
      </c>
      <c r="F191" s="317">
        <f>'E) Fact soc'!G196</f>
        <v>9570225.205622267</v>
      </c>
      <c r="G191" s="314">
        <f>'H) Péréquation directe'!I201</f>
        <v>5326123.579691981</v>
      </c>
      <c r="H191" s="317">
        <f>+'I) Dépenses thématiques'!T190</f>
        <v>0</v>
      </c>
      <c r="I191" s="314">
        <f>'K) Plafonnement aide'!J190</f>
        <v>0</v>
      </c>
      <c r="J191" s="317">
        <f>'J) Plafonnement effort'!J190</f>
        <v>0</v>
      </c>
      <c r="K191" s="314">
        <f>'L) Plafonnement taux'!Q191</f>
        <v>0</v>
      </c>
      <c r="L191" s="312">
        <f t="shared" si="9"/>
        <v>14896348.785314247</v>
      </c>
      <c r="M191" s="233">
        <f>'M) Police'!O191</f>
        <v>362578.09932553821</v>
      </c>
      <c r="N191" s="233">
        <f t="shared" si="7"/>
        <v>15258926.884639785</v>
      </c>
      <c r="O191" s="317">
        <f t="shared" si="8"/>
        <v>5326123.579691981</v>
      </c>
      <c r="P191" s="319"/>
    </row>
    <row r="192" spans="1:16" s="154" customFormat="1" x14ac:dyDescent="0.25">
      <c r="A192" s="151">
        <f>'B) D RI'!A193</f>
        <v>5714</v>
      </c>
      <c r="B192" s="152" t="str">
        <f>'B) D RI'!B193</f>
        <v>Crassier</v>
      </c>
      <c r="C192" s="315">
        <f>'B) D RI'!S193</f>
        <v>68</v>
      </c>
      <c r="D192" s="153">
        <f>'B) D RI'!AA193</f>
        <v>1174</v>
      </c>
      <c r="E192" s="313">
        <f>'D) Ecrêtage'!C191</f>
        <v>53429.691617647055</v>
      </c>
      <c r="F192" s="317">
        <f>'E) Fact soc'!G197</f>
        <v>885237.3179974485</v>
      </c>
      <c r="G192" s="314">
        <f>'H) Péréquation directe'!I202</f>
        <v>781622.8637622993</v>
      </c>
      <c r="H192" s="317">
        <f>+'I) Dépenses thématiques'!T191</f>
        <v>0</v>
      </c>
      <c r="I192" s="314">
        <f>'K) Plafonnement aide'!J191</f>
        <v>0</v>
      </c>
      <c r="J192" s="317">
        <f>'J) Plafonnement effort'!J191</f>
        <v>0</v>
      </c>
      <c r="K192" s="314">
        <f>'L) Plafonnement taux'!Q192</f>
        <v>0</v>
      </c>
      <c r="L192" s="312">
        <f t="shared" si="9"/>
        <v>1666860.1817597477</v>
      </c>
      <c r="M192" s="233">
        <f>'M) Police'!O192</f>
        <v>160898.18720428087</v>
      </c>
      <c r="N192" s="233">
        <f t="shared" si="7"/>
        <v>1827758.3689640285</v>
      </c>
      <c r="O192" s="317">
        <f t="shared" si="8"/>
        <v>781622.8637622993</v>
      </c>
      <c r="P192" s="319"/>
    </row>
    <row r="193" spans="1:16" s="154" customFormat="1" x14ac:dyDescent="0.25">
      <c r="A193" s="151">
        <f>'B) D RI'!A194</f>
        <v>5715</v>
      </c>
      <c r="B193" s="152" t="str">
        <f>'B) D RI'!B194</f>
        <v>Duillier</v>
      </c>
      <c r="C193" s="315">
        <f>'B) D RI'!S194</f>
        <v>66</v>
      </c>
      <c r="D193" s="153">
        <f>'B) D RI'!AA194</f>
        <v>1128</v>
      </c>
      <c r="E193" s="313">
        <f>'D) Ecrêtage'!C192</f>
        <v>61573.714242424234</v>
      </c>
      <c r="F193" s="317">
        <f>'E) Fact soc'!G198</f>
        <v>1165456.2676095408</v>
      </c>
      <c r="G193" s="314">
        <f>'H) Péréquation directe'!I203</f>
        <v>1011567.9391825885</v>
      </c>
      <c r="H193" s="317">
        <f>+'I) Dépenses thématiques'!T192</f>
        <v>0</v>
      </c>
      <c r="I193" s="314">
        <f>'K) Plafonnement aide'!J192</f>
        <v>0</v>
      </c>
      <c r="J193" s="317">
        <f>'J) Plafonnement effort'!J192</f>
        <v>0</v>
      </c>
      <c r="K193" s="314">
        <f>'L) Plafonnement taux'!Q193</f>
        <v>0</v>
      </c>
      <c r="L193" s="312">
        <f t="shared" si="9"/>
        <v>2177024.2067921292</v>
      </c>
      <c r="M193" s="233">
        <f>'M) Police'!O193</f>
        <v>172742.38790097245</v>
      </c>
      <c r="N193" s="233">
        <f t="shared" si="7"/>
        <v>2349766.5946931015</v>
      </c>
      <c r="O193" s="317">
        <f t="shared" si="8"/>
        <v>1011567.9391825885</v>
      </c>
      <c r="P193" s="319"/>
    </row>
    <row r="194" spans="1:16" s="154" customFormat="1" x14ac:dyDescent="0.25">
      <c r="A194" s="151">
        <f>'B) D RI'!A195</f>
        <v>5716</v>
      </c>
      <c r="B194" s="152" t="str">
        <f>'B) D RI'!B195</f>
        <v>Eysins</v>
      </c>
      <c r="C194" s="315">
        <f>'B) D RI'!S195</f>
        <v>59.5</v>
      </c>
      <c r="D194" s="153">
        <f>'B) D RI'!AA195</f>
        <v>1740</v>
      </c>
      <c r="E194" s="313">
        <f>'D) Ecrêtage'!C193</f>
        <v>311499.41949579836</v>
      </c>
      <c r="F194" s="317">
        <f>'E) Fact soc'!G199</f>
        <v>11332849.905141495</v>
      </c>
      <c r="G194" s="314">
        <f>'H) Péréquation directe'!I204</f>
        <v>5588678.9757166272</v>
      </c>
      <c r="H194" s="317">
        <f>+'I) Dépenses thématiques'!T193</f>
        <v>0</v>
      </c>
      <c r="I194" s="314">
        <f>'K) Plafonnement aide'!J193</f>
        <v>0</v>
      </c>
      <c r="J194" s="317">
        <f>'J) Plafonnement effort'!J193</f>
        <v>-1128335.8500598031</v>
      </c>
      <c r="K194" s="314">
        <f>'L) Plafonnement taux'!Q194</f>
        <v>0</v>
      </c>
      <c r="L194" s="312">
        <f t="shared" si="9"/>
        <v>15793193.03079832</v>
      </c>
      <c r="M194" s="233">
        <f>'M) Police'!O194</f>
        <v>520798.18200966821</v>
      </c>
      <c r="N194" s="233">
        <f t="shared" ref="N194:N254" si="12">L194+M194</f>
        <v>16313991.212807989</v>
      </c>
      <c r="O194" s="317">
        <f t="shared" si="8"/>
        <v>4460343.1256568246</v>
      </c>
      <c r="P194" s="319"/>
    </row>
    <row r="195" spans="1:16" s="154" customFormat="1" x14ac:dyDescent="0.25">
      <c r="A195" s="151">
        <f>'B) D RI'!A196</f>
        <v>5717</v>
      </c>
      <c r="B195" s="152" t="str">
        <f>'B) D RI'!B196</f>
        <v>Founex</v>
      </c>
      <c r="C195" s="315">
        <f>'B) D RI'!S196</f>
        <v>57</v>
      </c>
      <c r="D195" s="153">
        <f>'B) D RI'!AA196</f>
        <v>3834</v>
      </c>
      <c r="E195" s="313">
        <f>'D) Ecrêtage'!C194</f>
        <v>386801.60228070174</v>
      </c>
      <c r="F195" s="317">
        <f>'E) Fact soc'!G200</f>
        <v>10352672.843415614</v>
      </c>
      <c r="G195" s="314">
        <f>'H) Péréquation directe'!I205</f>
        <v>6180678.7165428149</v>
      </c>
      <c r="H195" s="317">
        <f>+'I) Dépenses thématiques'!T194</f>
        <v>0</v>
      </c>
      <c r="I195" s="314">
        <f>'K) Plafonnement aide'!J194</f>
        <v>0</v>
      </c>
      <c r="J195" s="317">
        <f>'J) Plafonnement effort'!J194</f>
        <v>0</v>
      </c>
      <c r="K195" s="314">
        <f>'L) Plafonnement taux'!Q195</f>
        <v>0</v>
      </c>
      <c r="L195" s="312">
        <f t="shared" si="9"/>
        <v>16533351.559958428</v>
      </c>
      <c r="M195" s="233">
        <f>'M) Police'!O195</f>
        <v>795660.22937396937</v>
      </c>
      <c r="N195" s="233">
        <f t="shared" si="12"/>
        <v>17329011.789332397</v>
      </c>
      <c r="O195" s="317">
        <f t="shared" si="8"/>
        <v>6180678.7165428149</v>
      </c>
      <c r="P195" s="319"/>
    </row>
    <row r="196" spans="1:16" s="154" customFormat="1" x14ac:dyDescent="0.25">
      <c r="A196" s="151">
        <f>'B) D RI'!A197</f>
        <v>5718</v>
      </c>
      <c r="B196" s="152" t="str">
        <f>'B) D RI'!B197</f>
        <v>Genolier</v>
      </c>
      <c r="C196" s="315">
        <f>'B) D RI'!S197</f>
        <v>55</v>
      </c>
      <c r="D196" s="153">
        <f>'B) D RI'!AA197</f>
        <v>1996</v>
      </c>
      <c r="E196" s="313">
        <f>'D) Ecrêtage'!C195</f>
        <v>245082.27927272729</v>
      </c>
      <c r="F196" s="317">
        <f>'E) Fact soc'!G201</f>
        <v>7000968.9285618495</v>
      </c>
      <c r="G196" s="314">
        <f>'H) Péréquation directe'!I206</f>
        <v>4226979.1366009703</v>
      </c>
      <c r="H196" s="317">
        <f>+'I) Dépenses thématiques'!T195</f>
        <v>0</v>
      </c>
      <c r="I196" s="314">
        <f>'K) Plafonnement aide'!J195</f>
        <v>0</v>
      </c>
      <c r="J196" s="317">
        <f>'J) Plafonnement effort'!J195</f>
        <v>0</v>
      </c>
      <c r="K196" s="314">
        <f>'L) Plafonnement taux'!Q196</f>
        <v>0</v>
      </c>
      <c r="L196" s="312">
        <f t="shared" si="9"/>
        <v>11227948.065162819</v>
      </c>
      <c r="M196" s="233">
        <f>'M) Police'!O196</f>
        <v>465570.40108383907</v>
      </c>
      <c r="N196" s="233">
        <f t="shared" si="12"/>
        <v>11693518.466246657</v>
      </c>
      <c r="O196" s="317">
        <f t="shared" si="8"/>
        <v>4226979.1366009703</v>
      </c>
      <c r="P196" s="319"/>
    </row>
    <row r="197" spans="1:16" s="154" customFormat="1" x14ac:dyDescent="0.25">
      <c r="A197" s="151">
        <f>'B) D RI'!A198</f>
        <v>5719</v>
      </c>
      <c r="B197" s="152" t="str">
        <f>'B) D RI'!B198</f>
        <v>Gingins</v>
      </c>
      <c r="C197" s="315">
        <f>'B) D RI'!S198</f>
        <v>57</v>
      </c>
      <c r="D197" s="153">
        <f>'B) D RI'!AA198</f>
        <v>1257</v>
      </c>
      <c r="E197" s="313">
        <f>'D) Ecrêtage'!C196</f>
        <v>145761.41602339179</v>
      </c>
      <c r="F197" s="317">
        <f>'E) Fact soc'!G202</f>
        <v>4033313.1245107539</v>
      </c>
      <c r="G197" s="314">
        <f>'H) Péréquation directe'!I207</f>
        <v>2580158.1004556417</v>
      </c>
      <c r="H197" s="317">
        <f>+'I) Dépenses thématiques'!T196</f>
        <v>0</v>
      </c>
      <c r="I197" s="314">
        <f>'K) Plafonnement aide'!J196</f>
        <v>0</v>
      </c>
      <c r="J197" s="317">
        <f>'J) Plafonnement effort'!J196</f>
        <v>0</v>
      </c>
      <c r="K197" s="314">
        <f>'L) Plafonnement taux'!Q197</f>
        <v>0</v>
      </c>
      <c r="L197" s="312">
        <f t="shared" si="9"/>
        <v>6613471.2249663956</v>
      </c>
      <c r="M197" s="233">
        <f>'M) Police'!O197</f>
        <v>283117.1465141495</v>
      </c>
      <c r="N197" s="233">
        <f t="shared" si="12"/>
        <v>6896588.371480545</v>
      </c>
      <c r="O197" s="317">
        <f t="shared" si="8"/>
        <v>2580158.1004556417</v>
      </c>
      <c r="P197" s="319"/>
    </row>
    <row r="198" spans="1:16" s="154" customFormat="1" x14ac:dyDescent="0.25">
      <c r="A198" s="151">
        <f>'B) D RI'!A199</f>
        <v>5720</v>
      </c>
      <c r="B198" s="152" t="str">
        <f>'B) D RI'!B199</f>
        <v>Givrins</v>
      </c>
      <c r="C198" s="315">
        <f>'B) D RI'!S199</f>
        <v>67</v>
      </c>
      <c r="D198" s="153">
        <f>'B) D RI'!AA199</f>
        <v>1031</v>
      </c>
      <c r="E198" s="313">
        <f>'D) Ecrêtage'!C197</f>
        <v>84172.254543946925</v>
      </c>
      <c r="F198" s="317">
        <f>'E) Fact soc'!G203</f>
        <v>2112238.3496926464</v>
      </c>
      <c r="G198" s="314">
        <f>'H) Péréquation directe'!I208</f>
        <v>1478324.1096297628</v>
      </c>
      <c r="H198" s="317">
        <f>+'I) Dépenses thématiques'!T197</f>
        <v>-54341.05909203981</v>
      </c>
      <c r="I198" s="314">
        <f>'K) Plafonnement aide'!J197</f>
        <v>0</v>
      </c>
      <c r="J198" s="317">
        <f>'J) Plafonnement effort'!J197</f>
        <v>0</v>
      </c>
      <c r="K198" s="314">
        <f>'L) Plafonnement taux'!Q198</f>
        <v>0</v>
      </c>
      <c r="L198" s="312">
        <f t="shared" si="9"/>
        <v>3536221.4002303695</v>
      </c>
      <c r="M198" s="233">
        <f>'M) Police'!O198</f>
        <v>190652.82383465377</v>
      </c>
      <c r="N198" s="233">
        <f t="shared" si="12"/>
        <v>3726874.2240650235</v>
      </c>
      <c r="O198" s="317">
        <f t="shared" si="8"/>
        <v>1423983.0505377231</v>
      </c>
      <c r="P198" s="319"/>
    </row>
    <row r="199" spans="1:16" s="154" customFormat="1" x14ac:dyDescent="0.25">
      <c r="A199" s="151">
        <f>'B) D RI'!A200</f>
        <v>5721</v>
      </c>
      <c r="B199" s="152" t="str">
        <f>'B) D RI'!B200</f>
        <v>Gland</v>
      </c>
      <c r="C199" s="315">
        <f>'B) D RI'!S200</f>
        <v>61</v>
      </c>
      <c r="D199" s="153">
        <f>'B) D RI'!AA200</f>
        <v>13243</v>
      </c>
      <c r="E199" s="313">
        <f>'D) Ecrêtage'!C198</f>
        <v>651107.04049180343</v>
      </c>
      <c r="F199" s="317">
        <f>'E) Fact soc'!G204</f>
        <v>11163542.999764217</v>
      </c>
      <c r="G199" s="314">
        <f>'H) Péréquation directe'!I209</f>
        <v>4524374.8489265889</v>
      </c>
      <c r="H199" s="317">
        <f>+'I) Dépenses thématiques'!T198</f>
        <v>0</v>
      </c>
      <c r="I199" s="314">
        <f>'K) Plafonnement aide'!J198</f>
        <v>0</v>
      </c>
      <c r="J199" s="317">
        <f>'J) Plafonnement effort'!J198</f>
        <v>0</v>
      </c>
      <c r="K199" s="314">
        <f>'L) Plafonnement taux'!Q199</f>
        <v>0</v>
      </c>
      <c r="L199" s="312">
        <f t="shared" si="9"/>
        <v>15687917.848690806</v>
      </c>
      <c r="M199" s="233">
        <f>'M) Police'!O199</f>
        <v>1943717.7900214626</v>
      </c>
      <c r="N199" s="233">
        <f t="shared" si="12"/>
        <v>17631635.638712268</v>
      </c>
      <c r="O199" s="317">
        <f t="shared" ref="O199:O262" si="13">SUM(G199:K199)</f>
        <v>4524374.8489265889</v>
      </c>
      <c r="P199" s="319"/>
    </row>
    <row r="200" spans="1:16" s="154" customFormat="1" x14ac:dyDescent="0.25">
      <c r="A200" s="151">
        <f>'B) D RI'!A201</f>
        <v>5722</v>
      </c>
      <c r="B200" s="152" t="str">
        <f>'B) D RI'!B201</f>
        <v>Grens</v>
      </c>
      <c r="C200" s="315">
        <f>'B) D RI'!S201</f>
        <v>62</v>
      </c>
      <c r="D200" s="153">
        <f>'B) D RI'!AA201</f>
        <v>405</v>
      </c>
      <c r="E200" s="313">
        <f>'D) Ecrêtage'!C199</f>
        <v>25525.601935483872</v>
      </c>
      <c r="F200" s="317">
        <f>'E) Fact soc'!G205</f>
        <v>446518.73501746339</v>
      </c>
      <c r="G200" s="314">
        <f>'H) Péréquation directe'!I210</f>
        <v>438956.19109813147</v>
      </c>
      <c r="H200" s="317">
        <f>+'I) Dépenses thématiques'!T199</f>
        <v>0</v>
      </c>
      <c r="I200" s="314">
        <f>'K) Plafonnement aide'!J199</f>
        <v>0</v>
      </c>
      <c r="J200" s="317">
        <f>'J) Plafonnement effort'!J199</f>
        <v>0</v>
      </c>
      <c r="K200" s="314">
        <f>'L) Plafonnement taux'!Q200</f>
        <v>0</v>
      </c>
      <c r="L200" s="312">
        <f t="shared" si="9"/>
        <v>885474.9261155948</v>
      </c>
      <c r="M200" s="233">
        <f>'M) Police'!O200</f>
        <v>66036.846124560267</v>
      </c>
      <c r="N200" s="233">
        <f t="shared" si="12"/>
        <v>951511.77224015503</v>
      </c>
      <c r="O200" s="317">
        <f t="shared" si="13"/>
        <v>438956.19109813147</v>
      </c>
      <c r="P200" s="319"/>
    </row>
    <row r="201" spans="1:16" s="154" customFormat="1" x14ac:dyDescent="0.25">
      <c r="A201" s="151">
        <f>'B) D RI'!A202</f>
        <v>5723</v>
      </c>
      <c r="B201" s="152" t="str">
        <f>'B) D RI'!B202</f>
        <v>Mies</v>
      </c>
      <c r="C201" s="315">
        <f>'B) D RI'!S202</f>
        <v>52</v>
      </c>
      <c r="D201" s="153">
        <f>'B) D RI'!AA202</f>
        <v>2172</v>
      </c>
      <c r="E201" s="313">
        <f>'D) Ecrêtage'!C200</f>
        <v>197805.17519230774</v>
      </c>
      <c r="F201" s="317">
        <f>'E) Fact soc'!G206</f>
        <v>4875071.0828816518</v>
      </c>
      <c r="G201" s="314">
        <f>'H) Péréquation directe'!I211</f>
        <v>3259854.4310330073</v>
      </c>
      <c r="H201" s="317">
        <f>+'I) Dépenses thématiques'!T200</f>
        <v>0</v>
      </c>
      <c r="I201" s="314">
        <f>'K) Plafonnement aide'!J200</f>
        <v>0</v>
      </c>
      <c r="J201" s="317">
        <f>'J) Plafonnement effort'!J200</f>
        <v>0</v>
      </c>
      <c r="K201" s="314">
        <f>'L) Plafonnement taux'!Q201</f>
        <v>0</v>
      </c>
      <c r="L201" s="312">
        <f t="shared" si="9"/>
        <v>8134925.5139146596</v>
      </c>
      <c r="M201" s="233">
        <f>'M) Police'!O201</f>
        <v>425703.86450141796</v>
      </c>
      <c r="N201" s="233">
        <f t="shared" si="12"/>
        <v>8560629.3784160782</v>
      </c>
      <c r="O201" s="317">
        <f t="shared" si="13"/>
        <v>3259854.4310330073</v>
      </c>
      <c r="P201" s="319"/>
    </row>
    <row r="202" spans="1:16" s="154" customFormat="1" x14ac:dyDescent="0.25">
      <c r="A202" s="151">
        <f>'B) D RI'!A203</f>
        <v>5724</v>
      </c>
      <c r="B202" s="152" t="str">
        <f>'B) D RI'!B203</f>
        <v>Nyon</v>
      </c>
      <c r="C202" s="315">
        <f>'B) D RI'!S203</f>
        <v>61</v>
      </c>
      <c r="D202" s="153">
        <f>'B) D RI'!AA203</f>
        <v>21743</v>
      </c>
      <c r="E202" s="313">
        <f>'D) Ecrêtage'!C201</f>
        <v>1415730.6761202184</v>
      </c>
      <c r="F202" s="317">
        <f>'E) Fact soc'!G207</f>
        <v>32603159.754050858</v>
      </c>
      <c r="G202" s="314">
        <f>'H) Péréquation directe'!I212</f>
        <v>10411629.424118673</v>
      </c>
      <c r="H202" s="317">
        <f>+'I) Dépenses thématiques'!T201</f>
        <v>-1138891.9432786899</v>
      </c>
      <c r="I202" s="314">
        <f>'K) Plafonnement aide'!J201</f>
        <v>0</v>
      </c>
      <c r="J202" s="317">
        <f>'J) Plafonnement effort'!J201</f>
        <v>0</v>
      </c>
      <c r="K202" s="314">
        <f>'L) Plafonnement taux'!Q202</f>
        <v>0</v>
      </c>
      <c r="L202" s="312">
        <f t="shared" si="9"/>
        <v>41875897.234890841</v>
      </c>
      <c r="M202" s="233">
        <f>'M) Police'!O202</f>
        <v>1662989.2218387118</v>
      </c>
      <c r="N202" s="233">
        <f t="shared" si="12"/>
        <v>43538886.456729554</v>
      </c>
      <c r="O202" s="317">
        <f t="shared" si="13"/>
        <v>9272737.4808399826</v>
      </c>
      <c r="P202" s="319"/>
    </row>
    <row r="203" spans="1:16" s="154" customFormat="1" x14ac:dyDescent="0.25">
      <c r="A203" s="151">
        <f>'B) D RI'!A204</f>
        <v>5725</v>
      </c>
      <c r="B203" s="152" t="str">
        <f>'B) D RI'!B204</f>
        <v>Prangins</v>
      </c>
      <c r="C203" s="315">
        <f>'B) D RI'!S204</f>
        <v>55</v>
      </c>
      <c r="D203" s="153">
        <f>'B) D RI'!AA204</f>
        <v>4101</v>
      </c>
      <c r="E203" s="313">
        <f>'D) Ecrêtage'!C202</f>
        <v>312804.93402597401</v>
      </c>
      <c r="F203" s="317">
        <f>'E) Fact soc'!G208</f>
        <v>6904413.7253820188</v>
      </c>
      <c r="G203" s="314">
        <f>'H) Péréquation directe'!I213</f>
        <v>4630177.7922678497</v>
      </c>
      <c r="H203" s="317">
        <f>+'I) Dépenses thématiques'!T202</f>
        <v>0</v>
      </c>
      <c r="I203" s="314">
        <f>'K) Plafonnement aide'!J202</f>
        <v>0</v>
      </c>
      <c r="J203" s="317">
        <f>'J) Plafonnement effort'!J202</f>
        <v>0</v>
      </c>
      <c r="K203" s="314">
        <f>'L) Plafonnement taux'!Q203</f>
        <v>0</v>
      </c>
      <c r="L203" s="312">
        <f t="shared" si="9"/>
        <v>11534591.517649869</v>
      </c>
      <c r="M203" s="233">
        <f>'M) Police'!O203</f>
        <v>367436.57716645498</v>
      </c>
      <c r="N203" s="233">
        <f t="shared" si="12"/>
        <v>11902028.094816323</v>
      </c>
      <c r="O203" s="317">
        <f t="shared" si="13"/>
        <v>4630177.7922678497</v>
      </c>
      <c r="P203" s="319"/>
    </row>
    <row r="204" spans="1:16" s="154" customFormat="1" x14ac:dyDescent="0.25">
      <c r="A204" s="151">
        <f>'B) D RI'!A205</f>
        <v>5726</v>
      </c>
      <c r="B204" s="152" t="str">
        <f>'B) D RI'!B205</f>
        <v>La Rippe</v>
      </c>
      <c r="C204" s="315">
        <f>'B) D RI'!S205</f>
        <v>65</v>
      </c>
      <c r="D204" s="153">
        <f>'B) D RI'!AA205</f>
        <v>1131</v>
      </c>
      <c r="E204" s="313">
        <f>'D) Ecrêtage'!C203</f>
        <v>66324.764153846147</v>
      </c>
      <c r="F204" s="317">
        <f>'E) Fact soc'!G209</f>
        <v>1332233.8243394583</v>
      </c>
      <c r="G204" s="314">
        <f>'H) Péréquation directe'!I214</f>
        <v>1101575.7171669663</v>
      </c>
      <c r="H204" s="317">
        <f>+'I) Dépenses thématiques'!T203</f>
        <v>0</v>
      </c>
      <c r="I204" s="314">
        <f>'K) Plafonnement aide'!J203</f>
        <v>0</v>
      </c>
      <c r="J204" s="317">
        <f>'J) Plafonnement effort'!J203</f>
        <v>0</v>
      </c>
      <c r="K204" s="314">
        <f>'L) Plafonnement taux'!Q204</f>
        <v>0</v>
      </c>
      <c r="L204" s="312">
        <f t="shared" si="9"/>
        <v>2433809.5415064245</v>
      </c>
      <c r="M204" s="233">
        <f>'M) Police'!O204</f>
        <v>178590.2732164156</v>
      </c>
      <c r="N204" s="233">
        <f t="shared" si="12"/>
        <v>2612399.8147228402</v>
      </c>
      <c r="O204" s="317">
        <f t="shared" si="13"/>
        <v>1101575.7171669663</v>
      </c>
      <c r="P204" s="319"/>
    </row>
    <row r="205" spans="1:16" s="154" customFormat="1" x14ac:dyDescent="0.25">
      <c r="A205" s="151">
        <f>'B) D RI'!A206</f>
        <v>5727</v>
      </c>
      <c r="B205" s="152" t="str">
        <f>'B) D RI'!B206</f>
        <v>Saint-Cergue</v>
      </c>
      <c r="C205" s="315">
        <f>'B) D RI'!S206</f>
        <v>66</v>
      </c>
      <c r="D205" s="153">
        <f>'B) D RI'!AA206</f>
        <v>2674</v>
      </c>
      <c r="E205" s="313">
        <f>'D) Ecrêtage'!C204</f>
        <v>105125.05141414142</v>
      </c>
      <c r="F205" s="317">
        <f>'E) Fact soc'!G210</f>
        <v>1802560.094907816</v>
      </c>
      <c r="G205" s="314">
        <f>'H) Péréquation directe'!I215</f>
        <v>895603.27957527246</v>
      </c>
      <c r="H205" s="317">
        <f>+'I) Dépenses thématiques'!T204</f>
        <v>-205989.4415151515</v>
      </c>
      <c r="I205" s="314">
        <f>'K) Plafonnement aide'!J204</f>
        <v>0</v>
      </c>
      <c r="J205" s="317">
        <f>'J) Plafonnement effort'!J204</f>
        <v>0</v>
      </c>
      <c r="K205" s="314">
        <f>'L) Plafonnement taux'!Q205</f>
        <v>0</v>
      </c>
      <c r="L205" s="312">
        <f t="shared" si="9"/>
        <v>2492173.9329679371</v>
      </c>
      <c r="M205" s="233">
        <f>'M) Police'!O205</f>
        <v>317420.39646691555</v>
      </c>
      <c r="N205" s="233">
        <f t="shared" si="12"/>
        <v>2809594.3294348526</v>
      </c>
      <c r="O205" s="317">
        <f t="shared" si="13"/>
        <v>689613.83806012094</v>
      </c>
      <c r="P205" s="319"/>
    </row>
    <row r="206" spans="1:16" s="154" customFormat="1" x14ac:dyDescent="0.25">
      <c r="A206" s="151">
        <f>'B) D RI'!A207</f>
        <v>5728</v>
      </c>
      <c r="B206" s="152" t="str">
        <f>'B) D RI'!B207</f>
        <v>Signy-Avenex</v>
      </c>
      <c r="C206" s="315">
        <f>'B) D RI'!S207</f>
        <v>58</v>
      </c>
      <c r="D206" s="153">
        <f>'B) D RI'!AA207</f>
        <v>581</v>
      </c>
      <c r="E206" s="313">
        <f>'D) Ecrêtage'!C205</f>
        <v>49286.820862068969</v>
      </c>
      <c r="F206" s="317">
        <f>'E) Fact soc'!G211</f>
        <v>1167437.521693934</v>
      </c>
      <c r="G206" s="314">
        <f>'H) Péréquation directe'!I216</f>
        <v>872494.28712957015</v>
      </c>
      <c r="H206" s="317">
        <f>+'I) Dépenses thématiques'!T205</f>
        <v>0</v>
      </c>
      <c r="I206" s="314">
        <f>'K) Plafonnement aide'!J205</f>
        <v>0</v>
      </c>
      <c r="J206" s="317">
        <f>'J) Plafonnement effort'!J205</f>
        <v>0</v>
      </c>
      <c r="K206" s="314">
        <f>'L) Plafonnement taux'!Q206</f>
        <v>0</v>
      </c>
      <c r="L206" s="312">
        <f t="shared" si="9"/>
        <v>2039931.808823504</v>
      </c>
      <c r="M206" s="233">
        <f>'M) Police'!O206</f>
        <v>109615.53502944371</v>
      </c>
      <c r="N206" s="233">
        <f t="shared" si="12"/>
        <v>2149547.3438529479</v>
      </c>
      <c r="O206" s="317">
        <f t="shared" si="13"/>
        <v>872494.28712957015</v>
      </c>
      <c r="P206" s="319"/>
    </row>
    <row r="207" spans="1:16" s="154" customFormat="1" x14ac:dyDescent="0.25">
      <c r="A207" s="151">
        <f>'B) D RI'!A208</f>
        <v>5729</v>
      </c>
      <c r="B207" s="152" t="str">
        <f>'B) D RI'!B208</f>
        <v>Tannay</v>
      </c>
      <c r="C207" s="315">
        <f>'B) D RI'!S208</f>
        <v>60.5</v>
      </c>
      <c r="D207" s="153">
        <f>'B) D RI'!AA208</f>
        <v>1636</v>
      </c>
      <c r="E207" s="313">
        <f>'D) Ecrêtage'!C206</f>
        <v>130826.66865013774</v>
      </c>
      <c r="F207" s="317">
        <f>'E) Fact soc'!G212</f>
        <v>3258612.012721655</v>
      </c>
      <c r="G207" s="314">
        <f>'H) Péréquation directe'!I217</f>
        <v>2162365.5574305686</v>
      </c>
      <c r="H207" s="317">
        <f>+'I) Dépenses thématiques'!T206</f>
        <v>0</v>
      </c>
      <c r="I207" s="314">
        <f>'K) Plafonnement aide'!J206</f>
        <v>0</v>
      </c>
      <c r="J207" s="317">
        <f>'J) Plafonnement effort'!J206</f>
        <v>0</v>
      </c>
      <c r="K207" s="314">
        <f>'L) Plafonnement taux'!Q207</f>
        <v>0</v>
      </c>
      <c r="L207" s="312">
        <f t="shared" si="9"/>
        <v>5420977.5701522231</v>
      </c>
      <c r="M207" s="233">
        <f>'M) Police'!O207</f>
        <v>299312.68460048613</v>
      </c>
      <c r="N207" s="233">
        <f t="shared" si="12"/>
        <v>5720290.2547527095</v>
      </c>
      <c r="O207" s="317">
        <f t="shared" si="13"/>
        <v>2162365.5574305686</v>
      </c>
      <c r="P207" s="319"/>
    </row>
    <row r="208" spans="1:16" s="154" customFormat="1" x14ac:dyDescent="0.25">
      <c r="A208" s="151">
        <f>'B) D RI'!A209</f>
        <v>5730</v>
      </c>
      <c r="B208" s="152" t="str">
        <f>'B) D RI'!B209</f>
        <v>Trélex</v>
      </c>
      <c r="C208" s="315">
        <f>'B) D RI'!S209</f>
        <v>55.5</v>
      </c>
      <c r="D208" s="153">
        <f>'B) D RI'!AA209</f>
        <v>1445</v>
      </c>
      <c r="E208" s="313">
        <f>'D) Ecrêtage'!C207</f>
        <v>111625.98756756757</v>
      </c>
      <c r="F208" s="317">
        <f>'E) Fact soc'!G213</f>
        <v>2578342.1614541695</v>
      </c>
      <c r="G208" s="314">
        <f>'H) Péréquation directe'!I218</f>
        <v>1860714.8413331609</v>
      </c>
      <c r="H208" s="317">
        <f>+'I) Dépenses thématiques'!T207</f>
        <v>0</v>
      </c>
      <c r="I208" s="314">
        <f>'K) Plafonnement aide'!J207</f>
        <v>0</v>
      </c>
      <c r="J208" s="317">
        <f>'J) Plafonnement effort'!J207</f>
        <v>0</v>
      </c>
      <c r="K208" s="314">
        <f>'L) Plafonnement taux'!Q208</f>
        <v>0</v>
      </c>
      <c r="L208" s="312">
        <f t="shared" si="9"/>
        <v>4439057.0027873302</v>
      </c>
      <c r="M208" s="233">
        <f>'M) Police'!O208</f>
        <v>259755.73245278068</v>
      </c>
      <c r="N208" s="233">
        <f t="shared" si="12"/>
        <v>4698812.7352401111</v>
      </c>
      <c r="O208" s="317">
        <f t="shared" si="13"/>
        <v>1860714.8413331609</v>
      </c>
      <c r="P208" s="319"/>
    </row>
    <row r="209" spans="1:16" s="154" customFormat="1" x14ac:dyDescent="0.25">
      <c r="A209" s="151">
        <f>'B) D RI'!A210</f>
        <v>5731</v>
      </c>
      <c r="B209" s="152" t="str">
        <f>'B) D RI'!B210</f>
        <v>Le Vaud</v>
      </c>
      <c r="C209" s="315">
        <f>'B) D RI'!S210</f>
        <v>74</v>
      </c>
      <c r="D209" s="153">
        <f>'B) D RI'!AA210</f>
        <v>1366</v>
      </c>
      <c r="E209" s="313">
        <f>'D) Ecrêtage'!C208</f>
        <v>63942.206576576558</v>
      </c>
      <c r="F209" s="317">
        <f>'E) Fact soc'!G214</f>
        <v>1016097.8406262205</v>
      </c>
      <c r="G209" s="314">
        <f>'H) Péréquation directe'!I219</f>
        <v>933527.17417994165</v>
      </c>
      <c r="H209" s="317">
        <f>+'I) Dépenses thématiques'!T208</f>
        <v>-47853.105608108235</v>
      </c>
      <c r="I209" s="314">
        <f>'K) Plafonnement aide'!J208</f>
        <v>0</v>
      </c>
      <c r="J209" s="317">
        <f>'J) Plafonnement effort'!J208</f>
        <v>0</v>
      </c>
      <c r="K209" s="314">
        <f>'L) Plafonnement taux'!Q209</f>
        <v>0</v>
      </c>
      <c r="L209" s="312">
        <f t="shared" si="9"/>
        <v>1901771.9091980539</v>
      </c>
      <c r="M209" s="233">
        <f>'M) Police'!O209</f>
        <v>195654.85341906472</v>
      </c>
      <c r="N209" s="233">
        <f t="shared" si="12"/>
        <v>2097426.7626171187</v>
      </c>
      <c r="O209" s="317">
        <f t="shared" si="13"/>
        <v>885674.06857183343</v>
      </c>
      <c r="P209" s="319"/>
    </row>
    <row r="210" spans="1:16" s="154" customFormat="1" x14ac:dyDescent="0.25">
      <c r="A210" s="151">
        <f>'B) D RI'!A211</f>
        <v>5732</v>
      </c>
      <c r="B210" s="152" t="str">
        <f>'B) D RI'!B211</f>
        <v>Vich</v>
      </c>
      <c r="C210" s="315">
        <f>'B) D RI'!S211</f>
        <v>63</v>
      </c>
      <c r="D210" s="153">
        <f>'B) D RI'!AA211</f>
        <v>1156</v>
      </c>
      <c r="E210" s="313">
        <f>'D) Ecrêtage'!C209</f>
        <v>71006.972380952371</v>
      </c>
      <c r="F210" s="317">
        <f>'E) Fact soc'!G215</f>
        <v>1479969.8915689634</v>
      </c>
      <c r="G210" s="314">
        <f>'H) Péréquation directe'!I220</f>
        <v>1182626.1819479405</v>
      </c>
      <c r="H210" s="317">
        <f>+'I) Dépenses thématiques'!T209</f>
        <v>0</v>
      </c>
      <c r="I210" s="314">
        <f>'K) Plafonnement aide'!J209</f>
        <v>0</v>
      </c>
      <c r="J210" s="317">
        <f>'J) Plafonnement effort'!J209</f>
        <v>0</v>
      </c>
      <c r="K210" s="314">
        <f>'L) Plafonnement taux'!Q210</f>
        <v>0</v>
      </c>
      <c r="L210" s="312">
        <f t="shared" si="9"/>
        <v>2662596.0735169039</v>
      </c>
      <c r="M210" s="233">
        <f>'M) Police'!O210</f>
        <v>186315.73774426919</v>
      </c>
      <c r="N210" s="233">
        <f t="shared" si="12"/>
        <v>2848911.8112611733</v>
      </c>
      <c r="O210" s="317">
        <f t="shared" si="13"/>
        <v>1182626.1819479405</v>
      </c>
      <c r="P210" s="319"/>
    </row>
    <row r="211" spans="1:16" s="154" customFormat="1" x14ac:dyDescent="0.25">
      <c r="A211" s="151">
        <f>'B) D RI'!A212</f>
        <v>5741</v>
      </c>
      <c r="B211" s="152" t="str">
        <f>'B) D RI'!B212</f>
        <v>L'Abergement</v>
      </c>
      <c r="C211" s="315">
        <f>'B) D RI'!S212</f>
        <v>81</v>
      </c>
      <c r="D211" s="153">
        <f>'B) D RI'!AA212</f>
        <v>256</v>
      </c>
      <c r="E211" s="313">
        <f>'D) Ecrêtage'!C210</f>
        <v>7368.9297325102852</v>
      </c>
      <c r="F211" s="317">
        <f>'E) Fact soc'!G216</f>
        <v>124809.40103789062</v>
      </c>
      <c r="G211" s="314">
        <f>'H) Péréquation directe'!I221</f>
        <v>-21150.021970910195</v>
      </c>
      <c r="H211" s="317">
        <f>+'I) Dépenses thématiques'!T210</f>
        <v>-107525.72430555557</v>
      </c>
      <c r="I211" s="314">
        <f>'K) Plafonnement aide'!J210</f>
        <v>0</v>
      </c>
      <c r="J211" s="317">
        <f>'J) Plafonnement effort'!J210</f>
        <v>0</v>
      </c>
      <c r="K211" s="314">
        <f>'L) Plafonnement taux'!Q211</f>
        <v>0</v>
      </c>
      <c r="L211" s="312">
        <f t="shared" si="9"/>
        <v>-3866.3452385751443</v>
      </c>
      <c r="M211" s="233">
        <f>'M) Police'!O211</f>
        <v>22374.860209290011</v>
      </c>
      <c r="N211" s="233">
        <f t="shared" si="12"/>
        <v>18508.514970714867</v>
      </c>
      <c r="O211" s="317">
        <f t="shared" si="13"/>
        <v>-128675.74627646577</v>
      </c>
      <c r="P211" s="319"/>
    </row>
    <row r="212" spans="1:16" s="154" customFormat="1" x14ac:dyDescent="0.25">
      <c r="A212" s="151">
        <f>'B) D RI'!A213</f>
        <v>5742</v>
      </c>
      <c r="B212" s="152" t="str">
        <f>'B) D RI'!B213</f>
        <v>Agiez</v>
      </c>
      <c r="C212" s="315">
        <f>'B) D RI'!S213</f>
        <v>76</v>
      </c>
      <c r="D212" s="153">
        <f>'B) D RI'!AA213</f>
        <v>377</v>
      </c>
      <c r="E212" s="313">
        <f>'D) Ecrêtage'!C211</f>
        <v>8960.136710526318</v>
      </c>
      <c r="F212" s="317">
        <f>'E) Fact soc'!G217</f>
        <v>137019.61154204703</v>
      </c>
      <c r="G212" s="314">
        <f>'H) Péréquation directe'!I222</f>
        <v>-88223.430418751232</v>
      </c>
      <c r="H212" s="317">
        <f>+'I) Dépenses thématiques'!T211</f>
        <v>-34946.827203947352</v>
      </c>
      <c r="I212" s="314">
        <f>'K) Plafonnement aide'!J211</f>
        <v>0</v>
      </c>
      <c r="J212" s="317">
        <f>'J) Plafonnement effort'!J211</f>
        <v>0</v>
      </c>
      <c r="K212" s="314">
        <f>'L) Plafonnement taux'!Q212</f>
        <v>0</v>
      </c>
      <c r="L212" s="312">
        <f t="shared" si="9"/>
        <v>13849.353919348447</v>
      </c>
      <c r="M212" s="233">
        <f>'M) Police'!O212</f>
        <v>27197.337075056443</v>
      </c>
      <c r="N212" s="233">
        <f t="shared" si="12"/>
        <v>41046.690994404889</v>
      </c>
      <c r="O212" s="317">
        <f t="shared" si="13"/>
        <v>-123170.25762269858</v>
      </c>
      <c r="P212" s="319"/>
    </row>
    <row r="213" spans="1:16" s="154" customFormat="1" x14ac:dyDescent="0.25">
      <c r="A213" s="151">
        <f>'B) D RI'!A214</f>
        <v>5743</v>
      </c>
      <c r="B213" s="152" t="str">
        <f>'B) D RI'!B214</f>
        <v>Arnex-sur-Orbe</v>
      </c>
      <c r="C213" s="315">
        <f>'B) D RI'!S214</f>
        <v>71</v>
      </c>
      <c r="D213" s="153">
        <f>'B) D RI'!AA214</f>
        <v>637</v>
      </c>
      <c r="E213" s="313">
        <f>'D) Ecrêtage'!C212</f>
        <v>20549.584577464786</v>
      </c>
      <c r="F213" s="317">
        <f>'E) Fact soc'!G218</f>
        <v>310678.15609504585</v>
      </c>
      <c r="G213" s="314">
        <f>'H) Péréquation directe'!I223</f>
        <v>109865.71600834216</v>
      </c>
      <c r="H213" s="317">
        <f>+'I) Dépenses thématiques'!T212</f>
        <v>-84701.492535211291</v>
      </c>
      <c r="I213" s="314">
        <f>'K) Plafonnement aide'!J212</f>
        <v>0</v>
      </c>
      <c r="J213" s="317">
        <f>'J) Plafonnement effort'!J212</f>
        <v>0</v>
      </c>
      <c r="K213" s="314">
        <f>'L) Plafonnement taux'!Q213</f>
        <v>0</v>
      </c>
      <c r="L213" s="312">
        <f t="shared" si="9"/>
        <v>335842.37956817669</v>
      </c>
      <c r="M213" s="233">
        <f>'M) Police'!O213</f>
        <v>62792.505852252114</v>
      </c>
      <c r="N213" s="233">
        <f t="shared" si="12"/>
        <v>398634.88542042882</v>
      </c>
      <c r="O213" s="317">
        <f t="shared" si="13"/>
        <v>25164.223473130871</v>
      </c>
      <c r="P213" s="319"/>
    </row>
    <row r="214" spans="1:16" s="154" customFormat="1" x14ac:dyDescent="0.25">
      <c r="A214" s="151">
        <f>'B) D RI'!A215</f>
        <v>5744</v>
      </c>
      <c r="B214" s="152" t="str">
        <f>'B) D RI'!B215</f>
        <v>Ballaigues</v>
      </c>
      <c r="C214" s="315">
        <f>'B) D RI'!S215</f>
        <v>65</v>
      </c>
      <c r="D214" s="153">
        <f>'B) D RI'!AA215</f>
        <v>1143</v>
      </c>
      <c r="E214" s="313">
        <f>'D) Ecrêtage'!C213</f>
        <v>40453.358769230777</v>
      </c>
      <c r="F214" s="317">
        <f>'E) Fact soc'!G219</f>
        <v>1007958.9079965748</v>
      </c>
      <c r="G214" s="314">
        <f>'H) Péréquation directe'!I224</f>
        <v>354054.35545440001</v>
      </c>
      <c r="H214" s="317">
        <f>+'I) Dépenses thématiques'!T213</f>
        <v>-373856.07830769225</v>
      </c>
      <c r="I214" s="314">
        <f>'K) Plafonnement aide'!J213</f>
        <v>0</v>
      </c>
      <c r="J214" s="317">
        <f>'J) Plafonnement effort'!J213</f>
        <v>0</v>
      </c>
      <c r="K214" s="314">
        <f>'L) Plafonnement taux'!Q214</f>
        <v>0</v>
      </c>
      <c r="L214" s="312">
        <f t="shared" si="9"/>
        <v>988157.18514328264</v>
      </c>
      <c r="M214" s="233">
        <f>'M) Police'!O214</f>
        <v>122873.48768537663</v>
      </c>
      <c r="N214" s="233">
        <f t="shared" si="12"/>
        <v>1111030.6728286592</v>
      </c>
      <c r="O214" s="317">
        <f t="shared" si="13"/>
        <v>-19801.722853292245</v>
      </c>
      <c r="P214" s="319"/>
    </row>
    <row r="215" spans="1:16" s="154" customFormat="1" x14ac:dyDescent="0.25">
      <c r="A215" s="151">
        <f>'B) D RI'!A216</f>
        <v>5745</v>
      </c>
      <c r="B215" s="152" t="str">
        <f>'B) D RI'!B216</f>
        <v>Baulmes</v>
      </c>
      <c r="C215" s="315">
        <f>'B) D RI'!S216</f>
        <v>76.5</v>
      </c>
      <c r="D215" s="153">
        <f>'B) D RI'!AA216</f>
        <v>1074</v>
      </c>
      <c r="E215" s="313">
        <f>'D) Ecrêtage'!C214</f>
        <v>26827.589150326792</v>
      </c>
      <c r="F215" s="317">
        <f>'E) Fact soc'!G220</f>
        <v>468319.12510337506</v>
      </c>
      <c r="G215" s="314">
        <f>'H) Péréquation directe'!I225</f>
        <v>-220347.64361498569</v>
      </c>
      <c r="H215" s="317">
        <f>+'I) Dépenses thématiques'!T214</f>
        <v>-417947.77323529415</v>
      </c>
      <c r="I215" s="314">
        <f>'K) Plafonnement aide'!J214</f>
        <v>0</v>
      </c>
      <c r="J215" s="317">
        <f>'J) Plafonnement effort'!J214</f>
        <v>0</v>
      </c>
      <c r="K215" s="314">
        <f>'L) Plafonnement taux'!Q215</f>
        <v>0</v>
      </c>
      <c r="L215" s="312">
        <f t="shared" si="9"/>
        <v>-169976.29174690478</v>
      </c>
      <c r="M215" s="233">
        <f>'M) Police'!O215</f>
        <v>81604.123740888856</v>
      </c>
      <c r="N215" s="233">
        <f t="shared" si="12"/>
        <v>-88372.168006015927</v>
      </c>
      <c r="O215" s="317">
        <f t="shared" si="13"/>
        <v>-638295.41685027978</v>
      </c>
      <c r="P215" s="319"/>
    </row>
    <row r="216" spans="1:16" s="154" customFormat="1" x14ac:dyDescent="0.25">
      <c r="A216" s="151">
        <f>'B) D RI'!A217</f>
        <v>5746</v>
      </c>
      <c r="B216" s="152" t="str">
        <f>'B) D RI'!B217</f>
        <v>Bavois</v>
      </c>
      <c r="C216" s="315">
        <f>'B) D RI'!S217</f>
        <v>73</v>
      </c>
      <c r="D216" s="153">
        <f>'B) D RI'!AA217</f>
        <v>994</v>
      </c>
      <c r="E216" s="313">
        <f>'D) Ecrêtage'!C215</f>
        <v>30466.611141552505</v>
      </c>
      <c r="F216" s="317">
        <f>'E) Fact soc'!G221</f>
        <v>616652.67683811358</v>
      </c>
      <c r="G216" s="314">
        <f>'H) Péréquation directe'!I226</f>
        <v>88304.681709219469</v>
      </c>
      <c r="H216" s="317">
        <f>+'I) Dépenses thématiques'!T215</f>
        <v>-181810.12479452061</v>
      </c>
      <c r="I216" s="314">
        <f>'K) Plafonnement aide'!J215</f>
        <v>0</v>
      </c>
      <c r="J216" s="317">
        <f>'J) Plafonnement effort'!J215</f>
        <v>0</v>
      </c>
      <c r="K216" s="314">
        <f>'L) Plafonnement taux'!Q216</f>
        <v>0</v>
      </c>
      <c r="L216" s="312">
        <f t="shared" si="9"/>
        <v>523147.23375281243</v>
      </c>
      <c r="M216" s="233">
        <f>'M) Police'!O216</f>
        <v>91316.658457721191</v>
      </c>
      <c r="N216" s="233">
        <f t="shared" si="12"/>
        <v>614463.89221053361</v>
      </c>
      <c r="O216" s="317">
        <f t="shared" si="13"/>
        <v>-93505.443085301144</v>
      </c>
      <c r="P216" s="319"/>
    </row>
    <row r="217" spans="1:16" s="154" customFormat="1" x14ac:dyDescent="0.25">
      <c r="A217" s="151">
        <f>'B) D RI'!A218</f>
        <v>5747</v>
      </c>
      <c r="B217" s="152" t="str">
        <f>'B) D RI'!B218</f>
        <v>Bofflens</v>
      </c>
      <c r="C217" s="315">
        <f>'B) D RI'!S218</f>
        <v>69</v>
      </c>
      <c r="D217" s="153">
        <f>'B) D RI'!AA218</f>
        <v>206</v>
      </c>
      <c r="E217" s="313">
        <f>'D) Ecrêtage'!C216</f>
        <v>5608.7786956521741</v>
      </c>
      <c r="F217" s="317">
        <f>'E) Fact soc'!G222</f>
        <v>100160.36851583535</v>
      </c>
      <c r="G217" s="314">
        <f>'H) Péréquation directe'!I227</f>
        <v>-461.16010328104312</v>
      </c>
      <c r="H217" s="317">
        <f>+'I) Dépenses thématiques'!T216</f>
        <v>-24749.827826086956</v>
      </c>
      <c r="I217" s="314">
        <f>'K) Plafonnement aide'!J216</f>
        <v>0</v>
      </c>
      <c r="J217" s="317">
        <f>'J) Plafonnement effort'!J216</f>
        <v>0</v>
      </c>
      <c r="K217" s="314">
        <f>'L) Plafonnement taux'!Q217</f>
        <v>0</v>
      </c>
      <c r="L217" s="312">
        <f t="shared" si="9"/>
        <v>74949.380586467349</v>
      </c>
      <c r="M217" s="233">
        <f>'M) Police'!O217</f>
        <v>16876.206727063298</v>
      </c>
      <c r="N217" s="233">
        <f t="shared" si="12"/>
        <v>91825.587313530646</v>
      </c>
      <c r="O217" s="317">
        <f t="shared" si="13"/>
        <v>-25210.987929367999</v>
      </c>
      <c r="P217" s="319"/>
    </row>
    <row r="218" spans="1:16" s="154" customFormat="1" x14ac:dyDescent="0.25">
      <c r="A218" s="151">
        <f>'B) D RI'!A219</f>
        <v>5748</v>
      </c>
      <c r="B218" s="152" t="str">
        <f>'B) D RI'!B219</f>
        <v>Bretonnières</v>
      </c>
      <c r="C218" s="315">
        <f>'B) D RI'!S219</f>
        <v>70.5</v>
      </c>
      <c r="D218" s="153">
        <f>'B) D RI'!AA219</f>
        <v>268</v>
      </c>
      <c r="E218" s="313">
        <f>'D) Ecrêtage'!C217</f>
        <v>5789.9884160756492</v>
      </c>
      <c r="F218" s="317">
        <f>'E) Fact soc'!G223</f>
        <v>92620.248816850915</v>
      </c>
      <c r="G218" s="314">
        <f>'H) Péréquation directe'!I228</f>
        <v>-64237.781532688939</v>
      </c>
      <c r="H218" s="317">
        <f>+'I) Dépenses thématiques'!T217</f>
        <v>-50430.828191489367</v>
      </c>
      <c r="I218" s="314">
        <f>'K) Plafonnement aide'!J217</f>
        <v>0</v>
      </c>
      <c r="J218" s="317">
        <f>'J) Plafonnement effort'!J217</f>
        <v>0</v>
      </c>
      <c r="K218" s="314">
        <f>'L) Plafonnement taux'!Q218</f>
        <v>0</v>
      </c>
      <c r="L218" s="312">
        <f t="shared" si="9"/>
        <v>-22048.360907327391</v>
      </c>
      <c r="M218" s="233">
        <f>'M) Police'!O218</f>
        <v>17257.352320321661</v>
      </c>
      <c r="N218" s="233">
        <f t="shared" si="12"/>
        <v>-4791.0085870057301</v>
      </c>
      <c r="O218" s="317">
        <f t="shared" si="13"/>
        <v>-114668.6097241783</v>
      </c>
      <c r="P218" s="319"/>
    </row>
    <row r="219" spans="1:16" s="154" customFormat="1" x14ac:dyDescent="0.25">
      <c r="A219" s="151">
        <f>'B) D RI'!A220</f>
        <v>5749</v>
      </c>
      <c r="B219" s="152" t="str">
        <f>'B) D RI'!B220</f>
        <v>Chavornay</v>
      </c>
      <c r="C219" s="315">
        <f>'B) D RI'!S220</f>
        <v>70.5</v>
      </c>
      <c r="D219" s="153">
        <f>'B) D RI'!AA220</f>
        <v>5227</v>
      </c>
      <c r="E219" s="313">
        <f>'D) Ecrêtage'!C218</f>
        <v>140676.80723404256</v>
      </c>
      <c r="F219" s="317">
        <f>'E) Fact soc'!G224</f>
        <v>2487733.5405925326</v>
      </c>
      <c r="G219" s="314">
        <f>'H) Péréquation directe'!I229</f>
        <v>-1464997.5906404178</v>
      </c>
      <c r="H219" s="317">
        <f>+'I) Dépenses thématiques'!T218</f>
        <v>-621812.05117021268</v>
      </c>
      <c r="I219" s="314">
        <f>'K) Plafonnement aide'!J218</f>
        <v>0</v>
      </c>
      <c r="J219" s="317">
        <f>'J) Plafonnement effort'!J218</f>
        <v>0</v>
      </c>
      <c r="K219" s="314">
        <f>'L) Plafonnement taux'!Q219</f>
        <v>0</v>
      </c>
      <c r="L219" s="312">
        <f t="shared" ref="L219" si="14">F219+G219+H219+I219+J219+K219</f>
        <v>400923.89878190216</v>
      </c>
      <c r="M219" s="233">
        <f>'M) Police'!O219</f>
        <v>421559.99329534313</v>
      </c>
      <c r="N219" s="233">
        <f t="shared" ref="N219" si="15">L219+M219</f>
        <v>822483.89207724528</v>
      </c>
      <c r="O219" s="317">
        <f t="shared" si="13"/>
        <v>-2086809.6418106304</v>
      </c>
      <c r="P219" s="319"/>
    </row>
    <row r="220" spans="1:16" s="154" customFormat="1" x14ac:dyDescent="0.25">
      <c r="A220" s="151">
        <f>'B) D RI'!A221</f>
        <v>5750</v>
      </c>
      <c r="B220" s="152" t="str">
        <f>'B) D RI'!B221</f>
        <v>Les Clées</v>
      </c>
      <c r="C220" s="315">
        <f>'B) D RI'!S221</f>
        <v>80</v>
      </c>
      <c r="D220" s="153">
        <f>'B) D RI'!AA221</f>
        <v>187</v>
      </c>
      <c r="E220" s="313">
        <f>'D) Ecrêtage'!C219</f>
        <v>6037.9437500000004</v>
      </c>
      <c r="F220" s="317">
        <f>'E) Fact soc'!G225</f>
        <v>84458.480184872766</v>
      </c>
      <c r="G220" s="314">
        <f>'H) Péréquation directe'!I230</f>
        <v>16270.63758602507</v>
      </c>
      <c r="H220" s="317">
        <f>+'I) Dépenses thématiques'!T219</f>
        <v>-41526.379687499997</v>
      </c>
      <c r="I220" s="314">
        <f>'K) Plafonnement aide'!J219</f>
        <v>0</v>
      </c>
      <c r="J220" s="317">
        <f>'J) Plafonnement effort'!J219</f>
        <v>0</v>
      </c>
      <c r="K220" s="314">
        <f>'L) Plafonnement taux'!Q220</f>
        <v>0</v>
      </c>
      <c r="L220" s="312">
        <f t="shared" si="9"/>
        <v>59202.738083397839</v>
      </c>
      <c r="M220" s="233">
        <f>'M) Police'!O220</f>
        <v>18567.84317188109</v>
      </c>
      <c r="N220" s="233">
        <f t="shared" si="12"/>
        <v>77770.581255278928</v>
      </c>
      <c r="O220" s="317">
        <f t="shared" si="13"/>
        <v>-25255.742101474927</v>
      </c>
      <c r="P220" s="319"/>
    </row>
    <row r="221" spans="1:16" s="154" customFormat="1" x14ac:dyDescent="0.25">
      <c r="A221" s="151">
        <f>'B) D RI'!A222</f>
        <v>5752</v>
      </c>
      <c r="B221" s="152" t="str">
        <f>'B) D RI'!B222</f>
        <v>Croy</v>
      </c>
      <c r="C221" s="315">
        <f>'B) D RI'!S222</f>
        <v>74</v>
      </c>
      <c r="D221" s="153">
        <f>'B) D RI'!AA222</f>
        <v>397</v>
      </c>
      <c r="E221" s="313">
        <f>'D) Ecrêtage'!C220</f>
        <v>9416.7971235521236</v>
      </c>
      <c r="F221" s="317">
        <f>'E) Fact soc'!G226</f>
        <v>161349.69491089968</v>
      </c>
      <c r="G221" s="314">
        <f>'H) Péréquation directe'!I231</f>
        <v>-82011.718635465542</v>
      </c>
      <c r="H221" s="317">
        <f>+'I) Dépenses thématiques'!T220</f>
        <v>-532153.21725868725</v>
      </c>
      <c r="I221" s="314">
        <f>'K) Plafonnement aide'!J220</f>
        <v>0</v>
      </c>
      <c r="J221" s="317">
        <f>'J) Plafonnement effort'!J220</f>
        <v>0</v>
      </c>
      <c r="K221" s="314">
        <f>'L) Plafonnement taux'!Q221</f>
        <v>0</v>
      </c>
      <c r="L221" s="312">
        <f t="shared" ref="L221:L265" si="16">F221+G221+H221+I221+J221+K221</f>
        <v>-452815.24098325311</v>
      </c>
      <c r="M221" s="233">
        <f>'M) Police'!O221</f>
        <v>28235.414286526553</v>
      </c>
      <c r="N221" s="233">
        <f t="shared" si="12"/>
        <v>-424579.82669672655</v>
      </c>
      <c r="O221" s="317">
        <f t="shared" si="13"/>
        <v>-614164.93589415285</v>
      </c>
      <c r="P221" s="319"/>
    </row>
    <row r="222" spans="1:16" s="154" customFormat="1" x14ac:dyDescent="0.25">
      <c r="A222" s="151">
        <f>'B) D RI'!A223</f>
        <v>5754</v>
      </c>
      <c r="B222" s="152" t="str">
        <f>'B) D RI'!B223</f>
        <v>Juriens</v>
      </c>
      <c r="C222" s="315">
        <f>'B) D RI'!S223</f>
        <v>79</v>
      </c>
      <c r="D222" s="153">
        <f>'B) D RI'!AA223</f>
        <v>336</v>
      </c>
      <c r="E222" s="313">
        <f>'D) Ecrêtage'!C221</f>
        <v>8043.7859493670894</v>
      </c>
      <c r="F222" s="317">
        <f>'E) Fact soc'!G227</f>
        <v>120879.37434472695</v>
      </c>
      <c r="G222" s="314">
        <f>'H) Péréquation directe'!I232</f>
        <v>-91357.36294311707</v>
      </c>
      <c r="H222" s="317">
        <f>+'I) Dépenses thématiques'!T221</f>
        <v>-63260.944841772143</v>
      </c>
      <c r="I222" s="314">
        <f>'K) Plafonnement aide'!J221</f>
        <v>0</v>
      </c>
      <c r="J222" s="317">
        <f>'J) Plafonnement effort'!J221</f>
        <v>0</v>
      </c>
      <c r="K222" s="314">
        <f>'L) Plafonnement taux'!Q222</f>
        <v>0</v>
      </c>
      <c r="L222" s="312">
        <f t="shared" si="16"/>
        <v>-33738.933440162262</v>
      </c>
      <c r="M222" s="233">
        <f>'M) Police'!O222</f>
        <v>24435.614318041007</v>
      </c>
      <c r="N222" s="233">
        <f t="shared" si="12"/>
        <v>-9303.3191221212546</v>
      </c>
      <c r="O222" s="317">
        <f t="shared" si="13"/>
        <v>-154618.30778488921</v>
      </c>
      <c r="P222" s="319"/>
    </row>
    <row r="223" spans="1:16" s="154" customFormat="1" x14ac:dyDescent="0.25">
      <c r="A223" s="151">
        <f>'B) D RI'!A224</f>
        <v>5755</v>
      </c>
      <c r="B223" s="152" t="str">
        <f>'B) D RI'!B224</f>
        <v>Lignerolle</v>
      </c>
      <c r="C223" s="315">
        <f>'B) D RI'!S224</f>
        <v>78.5</v>
      </c>
      <c r="D223" s="153">
        <f>'B) D RI'!AA224</f>
        <v>435</v>
      </c>
      <c r="E223" s="313">
        <f>'D) Ecrêtage'!C222</f>
        <v>9055.2737033666963</v>
      </c>
      <c r="F223" s="317">
        <f>'E) Fact soc'!G228</f>
        <v>265175.7398544664</v>
      </c>
      <c r="G223" s="314">
        <f>'H) Péréquation directe'!I233</f>
        <v>-174568.4394176701</v>
      </c>
      <c r="H223" s="317">
        <f>+'I) Dépenses thématiques'!T222</f>
        <v>-522052.15250227484</v>
      </c>
      <c r="I223" s="314">
        <f>'K) Plafonnement aide'!J222</f>
        <v>0</v>
      </c>
      <c r="J223" s="317">
        <f>'J) Plafonnement effort'!J222</f>
        <v>0</v>
      </c>
      <c r="K223" s="314">
        <f>'L) Plafonnement taux'!Q223</f>
        <v>0</v>
      </c>
      <c r="L223" s="312">
        <f t="shared" si="16"/>
        <v>-431444.85206547857</v>
      </c>
      <c r="M223" s="233">
        <f>'M) Police'!O223</f>
        <v>27087.093103457686</v>
      </c>
      <c r="N223" s="233">
        <f t="shared" si="12"/>
        <v>-404357.75896202086</v>
      </c>
      <c r="O223" s="317">
        <f t="shared" si="13"/>
        <v>-696620.59191994497</v>
      </c>
      <c r="P223" s="319"/>
    </row>
    <row r="224" spans="1:16" s="154" customFormat="1" x14ac:dyDescent="0.25">
      <c r="A224" s="151">
        <f>'B) D RI'!A225</f>
        <v>5756</v>
      </c>
      <c r="B224" s="152" t="str">
        <f>'B) D RI'!B225</f>
        <v>Montcherand</v>
      </c>
      <c r="C224" s="315">
        <f>'B) D RI'!S225</f>
        <v>72</v>
      </c>
      <c r="D224" s="153">
        <f>'B) D RI'!AA225</f>
        <v>506</v>
      </c>
      <c r="E224" s="313">
        <f>'D) Ecrêtage'!C223</f>
        <v>15758.308611111112</v>
      </c>
      <c r="F224" s="317">
        <f>'E) Fact soc'!G229</f>
        <v>267238.51405768143</v>
      </c>
      <c r="G224" s="314">
        <f>'H) Péréquation directe'!I234</f>
        <v>60065.382161013433</v>
      </c>
      <c r="H224" s="317">
        <f>+'I) Dépenses thématiques'!T223</f>
        <v>-73407.398333333331</v>
      </c>
      <c r="I224" s="314">
        <f>'K) Plafonnement aide'!J223</f>
        <v>0</v>
      </c>
      <c r="J224" s="317">
        <f>'J) Plafonnement effort'!J223</f>
        <v>0</v>
      </c>
      <c r="K224" s="314">
        <f>'L) Plafonnement taux'!Q224</f>
        <v>0</v>
      </c>
      <c r="L224" s="312">
        <f t="shared" si="16"/>
        <v>253896.49788536155</v>
      </c>
      <c r="M224" s="233">
        <f>'M) Police'!O224</f>
        <v>18510.5103793489</v>
      </c>
      <c r="N224" s="233">
        <f t="shared" si="12"/>
        <v>272407.00826471043</v>
      </c>
      <c r="O224" s="317">
        <f t="shared" si="13"/>
        <v>-13342.016172319898</v>
      </c>
      <c r="P224" s="319"/>
    </row>
    <row r="225" spans="1:16" s="154" customFormat="1" x14ac:dyDescent="0.25">
      <c r="A225" s="151">
        <f>'B) D RI'!A226</f>
        <v>5757</v>
      </c>
      <c r="B225" s="152" t="str">
        <f>'B) D RI'!B226</f>
        <v>Orbe</v>
      </c>
      <c r="C225" s="315">
        <f>'B) D RI'!S226</f>
        <v>75.5</v>
      </c>
      <c r="D225" s="153">
        <f>'B) D RI'!AA226</f>
        <v>7124</v>
      </c>
      <c r="E225" s="313">
        <f>'D) Ecrêtage'!C224</f>
        <v>203783.43483443707</v>
      </c>
      <c r="F225" s="317">
        <f>'E) Fact soc'!G230</f>
        <v>4230593.9084623726</v>
      </c>
      <c r="G225" s="314">
        <f>'H) Péréquation directe'!I235</f>
        <v>-2356600.5827753269</v>
      </c>
      <c r="H225" s="317">
        <f>+'I) Dépenses thématiques'!T224</f>
        <v>-1968118.8909933774</v>
      </c>
      <c r="I225" s="314">
        <f>'K) Plafonnement aide'!J224</f>
        <v>0</v>
      </c>
      <c r="J225" s="317">
        <f>'J) Plafonnement effort'!J224</f>
        <v>0</v>
      </c>
      <c r="K225" s="314">
        <f>'L) Plafonnement taux'!Q225</f>
        <v>0</v>
      </c>
      <c r="L225" s="312">
        <f t="shared" si="16"/>
        <v>-94125.56530633173</v>
      </c>
      <c r="M225" s="233">
        <f>'M) Police'!O225</f>
        <v>239374.38203123538</v>
      </c>
      <c r="N225" s="233">
        <f t="shared" si="12"/>
        <v>145248.81672490365</v>
      </c>
      <c r="O225" s="317">
        <f t="shared" si="13"/>
        <v>-4324719.4737687046</v>
      </c>
      <c r="P225" s="319"/>
    </row>
    <row r="226" spans="1:16" s="154" customFormat="1" x14ac:dyDescent="0.25">
      <c r="A226" s="151">
        <f>'B) D RI'!A227</f>
        <v>5758</v>
      </c>
      <c r="B226" s="152" t="str">
        <f>'B) D RI'!B227</f>
        <v>La Praz</v>
      </c>
      <c r="C226" s="315">
        <f>'B) D RI'!S227</f>
        <v>83</v>
      </c>
      <c r="D226" s="153">
        <f>'B) D RI'!AA227</f>
        <v>175</v>
      </c>
      <c r="E226" s="313">
        <f>'D) Ecrêtage'!C225</f>
        <v>4313.3939759036139</v>
      </c>
      <c r="F226" s="317">
        <f>'E) Fact soc'!G231</f>
        <v>70670.02289921882</v>
      </c>
      <c r="G226" s="314">
        <f>'H) Péréquation directe'!I236</f>
        <v>-52805.633630506927</v>
      </c>
      <c r="H226" s="317">
        <f>+'I) Dépenses thématiques'!T225</f>
        <v>-10545.340662650606</v>
      </c>
      <c r="I226" s="314">
        <f>'K) Plafonnement aide'!J225</f>
        <v>0</v>
      </c>
      <c r="J226" s="317">
        <f>'J) Plafonnement effort'!J225</f>
        <v>0</v>
      </c>
      <c r="K226" s="314">
        <f>'L) Plafonnement taux'!Q226</f>
        <v>0</v>
      </c>
      <c r="L226" s="312">
        <f t="shared" si="16"/>
        <v>7319.0486060612875</v>
      </c>
      <c r="M226" s="233">
        <f>'M) Police'!O226</f>
        <v>12992.447501173414</v>
      </c>
      <c r="N226" s="233">
        <f t="shared" si="12"/>
        <v>20311.4961072347</v>
      </c>
      <c r="O226" s="317">
        <f t="shared" si="13"/>
        <v>-63350.974293157531</v>
      </c>
      <c r="P226" s="319"/>
    </row>
    <row r="227" spans="1:16" s="154" customFormat="1" x14ac:dyDescent="0.25">
      <c r="A227" s="151">
        <f>'B) D RI'!A228</f>
        <v>5759</v>
      </c>
      <c r="B227" s="152" t="str">
        <f>'B) D RI'!B228</f>
        <v>Premier</v>
      </c>
      <c r="C227" s="315">
        <f>'B) D RI'!S228</f>
        <v>79.5</v>
      </c>
      <c r="D227" s="153">
        <f>'B) D RI'!AA228</f>
        <v>218</v>
      </c>
      <c r="E227" s="313">
        <f>'D) Ecrêtage'!C226</f>
        <v>5307.4840251572332</v>
      </c>
      <c r="F227" s="317">
        <f>'E) Fact soc'!G232</f>
        <v>92241.779467405417</v>
      </c>
      <c r="G227" s="314">
        <f>'H) Péréquation directe'!I237</f>
        <v>-57008.438547982281</v>
      </c>
      <c r="H227" s="317">
        <f>+'I) Dépenses thématiques'!T226</f>
        <v>-55790.732830188674</v>
      </c>
      <c r="I227" s="314">
        <f>'K) Plafonnement aide'!J226</f>
        <v>0</v>
      </c>
      <c r="J227" s="317">
        <f>'J) Plafonnement effort'!J226</f>
        <v>0</v>
      </c>
      <c r="K227" s="314">
        <f>'L) Plafonnement taux'!Q227</f>
        <v>0</v>
      </c>
      <c r="L227" s="312">
        <f t="shared" si="16"/>
        <v>-20557.391910765538</v>
      </c>
      <c r="M227" s="233">
        <f>'M) Police'!O227</f>
        <v>16075.480294072899</v>
      </c>
      <c r="N227" s="233">
        <f t="shared" si="12"/>
        <v>-4481.9116166926397</v>
      </c>
      <c r="O227" s="317">
        <f t="shared" si="13"/>
        <v>-112799.17137817095</v>
      </c>
      <c r="P227" s="319"/>
    </row>
    <row r="228" spans="1:16" s="154" customFormat="1" x14ac:dyDescent="0.25">
      <c r="A228" s="151">
        <f>'B) D RI'!A229</f>
        <v>5760</v>
      </c>
      <c r="B228" s="152" t="str">
        <f>'B) D RI'!B229</f>
        <v>Rances</v>
      </c>
      <c r="C228" s="315">
        <f>'B) D RI'!S229</f>
        <v>76.5</v>
      </c>
      <c r="D228" s="153">
        <f>'B) D RI'!AA229</f>
        <v>513</v>
      </c>
      <c r="E228" s="313">
        <f>'D) Ecrêtage'!C227</f>
        <v>12826.018997821348</v>
      </c>
      <c r="F228" s="317">
        <f>'E) Fact soc'!G233</f>
        <v>227755.46846837425</v>
      </c>
      <c r="G228" s="314">
        <f>'H) Péréquation directe'!I238</f>
        <v>-96860.989979886217</v>
      </c>
      <c r="H228" s="317">
        <f>+'I) Dépenses thématiques'!T227</f>
        <v>-153613.37176470592</v>
      </c>
      <c r="I228" s="314">
        <f>'K) Plafonnement aide'!J227</f>
        <v>0</v>
      </c>
      <c r="J228" s="317">
        <f>'J) Plafonnement effort'!J227</f>
        <v>0</v>
      </c>
      <c r="K228" s="314">
        <f>'L) Plafonnement taux'!Q228</f>
        <v>0</v>
      </c>
      <c r="L228" s="312">
        <f t="shared" si="16"/>
        <v>-22718.893276217888</v>
      </c>
      <c r="M228" s="233">
        <f>'M) Police'!O228</f>
        <v>38744.452627377592</v>
      </c>
      <c r="N228" s="233">
        <f t="shared" si="12"/>
        <v>16025.559351159704</v>
      </c>
      <c r="O228" s="317">
        <f t="shared" si="13"/>
        <v>-250474.36174459214</v>
      </c>
      <c r="P228" s="319"/>
    </row>
    <row r="229" spans="1:16" s="154" customFormat="1" x14ac:dyDescent="0.25">
      <c r="A229" s="151">
        <f>'B) D RI'!A230</f>
        <v>5761</v>
      </c>
      <c r="B229" s="152" t="str">
        <f>'B) D RI'!B230</f>
        <v>Romainmôtier-Envy</v>
      </c>
      <c r="C229" s="315">
        <f>'B) D RI'!S230</f>
        <v>81</v>
      </c>
      <c r="D229" s="153">
        <f>'B) D RI'!AA230</f>
        <v>525</v>
      </c>
      <c r="E229" s="313">
        <f>'D) Ecrêtage'!C228</f>
        <v>12135.004377104378</v>
      </c>
      <c r="F229" s="317">
        <f>'E) Fact soc'!G234</f>
        <v>250006.30959882331</v>
      </c>
      <c r="G229" s="314">
        <f>'H) Péréquation directe'!I239</f>
        <v>-178791.75091027084</v>
      </c>
      <c r="H229" s="317">
        <f>+'I) Dépenses thématiques'!T228</f>
        <v>-199483.47373737372</v>
      </c>
      <c r="I229" s="314">
        <f>'K) Plafonnement aide'!J228</f>
        <v>0</v>
      </c>
      <c r="J229" s="317">
        <f>'J) Plafonnement effort'!J228</f>
        <v>0</v>
      </c>
      <c r="K229" s="314">
        <f>'L) Plafonnement taux'!Q229</f>
        <v>0</v>
      </c>
      <c r="L229" s="312">
        <f t="shared" si="16"/>
        <v>-128268.91504882125</v>
      </c>
      <c r="M229" s="233">
        <f>'M) Police'!O229</f>
        <v>36377.710316807759</v>
      </c>
      <c r="N229" s="233">
        <f t="shared" si="12"/>
        <v>-91891.204732013488</v>
      </c>
      <c r="O229" s="317">
        <f t="shared" si="13"/>
        <v>-378275.22464764456</v>
      </c>
      <c r="P229" s="319"/>
    </row>
    <row r="230" spans="1:16" s="154" customFormat="1" x14ac:dyDescent="0.25">
      <c r="A230" s="151">
        <f>'B) D RI'!A231</f>
        <v>5762</v>
      </c>
      <c r="B230" s="152" t="str">
        <f>'B) D RI'!B231</f>
        <v>Sergey</v>
      </c>
      <c r="C230" s="315">
        <f>'B) D RI'!S231</f>
        <v>78</v>
      </c>
      <c r="D230" s="153">
        <f>'B) D RI'!AA231</f>
        <v>145</v>
      </c>
      <c r="E230" s="313">
        <f>'D) Ecrêtage'!C229</f>
        <v>3773.0282051282052</v>
      </c>
      <c r="F230" s="317">
        <f>'E) Fact soc'!G235</f>
        <v>50974.901517918064</v>
      </c>
      <c r="G230" s="314">
        <f>'H) Péréquation directe'!I240</f>
        <v>-24063.750296848099</v>
      </c>
      <c r="H230" s="317">
        <f>+'I) Dépenses thématiques'!T229</f>
        <v>-26964.559615384613</v>
      </c>
      <c r="I230" s="314">
        <f>'K) Plafonnement aide'!J229</f>
        <v>0</v>
      </c>
      <c r="J230" s="317">
        <f>'J) Plafonnement effort'!J229</f>
        <v>0</v>
      </c>
      <c r="K230" s="314">
        <f>'L) Plafonnement taux'!Q230</f>
        <v>0</v>
      </c>
      <c r="L230" s="312">
        <f t="shared" si="16"/>
        <v>-53.408394314647012</v>
      </c>
      <c r="M230" s="233">
        <f>'M) Police'!O230</f>
        <v>11450.057400961428</v>
      </c>
      <c r="N230" s="233">
        <f t="shared" si="12"/>
        <v>11396.649006646781</v>
      </c>
      <c r="O230" s="317">
        <f t="shared" si="13"/>
        <v>-51028.309912232711</v>
      </c>
      <c r="P230" s="319"/>
    </row>
    <row r="231" spans="1:16" s="154" customFormat="1" x14ac:dyDescent="0.25">
      <c r="A231" s="151">
        <f>'B) D RI'!A232</f>
        <v>5763</v>
      </c>
      <c r="B231" s="152" t="str">
        <f>'B) D RI'!B232</f>
        <v>Valeyres-sous-Rances</v>
      </c>
      <c r="C231" s="315">
        <f>'B) D RI'!S232</f>
        <v>68</v>
      </c>
      <c r="D231" s="153">
        <f>'B) D RI'!AA232</f>
        <v>609</v>
      </c>
      <c r="E231" s="313">
        <f>'D) Ecrêtage'!C230</f>
        <v>20456.385294117645</v>
      </c>
      <c r="F231" s="317">
        <f>'E) Fact soc'!G236</f>
        <v>303678.99190062348</v>
      </c>
      <c r="G231" s="314">
        <f>'H) Péréquation directe'!I241</f>
        <v>151798.82547565878</v>
      </c>
      <c r="H231" s="317">
        <f>+'I) Dépenses thématiques'!T230</f>
        <v>-115444.89926470589</v>
      </c>
      <c r="I231" s="314">
        <f>'K) Plafonnement aide'!J230</f>
        <v>0</v>
      </c>
      <c r="J231" s="317">
        <f>'J) Plafonnement effort'!J230</f>
        <v>0</v>
      </c>
      <c r="K231" s="314">
        <f>'L) Plafonnement taux'!Q231</f>
        <v>0</v>
      </c>
      <c r="L231" s="312">
        <f t="shared" si="16"/>
        <v>340032.91811157641</v>
      </c>
      <c r="M231" s="233">
        <f>'M) Police'!O231</f>
        <v>62210.668904781065</v>
      </c>
      <c r="N231" s="233">
        <f t="shared" si="12"/>
        <v>402243.58701635746</v>
      </c>
      <c r="O231" s="317">
        <f t="shared" si="13"/>
        <v>36353.926210952894</v>
      </c>
      <c r="P231" s="319"/>
    </row>
    <row r="232" spans="1:16" s="154" customFormat="1" x14ac:dyDescent="0.25">
      <c r="A232" s="151">
        <f>'B) D RI'!A233</f>
        <v>5764</v>
      </c>
      <c r="B232" s="152" t="str">
        <f>'B) D RI'!B233</f>
        <v>Vallorbe</v>
      </c>
      <c r="C232" s="315">
        <f>'B) D RI'!S233</f>
        <v>71.5</v>
      </c>
      <c r="D232" s="153">
        <f>'B) D RI'!AA233</f>
        <v>3874</v>
      </c>
      <c r="E232" s="313">
        <f>'D) Ecrêtage'!C231</f>
        <v>84310.704615384602</v>
      </c>
      <c r="F232" s="317">
        <f>'E) Fact soc'!G237</f>
        <v>2010847.2256480502</v>
      </c>
      <c r="G232" s="314">
        <f>'H) Péréquation directe'!I242</f>
        <v>-1734287.397714451</v>
      </c>
      <c r="H232" s="317">
        <f>+'I) Dépenses thématiques'!T231</f>
        <v>-2022034.9938461538</v>
      </c>
      <c r="I232" s="314">
        <f>'K) Plafonnement aide'!J231</f>
        <v>0</v>
      </c>
      <c r="J232" s="317">
        <f>'J) Plafonnement effort'!J231</f>
        <v>0</v>
      </c>
      <c r="K232" s="314">
        <f>'L) Plafonnement taux'!Q232</f>
        <v>0</v>
      </c>
      <c r="L232" s="312">
        <f t="shared" si="16"/>
        <v>-1745475.1659125546</v>
      </c>
      <c r="M232" s="233">
        <f>'M) Police'!O232</f>
        <v>253547.19292210531</v>
      </c>
      <c r="N232" s="233">
        <f t="shared" si="12"/>
        <v>-1491927.9729904493</v>
      </c>
      <c r="O232" s="317">
        <f t="shared" si="13"/>
        <v>-3756322.3915606048</v>
      </c>
      <c r="P232" s="319"/>
    </row>
    <row r="233" spans="1:16" s="154" customFormat="1" x14ac:dyDescent="0.25">
      <c r="A233" s="151">
        <f>'B) D RI'!A234</f>
        <v>5765</v>
      </c>
      <c r="B233" s="152" t="str">
        <f>'B) D RI'!B234</f>
        <v>Vaulion</v>
      </c>
      <c r="C233" s="315">
        <f>'B) D RI'!S234</f>
        <v>81</v>
      </c>
      <c r="D233" s="153">
        <f>'B) D RI'!AA234</f>
        <v>506</v>
      </c>
      <c r="E233" s="313">
        <f>'D) Ecrêtage'!C232</f>
        <v>11314.597037037036</v>
      </c>
      <c r="F233" s="317">
        <f>'E) Fact soc'!G238</f>
        <v>218022.75083541835</v>
      </c>
      <c r="G233" s="314">
        <f>'H) Péréquation directe'!I243</f>
        <v>-189662.49119344281</v>
      </c>
      <c r="H233" s="317">
        <f>+'I) Dépenses thématiques'!T232</f>
        <v>-155058.47000000003</v>
      </c>
      <c r="I233" s="314">
        <f>'K) Plafonnement aide'!J232</f>
        <v>0</v>
      </c>
      <c r="J233" s="317">
        <f>'J) Plafonnement effort'!J232</f>
        <v>0</v>
      </c>
      <c r="K233" s="314">
        <f>'L) Plafonnement taux'!Q233</f>
        <v>0</v>
      </c>
      <c r="L233" s="312">
        <f t="shared" si="16"/>
        <v>-126698.21035802449</v>
      </c>
      <c r="M233" s="233">
        <f>'M) Police'!O233</f>
        <v>34317.460371400841</v>
      </c>
      <c r="N233" s="233">
        <f t="shared" si="12"/>
        <v>-92380.749986623647</v>
      </c>
      <c r="O233" s="317">
        <f t="shared" si="13"/>
        <v>-344720.96119344281</v>
      </c>
      <c r="P233" s="319"/>
    </row>
    <row r="234" spans="1:16" s="154" customFormat="1" x14ac:dyDescent="0.25">
      <c r="A234" s="151">
        <f>'B) D RI'!A235</f>
        <v>5766</v>
      </c>
      <c r="B234" s="152" t="str">
        <f>'B) D RI'!B235</f>
        <v>Vuiteboeuf</v>
      </c>
      <c r="C234" s="315">
        <f>'B) D RI'!S235</f>
        <v>77</v>
      </c>
      <c r="D234" s="153">
        <f>'B) D RI'!AA235</f>
        <v>584</v>
      </c>
      <c r="E234" s="313">
        <f>'D) Ecrêtage'!C233</f>
        <v>15993.559610389608</v>
      </c>
      <c r="F234" s="317">
        <f>'E) Fact soc'!G239</f>
        <v>244222.18551944895</v>
      </c>
      <c r="G234" s="314">
        <f>'H) Péréquation directe'!I244</f>
        <v>-54627.244476666965</v>
      </c>
      <c r="H234" s="317">
        <f>+'I) Dépenses thématiques'!T233</f>
        <v>-113200.89233766234</v>
      </c>
      <c r="I234" s="314">
        <f>'K) Plafonnement aide'!J233</f>
        <v>0</v>
      </c>
      <c r="J234" s="317">
        <f>'J) Plafonnement effort'!J233</f>
        <v>0</v>
      </c>
      <c r="K234" s="314">
        <f>'L) Plafonnement taux'!Q234</f>
        <v>0</v>
      </c>
      <c r="L234" s="312">
        <f t="shared" si="16"/>
        <v>76394.04870511964</v>
      </c>
      <c r="M234" s="233">
        <f>'M) Police'!O234</f>
        <v>48725.23621420002</v>
      </c>
      <c r="N234" s="233">
        <f t="shared" si="12"/>
        <v>125119.28491931966</v>
      </c>
      <c r="O234" s="317">
        <f t="shared" si="13"/>
        <v>-167828.13681432931</v>
      </c>
      <c r="P234" s="319"/>
    </row>
    <row r="235" spans="1:16" s="154" customFormat="1" x14ac:dyDescent="0.25">
      <c r="A235" s="151">
        <f>'B) D RI'!A236</f>
        <v>5785</v>
      </c>
      <c r="B235" s="152" t="str">
        <f>'B) D RI'!B236</f>
        <v>Corcelles-le-Jorat</v>
      </c>
      <c r="C235" s="315">
        <f>'B) D RI'!S236</f>
        <v>77</v>
      </c>
      <c r="D235" s="153">
        <f>'B) D RI'!AA236</f>
        <v>451</v>
      </c>
      <c r="E235" s="313">
        <f>'D) Ecrêtage'!C234</f>
        <v>17506.662467532471</v>
      </c>
      <c r="F235" s="317">
        <f>'E) Fact soc'!G240</f>
        <v>302918.69763711595</v>
      </c>
      <c r="G235" s="314">
        <f>'H) Péréquation directe'!I245</f>
        <v>179248.59361676784</v>
      </c>
      <c r="H235" s="317">
        <f>+'I) Dépenses thématiques'!T234</f>
        <v>-64934.27834415582</v>
      </c>
      <c r="I235" s="314">
        <f>'K) Plafonnement aide'!J234</f>
        <v>0</v>
      </c>
      <c r="J235" s="317">
        <f>'J) Plafonnement effort'!J234</f>
        <v>0</v>
      </c>
      <c r="K235" s="314">
        <f>'L) Plafonnement taux'!Q235</f>
        <v>0</v>
      </c>
      <c r="L235" s="312">
        <f t="shared" si="16"/>
        <v>417233.01290972799</v>
      </c>
      <c r="M235" s="233">
        <f>'M) Police'!O235</f>
        <v>53617.16790569562</v>
      </c>
      <c r="N235" s="233">
        <f t="shared" si="12"/>
        <v>470850.18081542361</v>
      </c>
      <c r="O235" s="317">
        <f t="shared" si="13"/>
        <v>114314.31527261203</v>
      </c>
      <c r="P235" s="319"/>
    </row>
    <row r="236" spans="1:16" s="154" customFormat="1" x14ac:dyDescent="0.25">
      <c r="A236" s="151">
        <f>'B) D RI'!A237</f>
        <v>5788</v>
      </c>
      <c r="B236" s="152" t="str">
        <f>'B) D RI'!B237</f>
        <v>Essertes</v>
      </c>
      <c r="C236" s="315">
        <f>'B) D RI'!S237</f>
        <v>71.5</v>
      </c>
      <c r="D236" s="153">
        <f>'B) D RI'!AA237</f>
        <v>389</v>
      </c>
      <c r="E236" s="313">
        <f>'D) Ecrêtage'!C235</f>
        <v>16224.893706293702</v>
      </c>
      <c r="F236" s="317">
        <f>'E) Fact soc'!G241</f>
        <v>255940.21827695286</v>
      </c>
      <c r="G236" s="314">
        <f>'H) Péréquation directe'!I246</f>
        <v>211158.14328060433</v>
      </c>
      <c r="H236" s="317">
        <f>+'I) Dépenses thématiques'!T235</f>
        <v>-6064.3877622377877</v>
      </c>
      <c r="I236" s="314">
        <f>'K) Plafonnement aide'!J235</f>
        <v>0</v>
      </c>
      <c r="J236" s="317">
        <f>'J) Plafonnement effort'!J235</f>
        <v>0</v>
      </c>
      <c r="K236" s="314">
        <f>'L) Plafonnement taux'!Q236</f>
        <v>0</v>
      </c>
      <c r="L236" s="312">
        <f t="shared" si="16"/>
        <v>461033.97379531938</v>
      </c>
      <c r="M236" s="233">
        <f>'M) Police'!O236</f>
        <v>49444.626349934311</v>
      </c>
      <c r="N236" s="233">
        <f t="shared" si="12"/>
        <v>510478.6001452537</v>
      </c>
      <c r="O236" s="317">
        <f t="shared" si="13"/>
        <v>205093.75551836655</v>
      </c>
      <c r="P236" s="319"/>
    </row>
    <row r="237" spans="1:16" s="154" customFormat="1" x14ac:dyDescent="0.25">
      <c r="A237" s="151">
        <f>'B) D RI'!A238</f>
        <v>5790</v>
      </c>
      <c r="B237" s="152" t="str">
        <f>'B) D RI'!B238</f>
        <v>Maracon</v>
      </c>
      <c r="C237" s="315">
        <f>'B) D RI'!S238</f>
        <v>74.5</v>
      </c>
      <c r="D237" s="153">
        <f>'B) D RI'!AA238</f>
        <v>538</v>
      </c>
      <c r="E237" s="313">
        <f>'D) Ecrêtage'!C236</f>
        <v>13398.084966442953</v>
      </c>
      <c r="F237" s="317">
        <f>'E) Fact soc'!G242</f>
        <v>211694.3803648093</v>
      </c>
      <c r="G237" s="314">
        <f>'H) Péréquation directe'!I247</f>
        <v>-88674.620608195924</v>
      </c>
      <c r="H237" s="317">
        <f>+'I) Dépenses thématiques'!T236</f>
        <v>-58989.240201342283</v>
      </c>
      <c r="I237" s="314">
        <f>'K) Plafonnement aide'!J236</f>
        <v>0</v>
      </c>
      <c r="J237" s="317">
        <f>'J) Plafonnement effort'!J236</f>
        <v>0</v>
      </c>
      <c r="K237" s="314">
        <f>'L) Plafonnement taux'!Q237</f>
        <v>0</v>
      </c>
      <c r="L237" s="312">
        <f t="shared" si="16"/>
        <v>64030.519555271094</v>
      </c>
      <c r="M237" s="233">
        <f>'M) Police'!O237</f>
        <v>40017.187944297999</v>
      </c>
      <c r="N237" s="233">
        <f t="shared" si="12"/>
        <v>104047.70749956909</v>
      </c>
      <c r="O237" s="317">
        <f t="shared" si="13"/>
        <v>-147663.86080953822</v>
      </c>
      <c r="P237" s="319"/>
    </row>
    <row r="238" spans="1:16" s="154" customFormat="1" x14ac:dyDescent="0.25">
      <c r="A238" s="151">
        <f>'B) D RI'!A239</f>
        <v>5792</v>
      </c>
      <c r="B238" s="152" t="str">
        <f>'B) D RI'!B239</f>
        <v>Montpreveyres</v>
      </c>
      <c r="C238" s="315">
        <f>'B) D RI'!S239</f>
        <v>75</v>
      </c>
      <c r="D238" s="153">
        <f>'B) D RI'!AA239</f>
        <v>653</v>
      </c>
      <c r="E238" s="313">
        <f>'D) Ecrêtage'!C237</f>
        <v>17609.230799999998</v>
      </c>
      <c r="F238" s="317">
        <f>'E) Fact soc'!G243</f>
        <v>293880.10088959552</v>
      </c>
      <c r="G238" s="314">
        <f>'H) Péréquation directe'!I248</f>
        <v>-55962.628652593703</v>
      </c>
      <c r="H238" s="317">
        <f>+'I) Dépenses thématiques'!T237</f>
        <v>-176515.6152</v>
      </c>
      <c r="I238" s="314">
        <f>'K) Plafonnement aide'!J237</f>
        <v>0</v>
      </c>
      <c r="J238" s="317">
        <f>'J) Plafonnement effort'!J237</f>
        <v>0</v>
      </c>
      <c r="K238" s="314">
        <f>'L) Plafonnement taux'!Q238</f>
        <v>0</v>
      </c>
      <c r="L238" s="312">
        <f t="shared" si="16"/>
        <v>61401.857037001813</v>
      </c>
      <c r="M238" s="233">
        <f>'M) Police'!O238</f>
        <v>52792.108608686656</v>
      </c>
      <c r="N238" s="233">
        <f t="shared" si="12"/>
        <v>114193.96564568847</v>
      </c>
      <c r="O238" s="317">
        <f t="shared" si="13"/>
        <v>-232478.2438525937</v>
      </c>
      <c r="P238" s="319"/>
    </row>
    <row r="239" spans="1:16" s="154" customFormat="1" x14ac:dyDescent="0.25">
      <c r="A239" s="151">
        <f>'B) D RI'!A240</f>
        <v>5798</v>
      </c>
      <c r="B239" s="152" t="str">
        <f>'B) D RI'!B240</f>
        <v>Ropraz</v>
      </c>
      <c r="C239" s="315">
        <f>'B) D RI'!S240</f>
        <v>77.5</v>
      </c>
      <c r="D239" s="153">
        <f>'B) D RI'!AA240</f>
        <v>528</v>
      </c>
      <c r="E239" s="313">
        <f>'D) Ecrêtage'!C238</f>
        <v>15760.164903225806</v>
      </c>
      <c r="F239" s="317">
        <f>'E) Fact soc'!G244</f>
        <v>253966.01819904763</v>
      </c>
      <c r="G239" s="314">
        <f>'H) Péréquation directe'!I249</f>
        <v>3459.9108877165127</v>
      </c>
      <c r="H239" s="317">
        <f>+'I) Dépenses thématiques'!T238</f>
        <v>-57215.760580645161</v>
      </c>
      <c r="I239" s="314">
        <f>'K) Plafonnement aide'!J238</f>
        <v>0</v>
      </c>
      <c r="J239" s="317">
        <f>'J) Plafonnement effort'!J238</f>
        <v>0</v>
      </c>
      <c r="K239" s="314">
        <f>'L) Plafonnement taux'!Q239</f>
        <v>0</v>
      </c>
      <c r="L239" s="312">
        <f t="shared" si="16"/>
        <v>200210.16850611899</v>
      </c>
      <c r="M239" s="233">
        <f>'M) Police'!O239</f>
        <v>47793.651648626284</v>
      </c>
      <c r="N239" s="233">
        <f t="shared" si="12"/>
        <v>248003.82015474528</v>
      </c>
      <c r="O239" s="317">
        <f t="shared" si="13"/>
        <v>-53755.849692928648</v>
      </c>
      <c r="P239" s="319"/>
    </row>
    <row r="240" spans="1:16" s="154" customFormat="1" x14ac:dyDescent="0.25">
      <c r="A240" s="151">
        <f>'B) D RI'!A241</f>
        <v>5799</v>
      </c>
      <c r="B240" s="152" t="str">
        <f>'B) D RI'!B241</f>
        <v>Servion</v>
      </c>
      <c r="C240" s="315">
        <f>'B) D RI'!S241</f>
        <v>69</v>
      </c>
      <c r="D240" s="153">
        <f>'B) D RI'!AA241</f>
        <v>2076</v>
      </c>
      <c r="E240" s="313">
        <f>'D) Ecrêtage'!C239</f>
        <v>69387.22289855071</v>
      </c>
      <c r="F240" s="317">
        <f>'E) Fact soc'!G245</f>
        <v>1232637.2184629845</v>
      </c>
      <c r="G240" s="314">
        <f>'H) Péréquation directe'!I250</f>
        <v>247439.52333954559</v>
      </c>
      <c r="H240" s="317">
        <f>+'I) Dépenses thématiques'!T239</f>
        <v>-329003.41260869574</v>
      </c>
      <c r="I240" s="314">
        <f>'K) Plafonnement aide'!J239</f>
        <v>0</v>
      </c>
      <c r="J240" s="317">
        <f>'J) Plafonnement effort'!J239</f>
        <v>0</v>
      </c>
      <c r="K240" s="314">
        <f>'L) Plafonnement taux'!Q240</f>
        <v>0</v>
      </c>
      <c r="L240" s="312">
        <f t="shared" si="16"/>
        <v>1151073.3291938344</v>
      </c>
      <c r="M240" s="233">
        <f>'M) Police'!O240</f>
        <v>208225.70661145225</v>
      </c>
      <c r="N240" s="233">
        <f t="shared" si="12"/>
        <v>1359299.0358052866</v>
      </c>
      <c r="O240" s="317">
        <f t="shared" si="13"/>
        <v>-81563.889269150153</v>
      </c>
      <c r="P240" s="319"/>
    </row>
    <row r="241" spans="1:16" s="154" customFormat="1" x14ac:dyDescent="0.25">
      <c r="A241" s="151">
        <f>'B) D RI'!A242</f>
        <v>5803</v>
      </c>
      <c r="B241" s="152" t="str">
        <f>'B) D RI'!B242</f>
        <v>Vulliens</v>
      </c>
      <c r="C241" s="315">
        <f>'B) D RI'!S242</f>
        <v>76</v>
      </c>
      <c r="D241" s="153">
        <f>'B) D RI'!AA242</f>
        <v>624</v>
      </c>
      <c r="E241" s="313">
        <f>'D) Ecrêtage'!C240</f>
        <v>18875.933421052636</v>
      </c>
      <c r="F241" s="317">
        <f>'E) Fact soc'!G246</f>
        <v>287244.66154286067</v>
      </c>
      <c r="G241" s="314">
        <f>'H) Péréquation directe'!I251</f>
        <v>25246.016978116124</v>
      </c>
      <c r="H241" s="317">
        <f>+'I) Dépenses thématiques'!T240</f>
        <v>-82020.449407894717</v>
      </c>
      <c r="I241" s="314">
        <f>'K) Plafonnement aide'!J240</f>
        <v>0</v>
      </c>
      <c r="J241" s="317">
        <f>'J) Plafonnement effort'!J240</f>
        <v>0</v>
      </c>
      <c r="K241" s="314">
        <f>'L) Plafonnement taux'!Q241</f>
        <v>0</v>
      </c>
      <c r="L241" s="312">
        <f t="shared" si="16"/>
        <v>230470.22911308208</v>
      </c>
      <c r="M241" s="233">
        <f>'M) Police'!O241</f>
        <v>57153.843862500165</v>
      </c>
      <c r="N241" s="233">
        <f t="shared" si="12"/>
        <v>287624.07297558227</v>
      </c>
      <c r="O241" s="317">
        <f t="shared" si="13"/>
        <v>-56774.432429778593</v>
      </c>
      <c r="P241" s="319"/>
    </row>
    <row r="242" spans="1:16" s="154" customFormat="1" x14ac:dyDescent="0.25">
      <c r="A242" s="151">
        <f>'B) D RI'!A243</f>
        <v>5804</v>
      </c>
      <c r="B242" s="152" t="str">
        <f>'B) D RI'!B243</f>
        <v>Jorat-Menthue</v>
      </c>
      <c r="C242" s="315">
        <f>'B) D RI'!S243</f>
        <v>70.5</v>
      </c>
      <c r="D242" s="153">
        <f>'B) D RI'!AA243</f>
        <v>1602</v>
      </c>
      <c r="E242" s="313">
        <f>'D) Ecrêtage'!C241</f>
        <v>46692.865106382982</v>
      </c>
      <c r="F242" s="317">
        <f>'E) Fact soc'!G247</f>
        <v>829441.00267313956</v>
      </c>
      <c r="G242" s="314">
        <f>'H) Péréquation directe'!I252</f>
        <v>-45860.88891343656</v>
      </c>
      <c r="H242" s="317">
        <f>+'I) Dépenses thématiques'!T241</f>
        <v>-494175.16053191479</v>
      </c>
      <c r="I242" s="314">
        <f>'K) Plafonnement aide'!J241</f>
        <v>0</v>
      </c>
      <c r="J242" s="317">
        <f>'J) Plafonnement effort'!J241</f>
        <v>0</v>
      </c>
      <c r="K242" s="314">
        <f>'L) Plafonnement taux'!Q242</f>
        <v>0</v>
      </c>
      <c r="L242" s="312">
        <f>F242+G242+H242+I242+J242+K242</f>
        <v>289404.95322778821</v>
      </c>
      <c r="M242" s="233">
        <f>'M) Police'!O242</f>
        <v>140456.02833785198</v>
      </c>
      <c r="N242" s="233">
        <f t="shared" si="12"/>
        <v>429860.98156564019</v>
      </c>
      <c r="O242" s="317">
        <f t="shared" si="13"/>
        <v>-540036.04944535135</v>
      </c>
      <c r="P242" s="319"/>
    </row>
    <row r="243" spans="1:16" s="154" customFormat="1" x14ac:dyDescent="0.25">
      <c r="A243" s="151">
        <f>'B) D RI'!A244</f>
        <v>5805</v>
      </c>
      <c r="B243" s="152" t="str">
        <f>'B) D RI'!B244</f>
        <v>Oron</v>
      </c>
      <c r="C243" s="315">
        <f>'B) D RI'!S244</f>
        <v>69</v>
      </c>
      <c r="D243" s="153">
        <f>'B) D RI'!AA244</f>
        <v>5663</v>
      </c>
      <c r="E243" s="313">
        <f>'D) Ecrêtage'!C242</f>
        <v>154727.47061923583</v>
      </c>
      <c r="F243" s="317">
        <f>'E) Fact soc'!G248</f>
        <v>2447206.4735922152</v>
      </c>
      <c r="G243" s="314">
        <f>'H) Péréquation directe'!I253</f>
        <v>-1494727.0182530978</v>
      </c>
      <c r="H243" s="317">
        <f>+'I) Dépenses thématiques'!T242</f>
        <v>-900175.67628458503</v>
      </c>
      <c r="I243" s="314">
        <f>'K) Plafonnement aide'!J242</f>
        <v>0</v>
      </c>
      <c r="J243" s="317">
        <f>'J) Plafonnement effort'!J242</f>
        <v>0</v>
      </c>
      <c r="K243" s="314">
        <f>'L) Plafonnement taux'!Q243</f>
        <v>0</v>
      </c>
      <c r="L243" s="312">
        <f>F243+G243+H243+I243+J243+K243</f>
        <v>52303.77905453241</v>
      </c>
      <c r="M243" s="233">
        <f>'M) Police'!O243</f>
        <v>463901.67006080801</v>
      </c>
      <c r="N243" s="233">
        <f t="shared" si="12"/>
        <v>516205.44911534042</v>
      </c>
      <c r="O243" s="317">
        <f t="shared" si="13"/>
        <v>-2394902.6945376829</v>
      </c>
      <c r="P243" s="319"/>
    </row>
    <row r="244" spans="1:16" s="154" customFormat="1" x14ac:dyDescent="0.25">
      <c r="A244" s="151">
        <f>'B) D RI'!A245</f>
        <v>5806</v>
      </c>
      <c r="B244" s="152" t="str">
        <f>'B) D RI'!B245</f>
        <v>Jorat-Mézières</v>
      </c>
      <c r="C244" s="315">
        <f>'B) D RI'!S245</f>
        <v>73</v>
      </c>
      <c r="D244" s="153">
        <f>'B) D RI'!AA245</f>
        <v>2966</v>
      </c>
      <c r="E244" s="313">
        <f>'D) Ecrêtage'!C243</f>
        <v>91070.268493150696</v>
      </c>
      <c r="F244" s="317">
        <f>'E) Fact soc'!G249</f>
        <v>1503112.2555705293</v>
      </c>
      <c r="G244" s="314">
        <f>'H) Péréquation directe'!I254</f>
        <v>-168775.92901445087</v>
      </c>
      <c r="H244" s="317">
        <f>+'I) Dépenses thématiques'!T243</f>
        <v>-413381.88904109586</v>
      </c>
      <c r="I244" s="314">
        <f>'K) Plafonnement aide'!J243</f>
        <v>0</v>
      </c>
      <c r="J244" s="317">
        <f>'J) Plafonnement effort'!J243</f>
        <v>0</v>
      </c>
      <c r="K244" s="314">
        <f>'L) Plafonnement taux'!Q244</f>
        <v>0</v>
      </c>
      <c r="L244" s="312">
        <f>F244+G244+H244+I244+J244+K244</f>
        <v>920954.43751498254</v>
      </c>
      <c r="M244" s="233">
        <f>'M) Police'!O244</f>
        <v>274358.60534958</v>
      </c>
      <c r="N244" s="233">
        <f t="shared" ref="N244" si="17">L244+M244</f>
        <v>1195313.0428645625</v>
      </c>
      <c r="O244" s="317">
        <f t="shared" si="13"/>
        <v>-582157.81805554673</v>
      </c>
      <c r="P244" s="319"/>
    </row>
    <row r="245" spans="1:16" s="154" customFormat="1" x14ac:dyDescent="0.25">
      <c r="A245" s="151">
        <f>'B) D RI'!A246</f>
        <v>5812</v>
      </c>
      <c r="B245" s="152" t="str">
        <f>'B) D RI'!B246</f>
        <v>Champtauroz</v>
      </c>
      <c r="C245" s="315">
        <f>'B) D RI'!S246</f>
        <v>77</v>
      </c>
      <c r="D245" s="153">
        <f>'B) D RI'!AA246</f>
        <v>144</v>
      </c>
      <c r="E245" s="313">
        <f>'D) Ecrêtage'!C244</f>
        <v>2503.1327272727272</v>
      </c>
      <c r="F245" s="317">
        <f>'E) Fact soc'!G250</f>
        <v>47185.654277212496</v>
      </c>
      <c r="G245" s="314">
        <f>'H) Péréquation directe'!I255</f>
        <v>-75340.654670685573</v>
      </c>
      <c r="H245" s="317">
        <f>+'I) Dépenses thématiques'!T244</f>
        <v>-29606.20363636364</v>
      </c>
      <c r="I245" s="314">
        <f>'K) Plafonnement aide'!J244</f>
        <v>8129.9385752912667</v>
      </c>
      <c r="J245" s="317">
        <f>'J) Plafonnement effort'!J244</f>
        <v>0</v>
      </c>
      <c r="K245" s="314">
        <f>'L) Plafonnement taux'!Q245</f>
        <v>0</v>
      </c>
      <c r="L245" s="312">
        <f t="shared" si="16"/>
        <v>-49631.265454545457</v>
      </c>
      <c r="M245" s="233">
        <f>'M) Police'!O245</f>
        <v>7416.1243525704249</v>
      </c>
      <c r="N245" s="233">
        <f t="shared" si="12"/>
        <v>-42215.14110197503</v>
      </c>
      <c r="O245" s="317">
        <f t="shared" si="13"/>
        <v>-96816.919731757953</v>
      </c>
      <c r="P245" s="319"/>
    </row>
    <row r="246" spans="1:16" s="154" customFormat="1" x14ac:dyDescent="0.25">
      <c r="A246" s="151">
        <f>'B) D RI'!A247</f>
        <v>5813</v>
      </c>
      <c r="B246" s="152" t="str">
        <f>'B) D RI'!B247</f>
        <v>Chevroux</v>
      </c>
      <c r="C246" s="315">
        <f>'B) D RI'!S247</f>
        <v>68.5</v>
      </c>
      <c r="D246" s="153">
        <f>'B) D RI'!AA247</f>
        <v>495</v>
      </c>
      <c r="E246" s="313">
        <f>'D) Ecrêtage'!C245</f>
        <v>15179.777080291971</v>
      </c>
      <c r="F246" s="317">
        <f>'E) Fact soc'!G251</f>
        <v>231682.40520457953</v>
      </c>
      <c r="G246" s="314">
        <f>'H) Péréquation directe'!I256</f>
        <v>66423.592611204949</v>
      </c>
      <c r="H246" s="317">
        <f>+'I) Dépenses thématiques'!T245</f>
        <v>-327170.08751824818</v>
      </c>
      <c r="I246" s="314">
        <f>'K) Plafonnement aide'!J245</f>
        <v>0</v>
      </c>
      <c r="J246" s="317">
        <f>'J) Plafonnement effort'!J245</f>
        <v>0</v>
      </c>
      <c r="K246" s="314">
        <f>'L) Plafonnement taux'!Q246</f>
        <v>0</v>
      </c>
      <c r="L246" s="312">
        <f t="shared" si="16"/>
        <v>-29064.089702463709</v>
      </c>
      <c r="M246" s="233">
        <f>'M) Police'!O246</f>
        <v>45379.791263847073</v>
      </c>
      <c r="N246" s="233">
        <f t="shared" si="12"/>
        <v>16315.701561383365</v>
      </c>
      <c r="O246" s="317">
        <f t="shared" si="13"/>
        <v>-260746.49490704323</v>
      </c>
      <c r="P246" s="319"/>
    </row>
    <row r="247" spans="1:16" s="154" customFormat="1" x14ac:dyDescent="0.25">
      <c r="A247" s="151">
        <f>'B) D RI'!A248</f>
        <v>5816</v>
      </c>
      <c r="B247" s="152" t="str">
        <f>'B) D RI'!B248</f>
        <v>Corcelles-près-Payerne</v>
      </c>
      <c r="C247" s="315">
        <f>'B) D RI'!S248</f>
        <v>68.5</v>
      </c>
      <c r="D247" s="153">
        <f>'B) D RI'!AA248</f>
        <v>2681</v>
      </c>
      <c r="E247" s="313">
        <f>'D) Ecrêtage'!C246</f>
        <v>60528.996913451512</v>
      </c>
      <c r="F247" s="317">
        <f>'E) Fact soc'!G252</f>
        <v>995671.15567738365</v>
      </c>
      <c r="G247" s="314">
        <f>'H) Péréquation directe'!I257</f>
        <v>-839304.59864187031</v>
      </c>
      <c r="H247" s="317">
        <f>+'I) Dépenses thématiques'!T246</f>
        <v>-337509.76851929096</v>
      </c>
      <c r="I247" s="314">
        <f>'K) Plafonnement aide'!J246</f>
        <v>0</v>
      </c>
      <c r="J247" s="317">
        <f>'J) Plafonnement effort'!J246</f>
        <v>0</v>
      </c>
      <c r="K247" s="314">
        <f>'L) Plafonnement taux'!Q247</f>
        <v>0</v>
      </c>
      <c r="L247" s="312">
        <f t="shared" si="16"/>
        <v>-181143.21148377762</v>
      </c>
      <c r="M247" s="233">
        <f>'M) Police'!O247</f>
        <v>180030.28673581663</v>
      </c>
      <c r="N247" s="233">
        <f t="shared" si="12"/>
        <v>-1112.9247479609912</v>
      </c>
      <c r="O247" s="317">
        <f t="shared" si="13"/>
        <v>-1176814.3671611613</v>
      </c>
      <c r="P247" s="319"/>
    </row>
    <row r="248" spans="1:16" s="154" customFormat="1" x14ac:dyDescent="0.25">
      <c r="A248" s="151">
        <f>'B) D RI'!A249</f>
        <v>5817</v>
      </c>
      <c r="B248" s="152" t="str">
        <f>'B) D RI'!B249</f>
        <v>Grandcour</v>
      </c>
      <c r="C248" s="315">
        <f>'B) D RI'!S249</f>
        <v>73.5</v>
      </c>
      <c r="D248" s="153">
        <f>'B) D RI'!AA249</f>
        <v>967</v>
      </c>
      <c r="E248" s="313">
        <f>'D) Ecrêtage'!C247</f>
        <v>21854.748299319726</v>
      </c>
      <c r="F248" s="317">
        <f>'E) Fact soc'!G253</f>
        <v>322562.03437477408</v>
      </c>
      <c r="G248" s="314">
        <f>'H) Péréquation directe'!I258</f>
        <v>-236968.61959875067</v>
      </c>
      <c r="H248" s="317">
        <f>+'I) Dépenses thématiques'!T247</f>
        <v>-147696.19897959183</v>
      </c>
      <c r="I248" s="314">
        <f>'K) Plafonnement aide'!J247</f>
        <v>0</v>
      </c>
      <c r="J248" s="317">
        <f>'J) Plafonnement effort'!J247</f>
        <v>0</v>
      </c>
      <c r="K248" s="314">
        <f>'L) Plafonnement taux'!Q248</f>
        <v>0</v>
      </c>
      <c r="L248" s="312">
        <f t="shared" si="16"/>
        <v>-62102.784203568415</v>
      </c>
      <c r="M248" s="233">
        <f>'M) Police'!O248</f>
        <v>65552.450734884507</v>
      </c>
      <c r="N248" s="233">
        <f t="shared" si="12"/>
        <v>3449.666531316092</v>
      </c>
      <c r="O248" s="317">
        <f t="shared" si="13"/>
        <v>-384664.8185783425</v>
      </c>
      <c r="P248" s="319"/>
    </row>
    <row r="249" spans="1:16" s="154" customFormat="1" x14ac:dyDescent="0.25">
      <c r="A249" s="151">
        <f>'B) D RI'!A250</f>
        <v>5819</v>
      </c>
      <c r="B249" s="152" t="str">
        <f>'B) D RI'!B250</f>
        <v>Henniez</v>
      </c>
      <c r="C249" s="315">
        <f>'B) D RI'!S250</f>
        <v>69</v>
      </c>
      <c r="D249" s="153">
        <f>'B) D RI'!AA250</f>
        <v>396</v>
      </c>
      <c r="E249" s="313">
        <f>'D) Ecrêtage'!C248</f>
        <v>11468.217826086959</v>
      </c>
      <c r="F249" s="317">
        <f>'E) Fact soc'!G254</f>
        <v>175796.40523749735</v>
      </c>
      <c r="G249" s="314">
        <f>'H) Péréquation directe'!I259</f>
        <v>25374.796763721504</v>
      </c>
      <c r="H249" s="317">
        <f>+'I) Dépenses thématiques'!T248</f>
        <v>-101261.44304347824</v>
      </c>
      <c r="I249" s="314">
        <f>'K) Plafonnement aide'!J248</f>
        <v>0</v>
      </c>
      <c r="J249" s="317">
        <f>'J) Plafonnement effort'!J248</f>
        <v>0</v>
      </c>
      <c r="K249" s="314">
        <f>'L) Plafonnement taux'!Q249</f>
        <v>0</v>
      </c>
      <c r="L249" s="312">
        <f t="shared" si="16"/>
        <v>99909.758957740618</v>
      </c>
      <c r="M249" s="233">
        <f>'M) Police'!O249</f>
        <v>33905.078609988996</v>
      </c>
      <c r="N249" s="233">
        <f t="shared" si="12"/>
        <v>133814.83756772961</v>
      </c>
      <c r="O249" s="317">
        <f t="shared" si="13"/>
        <v>-75886.646279756736</v>
      </c>
      <c r="P249" s="319"/>
    </row>
    <row r="250" spans="1:16" s="154" customFormat="1" x14ac:dyDescent="0.25">
      <c r="A250" s="151">
        <f>'B) D RI'!A251</f>
        <v>5821</v>
      </c>
      <c r="B250" s="152" t="str">
        <f>'B) D RI'!B251</f>
        <v>Missy</v>
      </c>
      <c r="C250" s="315">
        <f>'B) D RI'!S251</f>
        <v>72</v>
      </c>
      <c r="D250" s="153">
        <f>'B) D RI'!AA251</f>
        <v>368</v>
      </c>
      <c r="E250" s="313">
        <f>'D) Ecrêtage'!C249</f>
        <v>7872.7337500000012</v>
      </c>
      <c r="F250" s="317">
        <f>'E) Fact soc'!G255</f>
        <v>122383.47562730033</v>
      </c>
      <c r="G250" s="314">
        <f>'H) Péréquation directe'!I260</f>
        <v>-99695.668850734975</v>
      </c>
      <c r="H250" s="317">
        <f>+'I) Dépenses thématiques'!T249</f>
        <v>-19354.597499999993</v>
      </c>
      <c r="I250" s="314">
        <f>'K) Plafonnement aide'!J249</f>
        <v>0</v>
      </c>
      <c r="J250" s="317">
        <f>'J) Plafonnement effort'!J249</f>
        <v>0</v>
      </c>
      <c r="K250" s="314">
        <f>'L) Plafonnement taux'!Q250</f>
        <v>0</v>
      </c>
      <c r="L250" s="312">
        <f t="shared" si="16"/>
        <v>3333.2092765653615</v>
      </c>
      <c r="M250" s="233">
        <f>'M) Police'!O250</f>
        <v>23520.547445392091</v>
      </c>
      <c r="N250" s="233">
        <f t="shared" si="12"/>
        <v>26853.756721957452</v>
      </c>
      <c r="O250" s="317">
        <f t="shared" si="13"/>
        <v>-119050.26635073496</v>
      </c>
      <c r="P250" s="319"/>
    </row>
    <row r="251" spans="1:16" s="154" customFormat="1" x14ac:dyDescent="0.25">
      <c r="A251" s="151">
        <f>'B) D RI'!A252</f>
        <v>5822</v>
      </c>
      <c r="B251" s="152" t="str">
        <f>'B) D RI'!B252</f>
        <v>Payerne</v>
      </c>
      <c r="C251" s="315">
        <f>'B) D RI'!S252</f>
        <v>73</v>
      </c>
      <c r="D251" s="153">
        <f>'B) D RI'!AA252</f>
        <v>10108</v>
      </c>
      <c r="E251" s="313">
        <f>'D) Ecrêtage'!C250</f>
        <v>237851.57178082189</v>
      </c>
      <c r="F251" s="317">
        <f>'E) Fact soc'!G256</f>
        <v>4039833.6857324503</v>
      </c>
      <c r="G251" s="314">
        <f>'H) Péréquation directe'!I261</f>
        <v>-5891631.753376645</v>
      </c>
      <c r="H251" s="317">
        <f>+'I) Dépenses thématiques'!T250</f>
        <v>-1703454.3193150687</v>
      </c>
      <c r="I251" s="314">
        <f>'K) Plafonnement aide'!J250</f>
        <v>0</v>
      </c>
      <c r="J251" s="317">
        <f>'J) Plafonnement effort'!J250</f>
        <v>0</v>
      </c>
      <c r="K251" s="314">
        <f>'L) Plafonnement taux'!Q251</f>
        <v>0</v>
      </c>
      <c r="L251" s="312">
        <f t="shared" si="16"/>
        <v>-3555252.3869592631</v>
      </c>
      <c r="M251" s="233">
        <f>'M) Police'!O251</f>
        <v>710415.4568813087</v>
      </c>
      <c r="N251" s="233">
        <f t="shared" si="12"/>
        <v>-2844836.9300779542</v>
      </c>
      <c r="O251" s="317">
        <f t="shared" si="13"/>
        <v>-7595086.0726917135</v>
      </c>
      <c r="P251" s="319"/>
    </row>
    <row r="252" spans="1:16" s="154" customFormat="1" x14ac:dyDescent="0.25">
      <c r="A252" s="151">
        <f>'B) D RI'!A253</f>
        <v>5827</v>
      </c>
      <c r="B252" s="152" t="str">
        <f>'B) D RI'!B253</f>
        <v>Trey</v>
      </c>
      <c r="C252" s="315">
        <f>'B) D RI'!S253</f>
        <v>78</v>
      </c>
      <c r="D252" s="153">
        <f>'B) D RI'!AA253</f>
        <v>302</v>
      </c>
      <c r="E252" s="313">
        <f>'D) Ecrêtage'!C251</f>
        <v>6163.6291025641031</v>
      </c>
      <c r="F252" s="317">
        <f>'E) Fact soc'!G257</f>
        <v>96237.46228543538</v>
      </c>
      <c r="G252" s="314">
        <f>'H) Péréquation directe'!I262</f>
        <v>-123961.74054953152</v>
      </c>
      <c r="H252" s="317">
        <f>+'I) Dépenses thématiques'!T251</f>
        <v>-54587.225384615376</v>
      </c>
      <c r="I252" s="314">
        <f>'K) Plafonnement aide'!J251</f>
        <v>0</v>
      </c>
      <c r="J252" s="317">
        <f>'J) Plafonnement effort'!J251</f>
        <v>0</v>
      </c>
      <c r="K252" s="314">
        <f>'L) Plafonnement taux'!Q252</f>
        <v>0</v>
      </c>
      <c r="L252" s="312">
        <f t="shared" si="16"/>
        <v>-82311.503648711514</v>
      </c>
      <c r="M252" s="233">
        <f>'M) Police'!O252</f>
        <v>18554.947204511598</v>
      </c>
      <c r="N252" s="233">
        <f t="shared" si="12"/>
        <v>-63756.556444199916</v>
      </c>
      <c r="O252" s="317">
        <f t="shared" si="13"/>
        <v>-178548.96593414689</v>
      </c>
      <c r="P252" s="319"/>
    </row>
    <row r="253" spans="1:16" s="154" customFormat="1" x14ac:dyDescent="0.25">
      <c r="A253" s="151">
        <f>'B) D RI'!A254</f>
        <v>5828</v>
      </c>
      <c r="B253" s="152" t="str">
        <f>'B) D RI'!B254</f>
        <v>Treytorrens (Payerne)</v>
      </c>
      <c r="C253" s="315">
        <f>'B) D RI'!S254</f>
        <v>84</v>
      </c>
      <c r="D253" s="153">
        <f>'B) D RI'!AA254</f>
        <v>114</v>
      </c>
      <c r="E253" s="313">
        <f>'D) Ecrêtage'!C252</f>
        <v>2288.4160317460314</v>
      </c>
      <c r="F253" s="317">
        <f>'E) Fact soc'!G258</f>
        <v>33941.833282358886</v>
      </c>
      <c r="G253" s="314">
        <f>'H) Péréquation directe'!I263</f>
        <v>-60950.605065700038</v>
      </c>
      <c r="H253" s="317">
        <f>+'I) Dépenses thématiques'!T252</f>
        <v>-25932.941785714283</v>
      </c>
      <c r="I253" s="314">
        <f>'K) Plafonnement aide'!J252</f>
        <v>8701.4435293728966</v>
      </c>
      <c r="J253" s="317">
        <f>'J) Plafonnement effort'!J252</f>
        <v>0</v>
      </c>
      <c r="K253" s="314">
        <f>'L) Plafonnement taux'!Q253</f>
        <v>0</v>
      </c>
      <c r="L253" s="312">
        <f t="shared" si="16"/>
        <v>-44240.270039682538</v>
      </c>
      <c r="M253" s="233">
        <f>'M) Police'!O253</f>
        <v>6873.9726612754948</v>
      </c>
      <c r="N253" s="233">
        <f t="shared" si="12"/>
        <v>-37366.297378407042</v>
      </c>
      <c r="O253" s="317">
        <f t="shared" si="13"/>
        <v>-78182.103322041425</v>
      </c>
      <c r="P253" s="319"/>
    </row>
    <row r="254" spans="1:16" s="154" customFormat="1" x14ac:dyDescent="0.25">
      <c r="A254" s="151">
        <f>'B) D RI'!A255</f>
        <v>5830</v>
      </c>
      <c r="B254" s="152" t="str">
        <f>'B) D RI'!B255</f>
        <v>Villarzel</v>
      </c>
      <c r="C254" s="315">
        <f>'B) D RI'!S255</f>
        <v>77</v>
      </c>
      <c r="D254" s="153">
        <f>'B) D RI'!AA255</f>
        <v>477</v>
      </c>
      <c r="E254" s="313">
        <f>'D) Ecrêtage'!C253</f>
        <v>12470.916233766235</v>
      </c>
      <c r="F254" s="317">
        <f>'E) Fact soc'!G259</f>
        <v>209373.11867228078</v>
      </c>
      <c r="G254" s="314">
        <f>'H) Péréquation directe'!I264</f>
        <v>-70059.346102070354</v>
      </c>
      <c r="H254" s="317">
        <f>+'I) Dépenses thématiques'!T253</f>
        <v>-92816.002597402592</v>
      </c>
      <c r="I254" s="314">
        <f>'K) Plafonnement aide'!J253</f>
        <v>0</v>
      </c>
      <c r="J254" s="317">
        <f>'J) Plafonnement effort'!J253</f>
        <v>0</v>
      </c>
      <c r="K254" s="314">
        <f>'L) Plafonnement taux'!Q254</f>
        <v>0</v>
      </c>
      <c r="L254" s="312">
        <f t="shared" si="16"/>
        <v>46497.76997280783</v>
      </c>
      <c r="M254" s="233">
        <f>'M) Police'!O254</f>
        <v>38045.228020164272</v>
      </c>
      <c r="N254" s="233">
        <f t="shared" si="12"/>
        <v>84542.997992972101</v>
      </c>
      <c r="O254" s="317">
        <f t="shared" si="13"/>
        <v>-162875.34869947296</v>
      </c>
      <c r="P254" s="319"/>
    </row>
    <row r="255" spans="1:16" s="154" customFormat="1" x14ac:dyDescent="0.25">
      <c r="A255" s="151">
        <f>'B) D RI'!A256</f>
        <v>5831</v>
      </c>
      <c r="B255" s="152" t="str">
        <f>'B) D RI'!B256</f>
        <v>Valbroye</v>
      </c>
      <c r="C255" s="315">
        <f>'B) D RI'!S256</f>
        <v>70.5</v>
      </c>
      <c r="D255" s="153">
        <f>'B) D RI'!AA256</f>
        <v>3373</v>
      </c>
      <c r="E255" s="313">
        <f>'D) Ecrêtage'!C254</f>
        <v>83756.732765957451</v>
      </c>
      <c r="F255" s="317">
        <f>'E) Fact soc'!G260</f>
        <v>1384825.2514905576</v>
      </c>
      <c r="G255" s="314">
        <f>'H) Péréquation directe'!I265</f>
        <v>-967956.70988604636</v>
      </c>
      <c r="H255" s="317">
        <f>+'I) Dépenses thématiques'!T254</f>
        <v>-787505.35340425535</v>
      </c>
      <c r="I255" s="314">
        <f>'K) Plafonnement aide'!J254</f>
        <v>0</v>
      </c>
      <c r="J255" s="317">
        <f>'J) Plafonnement effort'!J254</f>
        <v>0</v>
      </c>
      <c r="K255" s="314">
        <f>'L) Plafonnement taux'!Q255</f>
        <v>0</v>
      </c>
      <c r="L255" s="312">
        <f>F255+G255+H255+I255+J255+K255</f>
        <v>-370636.81179974414</v>
      </c>
      <c r="M255" s="233">
        <f>'M) Police'!O255</f>
        <v>251230.89798347672</v>
      </c>
      <c r="N255" s="233">
        <f t="shared" ref="N255:N314" si="18">L255+M255</f>
        <v>-119405.91381626742</v>
      </c>
      <c r="O255" s="317">
        <f t="shared" si="13"/>
        <v>-1755462.0632903017</v>
      </c>
      <c r="P255" s="319"/>
    </row>
    <row r="256" spans="1:16" s="154" customFormat="1" x14ac:dyDescent="0.25">
      <c r="A256" s="151">
        <f>'B) D RI'!A257</f>
        <v>5841</v>
      </c>
      <c r="B256" s="152" t="str">
        <f>'B) D RI'!B257</f>
        <v>Château-d'Oex</v>
      </c>
      <c r="C256" s="315">
        <f>'B) D RI'!S257</f>
        <v>81.5</v>
      </c>
      <c r="D256" s="153">
        <f>'B) D RI'!AA257</f>
        <v>3494</v>
      </c>
      <c r="E256" s="313">
        <f>'D) Ecrêtage'!C255</f>
        <v>108658.39067484663</v>
      </c>
      <c r="F256" s="317">
        <f>'E) Fact soc'!G261</f>
        <v>2283785.9368071803</v>
      </c>
      <c r="G256" s="314">
        <f>'H) Péréquation directe'!I266</f>
        <v>-570527.0513930351</v>
      </c>
      <c r="H256" s="317">
        <f>+'I) Dépenses thématiques'!T255</f>
        <v>-2067388.4059509204</v>
      </c>
      <c r="I256" s="314">
        <f>'K) Plafonnement aide'!J255</f>
        <v>0</v>
      </c>
      <c r="J256" s="317">
        <f>'J) Plafonnement effort'!J255</f>
        <v>0</v>
      </c>
      <c r="K256" s="314">
        <f>'L) Plafonnement taux'!Q256</f>
        <v>0</v>
      </c>
      <c r="L256" s="312">
        <f t="shared" si="16"/>
        <v>-354129.52053677524</v>
      </c>
      <c r="M256" s="233">
        <f>'M) Police'!O256</f>
        <v>319838.63603840431</v>
      </c>
      <c r="N256" s="233">
        <f t="shared" si="18"/>
        <v>-34290.884498370928</v>
      </c>
      <c r="O256" s="317">
        <f t="shared" si="13"/>
        <v>-2637915.4573439555</v>
      </c>
      <c r="P256" s="319"/>
    </row>
    <row r="257" spans="1:16" s="154" customFormat="1" x14ac:dyDescent="0.25">
      <c r="A257" s="151">
        <f>'B) D RI'!A258</f>
        <v>5842</v>
      </c>
      <c r="B257" s="152" t="str">
        <f>'B) D RI'!B258</f>
        <v>Rossinière</v>
      </c>
      <c r="C257" s="315">
        <f>'B) D RI'!S258</f>
        <v>81</v>
      </c>
      <c r="D257" s="153">
        <f>'B) D RI'!AA258</f>
        <v>537</v>
      </c>
      <c r="E257" s="313">
        <f>'D) Ecrêtage'!C256</f>
        <v>14509.951028806583</v>
      </c>
      <c r="F257" s="317">
        <f>'E) Fact soc'!G262</f>
        <v>232142.92615234887</v>
      </c>
      <c r="G257" s="314">
        <f>'H) Péréquation directe'!I267</f>
        <v>-87465.864793327346</v>
      </c>
      <c r="H257" s="317">
        <f>+'I) Dépenses thématiques'!T256</f>
        <v>-380815.79382716049</v>
      </c>
      <c r="I257" s="314">
        <f>'K) Plafonnement aide'!J256</f>
        <v>0</v>
      </c>
      <c r="J257" s="317">
        <f>'J) Plafonnement effort'!J256</f>
        <v>0</v>
      </c>
      <c r="K257" s="314">
        <f>'L) Plafonnement taux'!Q257</f>
        <v>0</v>
      </c>
      <c r="L257" s="312">
        <f t="shared" si="16"/>
        <v>-236138.73246813897</v>
      </c>
      <c r="M257" s="233">
        <f>'M) Police'!O257</f>
        <v>43649.927336603316</v>
      </c>
      <c r="N257" s="233">
        <f t="shared" si="18"/>
        <v>-192488.80513153566</v>
      </c>
      <c r="O257" s="317">
        <f t="shared" si="13"/>
        <v>-468281.65862048784</v>
      </c>
      <c r="P257" s="319"/>
    </row>
    <row r="258" spans="1:16" s="154" customFormat="1" x14ac:dyDescent="0.25">
      <c r="A258" s="151">
        <f>'B) D RI'!A259</f>
        <v>5843</v>
      </c>
      <c r="B258" s="152" t="str">
        <f>'B) D RI'!B259</f>
        <v>Rougemont</v>
      </c>
      <c r="C258" s="315">
        <f>'B) D RI'!S259</f>
        <v>74</v>
      </c>
      <c r="D258" s="153">
        <f>'B) D RI'!AA259</f>
        <v>863</v>
      </c>
      <c r="E258" s="313">
        <f>'D) Ecrêtage'!C257</f>
        <v>100468.99797297297</v>
      </c>
      <c r="F258" s="317">
        <f>'E) Fact soc'!G263</f>
        <v>3650490.6647246722</v>
      </c>
      <c r="G258" s="314">
        <f>'H) Péréquation directe'!I268</f>
        <v>1818385.4590735205</v>
      </c>
      <c r="H258" s="317">
        <f>+'I) Dépenses thématiques'!T257</f>
        <v>-70773.012162162195</v>
      </c>
      <c r="I258" s="314">
        <f>'K) Plafonnement aide'!J257</f>
        <v>0</v>
      </c>
      <c r="J258" s="317">
        <f>'J) Plafonnement effort'!J257</f>
        <v>0</v>
      </c>
      <c r="K258" s="314">
        <f>'L) Plafonnement taux'!Q258</f>
        <v>0</v>
      </c>
      <c r="L258" s="312">
        <f t="shared" si="16"/>
        <v>5398103.1116360305</v>
      </c>
      <c r="M258" s="233">
        <f>'M) Police'!O258</f>
        <v>194840.41539815298</v>
      </c>
      <c r="N258" s="233">
        <f t="shared" si="18"/>
        <v>5592943.527034183</v>
      </c>
      <c r="O258" s="317">
        <f t="shared" si="13"/>
        <v>1747612.4469113583</v>
      </c>
      <c r="P258" s="319"/>
    </row>
    <row r="259" spans="1:16" s="154" customFormat="1" x14ac:dyDescent="0.25">
      <c r="A259" s="151">
        <f>'B) D RI'!A260</f>
        <v>5851</v>
      </c>
      <c r="B259" s="152" t="str">
        <f>'B) D RI'!B260</f>
        <v>Allaman</v>
      </c>
      <c r="C259" s="315">
        <f>'B) D RI'!S260</f>
        <v>60</v>
      </c>
      <c r="D259" s="153">
        <f>'B) D RI'!AA260</f>
        <v>443</v>
      </c>
      <c r="E259" s="313">
        <f>'D) Ecrêtage'!C258</f>
        <v>24314.213954545452</v>
      </c>
      <c r="F259" s="317">
        <f>'E) Fact soc'!G264</f>
        <v>386415.29131211835</v>
      </c>
      <c r="G259" s="314">
        <f>'H) Péréquation directe'!I269</f>
        <v>411029.328485028</v>
      </c>
      <c r="H259" s="317">
        <f>+'I) Dépenses thématiques'!T258</f>
        <v>0</v>
      </c>
      <c r="I259" s="314">
        <f>'K) Plafonnement aide'!J258</f>
        <v>0</v>
      </c>
      <c r="J259" s="317">
        <f>'J) Plafonnement effort'!J258</f>
        <v>0</v>
      </c>
      <c r="K259" s="314">
        <f>'L) Plafonnement taux'!Q259</f>
        <v>0</v>
      </c>
      <c r="L259" s="312">
        <f t="shared" si="16"/>
        <v>797444.61979714641</v>
      </c>
      <c r="M259" s="233">
        <f>'M) Police'!O259</f>
        <v>67996.655396209142</v>
      </c>
      <c r="N259" s="233">
        <f t="shared" si="18"/>
        <v>865441.27519335551</v>
      </c>
      <c r="O259" s="317">
        <f t="shared" si="13"/>
        <v>411029.328485028</v>
      </c>
      <c r="P259" s="319"/>
    </row>
    <row r="260" spans="1:16" s="154" customFormat="1" x14ac:dyDescent="0.25">
      <c r="A260" s="151">
        <f>'B) D RI'!A261</f>
        <v>5852</v>
      </c>
      <c r="B260" s="152" t="str">
        <f>'B) D RI'!B261</f>
        <v>Bursinel</v>
      </c>
      <c r="C260" s="315">
        <f>'B) D RI'!S261</f>
        <v>65.5</v>
      </c>
      <c r="D260" s="153">
        <f>'B) D RI'!AA261</f>
        <v>491</v>
      </c>
      <c r="E260" s="313">
        <f>'D) Ecrêtage'!C259</f>
        <v>40706.215623409669</v>
      </c>
      <c r="F260" s="317">
        <f>'E) Fact soc'!G265</f>
        <v>928438.78948537121</v>
      </c>
      <c r="G260" s="314">
        <f>'H) Péréquation directe'!I270</f>
        <v>719214.65162678633</v>
      </c>
      <c r="H260" s="317">
        <f>+'I) Dépenses thématiques'!T259</f>
        <v>0</v>
      </c>
      <c r="I260" s="314">
        <f>'K) Plafonnement aide'!J259</f>
        <v>0</v>
      </c>
      <c r="J260" s="317">
        <f>'J) Plafonnement effort'!J259</f>
        <v>0</v>
      </c>
      <c r="K260" s="314">
        <f>'L) Plafonnement taux'!Q260</f>
        <v>0</v>
      </c>
      <c r="L260" s="312">
        <f t="shared" si="16"/>
        <v>1647653.4411121574</v>
      </c>
      <c r="M260" s="233">
        <f>'M) Police'!O260</f>
        <v>91524.502919624705</v>
      </c>
      <c r="N260" s="233">
        <f t="shared" si="18"/>
        <v>1739177.9440317822</v>
      </c>
      <c r="O260" s="317">
        <f t="shared" si="13"/>
        <v>719214.65162678633</v>
      </c>
      <c r="P260" s="319"/>
    </row>
    <row r="261" spans="1:16" s="154" customFormat="1" x14ac:dyDescent="0.25">
      <c r="A261" s="151">
        <f>'B) D RI'!A262</f>
        <v>5853</v>
      </c>
      <c r="B261" s="152" t="str">
        <f>'B) D RI'!B262</f>
        <v>Bursins</v>
      </c>
      <c r="C261" s="315">
        <f>'B) D RI'!S262</f>
        <v>71</v>
      </c>
      <c r="D261" s="153">
        <f>'B) D RI'!AA262</f>
        <v>773</v>
      </c>
      <c r="E261" s="313">
        <f>'D) Ecrêtage'!C260</f>
        <v>42015.881830985905</v>
      </c>
      <c r="F261" s="317">
        <f>'E) Fact soc'!G266</f>
        <v>4218626.3463653931</v>
      </c>
      <c r="G261" s="314">
        <f>'H) Péréquation directe'!I271</f>
        <v>709346.85404203017</v>
      </c>
      <c r="H261" s="317">
        <f>+'I) Dépenses thématiques'!T260</f>
        <v>-4403.3386267605711</v>
      </c>
      <c r="I261" s="314">
        <f>'K) Plafonnement aide'!J260</f>
        <v>0</v>
      </c>
      <c r="J261" s="317">
        <f>'J) Plafonnement effort'!J260</f>
        <v>0</v>
      </c>
      <c r="K261" s="314">
        <f>'L) Plafonnement taux'!Q261</f>
        <v>0</v>
      </c>
      <c r="L261" s="312">
        <f t="shared" si="16"/>
        <v>4923569.8617806621</v>
      </c>
      <c r="M261" s="233">
        <f>'M) Police'!O261</f>
        <v>118166.59667700184</v>
      </c>
      <c r="N261" s="233">
        <f t="shared" si="18"/>
        <v>5041736.4584576637</v>
      </c>
      <c r="O261" s="317">
        <f t="shared" si="13"/>
        <v>704943.51541526965</v>
      </c>
      <c r="P261" s="319"/>
    </row>
    <row r="262" spans="1:16" s="154" customFormat="1" x14ac:dyDescent="0.25">
      <c r="A262" s="151">
        <f>'B) D RI'!A263</f>
        <v>5854</v>
      </c>
      <c r="B262" s="152" t="str">
        <f>'B) D RI'!B263</f>
        <v>Burtigny</v>
      </c>
      <c r="C262" s="315">
        <f>'B) D RI'!S263</f>
        <v>80</v>
      </c>
      <c r="D262" s="153">
        <f>'B) D RI'!AA263</f>
        <v>404</v>
      </c>
      <c r="E262" s="313">
        <f>'D) Ecrêtage'!C261</f>
        <v>10782.893958333336</v>
      </c>
      <c r="F262" s="317">
        <f>'E) Fact soc'!G267</f>
        <v>206089.63038685601</v>
      </c>
      <c r="G262" s="314">
        <f>'H) Péréquation directe'!I272</f>
        <v>-66263.307453359885</v>
      </c>
      <c r="H262" s="317">
        <f>+'I) Dépenses thématiques'!T261</f>
        <v>-36724.465781249979</v>
      </c>
      <c r="I262" s="314">
        <f>'K) Plafonnement aide'!J261</f>
        <v>0</v>
      </c>
      <c r="J262" s="317">
        <f>'J) Plafonnement effort'!J261</f>
        <v>0</v>
      </c>
      <c r="K262" s="314">
        <f>'L) Plafonnement taux'!Q262</f>
        <v>0</v>
      </c>
      <c r="L262" s="312">
        <f t="shared" si="16"/>
        <v>103101.85715224614</v>
      </c>
      <c r="M262" s="233">
        <f>'M) Police'!O262</f>
        <v>32313.556649481448</v>
      </c>
      <c r="N262" s="233">
        <f t="shared" si="18"/>
        <v>135415.41380172758</v>
      </c>
      <c r="O262" s="317">
        <f t="shared" si="13"/>
        <v>-102987.77323460986</v>
      </c>
      <c r="P262" s="319"/>
    </row>
    <row r="263" spans="1:16" s="154" customFormat="1" x14ac:dyDescent="0.25">
      <c r="A263" s="151">
        <f>'B) D RI'!A264</f>
        <v>5855</v>
      </c>
      <c r="B263" s="152" t="str">
        <f>'B) D RI'!B264</f>
        <v>Dully</v>
      </c>
      <c r="C263" s="315">
        <f>'B) D RI'!S264</f>
        <v>49</v>
      </c>
      <c r="D263" s="153">
        <f>'B) D RI'!AA264</f>
        <v>628</v>
      </c>
      <c r="E263" s="313">
        <f>'D) Ecrêtage'!C262</f>
        <v>98158.514897959176</v>
      </c>
      <c r="F263" s="317">
        <f>'E) Fact soc'!G268</f>
        <v>3045126.6390778124</v>
      </c>
      <c r="G263" s="314">
        <f>'H) Péréquation directe'!I273</f>
        <v>1803245.8423548448</v>
      </c>
      <c r="H263" s="317">
        <f>+'I) Dépenses thématiques'!T262</f>
        <v>0</v>
      </c>
      <c r="I263" s="314">
        <f>'K) Plafonnement aide'!J262</f>
        <v>0</v>
      </c>
      <c r="J263" s="317">
        <f>'J) Plafonnement effort'!J262</f>
        <v>0</v>
      </c>
      <c r="K263" s="314">
        <f>'L) Plafonnement taux'!Q263</f>
        <v>0</v>
      </c>
      <c r="L263" s="312">
        <f t="shared" si="16"/>
        <v>4848372.4814326577</v>
      </c>
      <c r="M263" s="233">
        <f>'M) Police'!O263</f>
        <v>171206.66014641075</v>
      </c>
      <c r="N263" s="233">
        <f t="shared" si="18"/>
        <v>5019579.1415790683</v>
      </c>
      <c r="O263" s="317">
        <f t="shared" ref="O263:O314" si="19">SUM(G263:K263)</f>
        <v>1803245.8423548448</v>
      </c>
      <c r="P263" s="319"/>
    </row>
    <row r="264" spans="1:16" s="154" customFormat="1" x14ac:dyDescent="0.25">
      <c r="A264" s="151">
        <f>'B) D RI'!A265</f>
        <v>5856</v>
      </c>
      <c r="B264" s="152" t="str">
        <f>'B) D RI'!B265</f>
        <v>Essertines-sur-Rolle</v>
      </c>
      <c r="C264" s="315">
        <f>'B) D RI'!S265</f>
        <v>66.5</v>
      </c>
      <c r="D264" s="153">
        <f>'B) D RI'!AA265</f>
        <v>740</v>
      </c>
      <c r="E264" s="313">
        <f>'D) Ecrêtage'!C263</f>
        <v>35711.648536726432</v>
      </c>
      <c r="F264" s="317">
        <f>'E) Fact soc'!G269</f>
        <v>623197.76027508103</v>
      </c>
      <c r="G264" s="314">
        <f>'H) Péréquation directe'!I274</f>
        <v>592624.05361955357</v>
      </c>
      <c r="H264" s="317">
        <f>+'I) Dépenses thématiques'!T263</f>
        <v>0</v>
      </c>
      <c r="I264" s="314">
        <f>'K) Plafonnement aide'!J263</f>
        <v>0</v>
      </c>
      <c r="J264" s="317">
        <f>'J) Plafonnement effort'!J263</f>
        <v>0</v>
      </c>
      <c r="K264" s="314">
        <f>'L) Plafonnement taux'!Q264</f>
        <v>0</v>
      </c>
      <c r="L264" s="312">
        <f t="shared" si="16"/>
        <v>1215821.8138946346</v>
      </c>
      <c r="M264" s="233">
        <f>'M) Police'!O264</f>
        <v>107665.21614395613</v>
      </c>
      <c r="N264" s="233">
        <f t="shared" si="18"/>
        <v>1323487.0300385908</v>
      </c>
      <c r="O264" s="317">
        <f t="shared" si="19"/>
        <v>592624.05361955357</v>
      </c>
      <c r="P264" s="319"/>
    </row>
    <row r="265" spans="1:16" s="154" customFormat="1" x14ac:dyDescent="0.25">
      <c r="A265" s="151">
        <f>'B) D RI'!A266</f>
        <v>5857</v>
      </c>
      <c r="B265" s="152" t="str">
        <f>'B) D RI'!B266</f>
        <v>Gilly</v>
      </c>
      <c r="C265" s="315">
        <f>'B) D RI'!S266</f>
        <v>64.5</v>
      </c>
      <c r="D265" s="153">
        <f>'B) D RI'!AA266</f>
        <v>1428</v>
      </c>
      <c r="E265" s="313">
        <f>'D) Ecrêtage'!C264</f>
        <v>82128.423720930223</v>
      </c>
      <c r="F265" s="317">
        <f>'E) Fact soc'!G270</f>
        <v>1422019.4573755052</v>
      </c>
      <c r="G265" s="314">
        <f>'H) Péréquation directe'!I275</f>
        <v>1301324.3566439585</v>
      </c>
      <c r="H265" s="317">
        <f>+'I) Dépenses thématiques'!T264</f>
        <v>0</v>
      </c>
      <c r="I265" s="314">
        <f>'K) Plafonnement aide'!J264</f>
        <v>0</v>
      </c>
      <c r="J265" s="317">
        <f>'J) Plafonnement effort'!J264</f>
        <v>0</v>
      </c>
      <c r="K265" s="314">
        <f>'L) Plafonnement taux'!Q265</f>
        <v>0</v>
      </c>
      <c r="L265" s="312">
        <f t="shared" si="16"/>
        <v>2723343.814019464</v>
      </c>
      <c r="M265" s="233">
        <f>'M) Police'!O265</f>
        <v>223593.0512188118</v>
      </c>
      <c r="N265" s="233">
        <f t="shared" si="18"/>
        <v>2946936.8652382758</v>
      </c>
      <c r="O265" s="317">
        <f t="shared" si="19"/>
        <v>1301324.3566439585</v>
      </c>
      <c r="P265" s="319"/>
    </row>
    <row r="266" spans="1:16" s="154" customFormat="1" x14ac:dyDescent="0.25">
      <c r="A266" s="151">
        <f>'B) D RI'!A267</f>
        <v>5858</v>
      </c>
      <c r="B266" s="152" t="str">
        <f>'B) D RI'!B267</f>
        <v>Luins</v>
      </c>
      <c r="C266" s="315">
        <f>'B) D RI'!S267</f>
        <v>58.5</v>
      </c>
      <c r="D266" s="153">
        <f>'B) D RI'!AA267</f>
        <v>619</v>
      </c>
      <c r="E266" s="313">
        <f>'D) Ecrêtage'!C265</f>
        <v>40290.677378917375</v>
      </c>
      <c r="F266" s="317">
        <f>'E) Fact soc'!G271</f>
        <v>751833.13167598133</v>
      </c>
      <c r="G266" s="314">
        <f>'H) Péréquation directe'!I276</f>
        <v>695380.03125987947</v>
      </c>
      <c r="H266" s="317">
        <f>+'I) Dépenses thématiques'!T265</f>
        <v>0</v>
      </c>
      <c r="I266" s="314">
        <f>'K) Plafonnement aide'!J265</f>
        <v>0</v>
      </c>
      <c r="J266" s="317">
        <f>'J) Plafonnement effort'!J265</f>
        <v>0</v>
      </c>
      <c r="K266" s="314">
        <f>'L) Plafonnement taux'!Q266</f>
        <v>0</v>
      </c>
      <c r="L266" s="312">
        <f t="shared" ref="L266:L315" si="20">F266+G266+H266+I266+J266+K266</f>
        <v>1447213.1629358609</v>
      </c>
      <c r="M266" s="233">
        <f>'M) Police'!O266</f>
        <v>102430.97474465388</v>
      </c>
      <c r="N266" s="233">
        <f t="shared" si="18"/>
        <v>1549644.1376805147</v>
      </c>
      <c r="O266" s="317">
        <f t="shared" si="19"/>
        <v>695380.03125987947</v>
      </c>
      <c r="P266" s="319"/>
    </row>
    <row r="267" spans="1:16" s="154" customFormat="1" x14ac:dyDescent="0.25">
      <c r="A267" s="151">
        <f>'B) D RI'!A268</f>
        <v>5859</v>
      </c>
      <c r="B267" s="152" t="str">
        <f>'B) D RI'!B268</f>
        <v>Mont-sur-Rolle</v>
      </c>
      <c r="C267" s="315">
        <f>'B) D RI'!S268</f>
        <v>63.5</v>
      </c>
      <c r="D267" s="153">
        <f>'B) D RI'!AA268</f>
        <v>2646</v>
      </c>
      <c r="E267" s="313">
        <f>'D) Ecrêtage'!C266</f>
        <v>146465.78251968499</v>
      </c>
      <c r="F267" s="317">
        <f>'E) Fact soc'!G272</f>
        <v>2581821.8088843082</v>
      </c>
      <c r="G267" s="314">
        <f>'H) Péréquation directe'!I277</f>
        <v>2111419.2867027475</v>
      </c>
      <c r="H267" s="317">
        <f>+'I) Dépenses thématiques'!T266</f>
        <v>0</v>
      </c>
      <c r="I267" s="314">
        <f>'K) Plafonnement aide'!J266</f>
        <v>0</v>
      </c>
      <c r="J267" s="317">
        <f>'J) Plafonnement effort'!J266</f>
        <v>0</v>
      </c>
      <c r="K267" s="314">
        <f>'L) Plafonnement taux'!Q267</f>
        <v>0</v>
      </c>
      <c r="L267" s="312">
        <f t="shared" si="20"/>
        <v>4693241.0955870561</v>
      </c>
      <c r="M267" s="233">
        <f>'M) Police'!O267</f>
        <v>407593.57350283896</v>
      </c>
      <c r="N267" s="233">
        <f t="shared" si="18"/>
        <v>5100834.6690898947</v>
      </c>
      <c r="O267" s="317">
        <f t="shared" si="19"/>
        <v>2111419.2867027475</v>
      </c>
      <c r="P267" s="319"/>
    </row>
    <row r="268" spans="1:16" s="154" customFormat="1" x14ac:dyDescent="0.25">
      <c r="A268" s="151">
        <f>'B) D RI'!A269</f>
        <v>5860</v>
      </c>
      <c r="B268" s="152" t="str">
        <f>'B) D RI'!B269</f>
        <v>Perroy</v>
      </c>
      <c r="C268" s="315">
        <f>'B) D RI'!S269</f>
        <v>58.5</v>
      </c>
      <c r="D268" s="153">
        <f>'B) D RI'!AA269</f>
        <v>1518</v>
      </c>
      <c r="E268" s="313">
        <f>'D) Ecrêtage'!C267</f>
        <v>187175.54426035503</v>
      </c>
      <c r="F268" s="317">
        <f>'E) Fact soc'!G273</f>
        <v>5754185.5503719766</v>
      </c>
      <c r="G268" s="314">
        <f>'H) Péréquation directe'!I278</f>
        <v>3283205.4677036186</v>
      </c>
      <c r="H268" s="317">
        <f>+'I) Dépenses thématiques'!T267</f>
        <v>0</v>
      </c>
      <c r="I268" s="314">
        <f>'K) Plafonnement aide'!J267</f>
        <v>0</v>
      </c>
      <c r="J268" s="317">
        <f>'J) Plafonnement effort'!J267</f>
        <v>0</v>
      </c>
      <c r="K268" s="314">
        <f>'L) Plafonnement taux'!Q268</f>
        <v>0</v>
      </c>
      <c r="L268" s="312">
        <f t="shared" si="20"/>
        <v>9037391.0180755947</v>
      </c>
      <c r="M268" s="233">
        <f>'M) Police'!O268</f>
        <v>354998.55614428502</v>
      </c>
      <c r="N268" s="233">
        <f t="shared" si="18"/>
        <v>9392389.5742198788</v>
      </c>
      <c r="O268" s="317">
        <f t="shared" si="19"/>
        <v>3283205.4677036186</v>
      </c>
      <c r="P268" s="319"/>
    </row>
    <row r="269" spans="1:16" s="154" customFormat="1" x14ac:dyDescent="0.25">
      <c r="A269" s="151">
        <f>'B) D RI'!A270</f>
        <v>5861</v>
      </c>
      <c r="B269" s="152" t="str">
        <f>'B) D RI'!B270</f>
        <v>Rolle</v>
      </c>
      <c r="C269" s="315">
        <f>'B) D RI'!S270</f>
        <v>59.5</v>
      </c>
      <c r="D269" s="153">
        <f>'B) D RI'!AA270</f>
        <v>6259</v>
      </c>
      <c r="E269" s="313">
        <f>'D) Ecrêtage'!C268</f>
        <v>1938335.8673949579</v>
      </c>
      <c r="F269" s="317">
        <f>'E) Fact soc'!G274</f>
        <v>79023431.374459803</v>
      </c>
      <c r="G269" s="314">
        <f>'H) Péréquation directe'!I279</f>
        <v>34586720.730858795</v>
      </c>
      <c r="H269" s="317">
        <f>+'I) Dépenses thématiques'!T268</f>
        <v>0</v>
      </c>
      <c r="I269" s="314">
        <f>'K) Plafonnement aide'!J268</f>
        <v>0</v>
      </c>
      <c r="J269" s="317">
        <f>'J) Plafonnement effort'!J268</f>
        <v>-19532160.290360618</v>
      </c>
      <c r="K269" s="314">
        <f>'L) Plafonnement taux'!Q269</f>
        <v>0</v>
      </c>
      <c r="L269" s="312">
        <f t="shared" si="20"/>
        <v>94077991.814957991</v>
      </c>
      <c r="M269" s="233">
        <f>'M) Police'!O269</f>
        <v>2834045.2084470936</v>
      </c>
      <c r="N269" s="233">
        <f t="shared" si="18"/>
        <v>96912037.02340509</v>
      </c>
      <c r="O269" s="317">
        <f t="shared" si="19"/>
        <v>15054560.440498177</v>
      </c>
      <c r="P269" s="319"/>
    </row>
    <row r="270" spans="1:16" s="154" customFormat="1" x14ac:dyDescent="0.25">
      <c r="A270" s="151">
        <f>'B) D RI'!A271</f>
        <v>5862</v>
      </c>
      <c r="B270" s="152" t="str">
        <f>'B) D RI'!B271</f>
        <v>Tartegnin</v>
      </c>
      <c r="C270" s="315">
        <f>'B) D RI'!S271</f>
        <v>79</v>
      </c>
      <c r="D270" s="153">
        <f>'B) D RI'!AA271</f>
        <v>236</v>
      </c>
      <c r="E270" s="313">
        <f>'D) Ecrêtage'!C269</f>
        <v>8096.4381012658214</v>
      </c>
      <c r="F270" s="317">
        <f>'E) Fact soc'!G275</f>
        <v>111705.04292518453</v>
      </c>
      <c r="G270" s="314">
        <f>'H) Péréquation directe'!I280</f>
        <v>43981.519153630172</v>
      </c>
      <c r="H270" s="317">
        <f>+'I) Dépenses thématiques'!T269</f>
        <v>0</v>
      </c>
      <c r="I270" s="314">
        <f>'K) Plafonnement aide'!J269</f>
        <v>0</v>
      </c>
      <c r="J270" s="317">
        <f>'J) Plafonnement effort'!J269</f>
        <v>0</v>
      </c>
      <c r="K270" s="314">
        <f>'L) Plafonnement taux'!Q270</f>
        <v>0</v>
      </c>
      <c r="L270" s="312">
        <f t="shared" si="20"/>
        <v>155686.56207881472</v>
      </c>
      <c r="M270" s="233">
        <f>'M) Police'!O270</f>
        <v>24446.186769232576</v>
      </c>
      <c r="N270" s="233">
        <f t="shared" si="18"/>
        <v>180132.74884804728</v>
      </c>
      <c r="O270" s="317">
        <f t="shared" si="19"/>
        <v>43981.519153630172</v>
      </c>
      <c r="P270" s="319"/>
    </row>
    <row r="271" spans="1:16" s="154" customFormat="1" x14ac:dyDescent="0.25">
      <c r="A271" s="151">
        <f>'B) D RI'!A272</f>
        <v>5863</v>
      </c>
      <c r="B271" s="152" t="str">
        <f>'B) D RI'!B272</f>
        <v>Vinzel</v>
      </c>
      <c r="C271" s="315">
        <f>'B) D RI'!S272</f>
        <v>67</v>
      </c>
      <c r="D271" s="153">
        <f>'B) D RI'!AA272</f>
        <v>385</v>
      </c>
      <c r="E271" s="313">
        <f>'D) Ecrêtage'!C270</f>
        <v>21933.69492537314</v>
      </c>
      <c r="F271" s="317">
        <f>'E) Fact soc'!G276</f>
        <v>399227.37306356349</v>
      </c>
      <c r="G271" s="314">
        <f>'H) Péréquation directe'!I281</f>
        <v>372600.60810318013</v>
      </c>
      <c r="H271" s="317">
        <f>+'I) Dépenses thématiques'!T270</f>
        <v>0</v>
      </c>
      <c r="I271" s="314">
        <f>'K) Plafonnement aide'!J270</f>
        <v>0</v>
      </c>
      <c r="J271" s="317">
        <f>'J) Plafonnement effort'!J270</f>
        <v>0</v>
      </c>
      <c r="K271" s="314">
        <f>'L) Plafonnement taux'!Q271</f>
        <v>0</v>
      </c>
      <c r="L271" s="312">
        <f t="shared" si="20"/>
        <v>771827.98116674367</v>
      </c>
      <c r="M271" s="233">
        <f>'M) Police'!O271</f>
        <v>60037.205776608389</v>
      </c>
      <c r="N271" s="233">
        <f t="shared" si="18"/>
        <v>831865.18694335211</v>
      </c>
      <c r="O271" s="317">
        <f t="shared" si="19"/>
        <v>372600.60810318013</v>
      </c>
      <c r="P271" s="319"/>
    </row>
    <row r="272" spans="1:16" s="154" customFormat="1" x14ac:dyDescent="0.25">
      <c r="A272" s="151">
        <f>'B) D RI'!A273</f>
        <v>5871</v>
      </c>
      <c r="B272" s="152" t="str">
        <f>'B) D RI'!B273</f>
        <v>L'Abbaye</v>
      </c>
      <c r="C272" s="315">
        <f>'B) D RI'!S273</f>
        <v>77.56</v>
      </c>
      <c r="D272" s="153">
        <f>'B) D RI'!AA273</f>
        <v>1473</v>
      </c>
      <c r="E272" s="313">
        <f>'D) Ecrêtage'!C271</f>
        <v>49513.521273852508</v>
      </c>
      <c r="F272" s="317">
        <f>'E) Fact soc'!G277</f>
        <v>1029461.8422280847</v>
      </c>
      <c r="G272" s="314">
        <f>'H) Péréquation directe'!I282</f>
        <v>143221.82025850215</v>
      </c>
      <c r="H272" s="317">
        <f>+'I) Dépenses thématiques'!T271</f>
        <v>-349590.62235688494</v>
      </c>
      <c r="I272" s="314">
        <f>'K) Plafonnement aide'!J271</f>
        <v>0</v>
      </c>
      <c r="J272" s="317">
        <f>'J) Plafonnement effort'!J271</f>
        <v>0</v>
      </c>
      <c r="K272" s="314">
        <f>'L) Plafonnement taux'!Q272</f>
        <v>0</v>
      </c>
      <c r="L272" s="312">
        <f t="shared" si="20"/>
        <v>823093.04012970184</v>
      </c>
      <c r="M272" s="233">
        <f>'M) Police'!O272</f>
        <v>150060.38382588554</v>
      </c>
      <c r="N272" s="233">
        <f t="shared" si="18"/>
        <v>973153.42395558744</v>
      </c>
      <c r="O272" s="317">
        <f t="shared" si="19"/>
        <v>-206368.80209838279</v>
      </c>
      <c r="P272" s="319"/>
    </row>
    <row r="273" spans="1:16" s="154" customFormat="1" x14ac:dyDescent="0.25">
      <c r="A273" s="151">
        <f>'B) D RI'!A274</f>
        <v>5872</v>
      </c>
      <c r="B273" s="152" t="str">
        <f>'B) D RI'!B274</f>
        <v>Le Chenit</v>
      </c>
      <c r="C273" s="315">
        <f>'B) D RI'!S274</f>
        <v>66.95</v>
      </c>
      <c r="D273" s="153">
        <f>'B) D RI'!AA274</f>
        <v>4600</v>
      </c>
      <c r="E273" s="313">
        <f>'D) Ecrêtage'!C272</f>
        <v>236042.78222554145</v>
      </c>
      <c r="F273" s="317">
        <f>'E) Fact soc'!G278</f>
        <v>7190455.9603909058</v>
      </c>
      <c r="G273" s="314">
        <f>'H) Péréquation directe'!I283</f>
        <v>2911612.6225718413</v>
      </c>
      <c r="H273" s="317">
        <f>+'I) Dépenses thématiques'!T272</f>
        <v>-1525127.9699775951</v>
      </c>
      <c r="I273" s="314">
        <f>'K) Plafonnement aide'!J272</f>
        <v>0</v>
      </c>
      <c r="J273" s="317">
        <f>'J) Plafonnement effort'!J272</f>
        <v>0</v>
      </c>
      <c r="K273" s="314">
        <f>'L) Plafonnement taux'!Q273</f>
        <v>0</v>
      </c>
      <c r="L273" s="312">
        <f t="shared" si="20"/>
        <v>8576940.6129851528</v>
      </c>
      <c r="M273" s="233">
        <f>'M) Police'!O273</f>
        <v>686760.72005564393</v>
      </c>
      <c r="N273" s="233">
        <f t="shared" si="18"/>
        <v>9263701.3330407962</v>
      </c>
      <c r="O273" s="317">
        <f t="shared" si="19"/>
        <v>1386484.6525942462</v>
      </c>
      <c r="P273" s="319"/>
    </row>
    <row r="274" spans="1:16" s="154" customFormat="1" x14ac:dyDescent="0.25">
      <c r="A274" s="151">
        <f>'B) D RI'!A275</f>
        <v>5873</v>
      </c>
      <c r="B274" s="152" t="str">
        <f>'B) D RI'!B275</f>
        <v>Le Lieu</v>
      </c>
      <c r="C274" s="315">
        <f>'B) D RI'!S275</f>
        <v>70</v>
      </c>
      <c r="D274" s="153">
        <f>'B) D RI'!AA275</f>
        <v>888</v>
      </c>
      <c r="E274" s="313">
        <f>'D) Ecrêtage'!C273</f>
        <v>30440.408392857149</v>
      </c>
      <c r="F274" s="317">
        <f>'E) Fact soc'!G279</f>
        <v>781464.81374126743</v>
      </c>
      <c r="G274" s="314">
        <f>'H) Péréquation directe'!I284</f>
        <v>230780.72705489059</v>
      </c>
      <c r="H274" s="317">
        <f>+'I) Dépenses thématiques'!T273</f>
        <v>-693132.99334821431</v>
      </c>
      <c r="I274" s="314">
        <f>'K) Plafonnement aide'!J273</f>
        <v>0</v>
      </c>
      <c r="J274" s="317">
        <f>'J) Plafonnement effort'!J273</f>
        <v>0</v>
      </c>
      <c r="K274" s="314">
        <f>'L) Plafonnement taux'!Q274</f>
        <v>0</v>
      </c>
      <c r="L274" s="312">
        <f t="shared" si="20"/>
        <v>319112.54744794371</v>
      </c>
      <c r="M274" s="233">
        <f>'M) Police'!O274</f>
        <v>92519.28401503319</v>
      </c>
      <c r="N274" s="233">
        <f t="shared" si="18"/>
        <v>411631.83146297687</v>
      </c>
      <c r="O274" s="317">
        <f t="shared" si="19"/>
        <v>-462352.26629332372</v>
      </c>
      <c r="P274" s="319"/>
    </row>
    <row r="275" spans="1:16" s="154" customFormat="1" x14ac:dyDescent="0.25">
      <c r="A275" s="151">
        <f>'B) D RI'!A276</f>
        <v>5881</v>
      </c>
      <c r="B275" s="152" t="str">
        <f>'B) D RI'!B276</f>
        <v>Blonay</v>
      </c>
      <c r="C275" s="315">
        <f>'B) D RI'!S276</f>
        <v>68.5</v>
      </c>
      <c r="D275" s="153">
        <f>'B) D RI'!AA276</f>
        <v>6215</v>
      </c>
      <c r="E275" s="313">
        <f>'D) Ecrêtage'!C274</f>
        <v>363266.43007299263</v>
      </c>
      <c r="F275" s="317">
        <f>'E) Fact soc'!G280</f>
        <v>7654545.6302315081</v>
      </c>
      <c r="G275" s="314">
        <f>'H) Péréquation directe'!I285</f>
        <v>4428209.0081811054</v>
      </c>
      <c r="H275" s="317">
        <f>+'I) Dépenses thématiques'!T274</f>
        <v>-711376.59700729977</v>
      </c>
      <c r="I275" s="314">
        <f>'K) Plafonnement aide'!J274</f>
        <v>0</v>
      </c>
      <c r="J275" s="317">
        <f>'J) Plafonnement effort'!J274</f>
        <v>0</v>
      </c>
      <c r="K275" s="314">
        <f>'L) Plafonnement taux'!Q275</f>
        <v>0</v>
      </c>
      <c r="L275" s="312">
        <f t="shared" si="20"/>
        <v>11371378.041405313</v>
      </c>
      <c r="M275" s="233">
        <f>'M) Police'!O275</f>
        <v>426711.21566904173</v>
      </c>
      <c r="N275" s="233">
        <f t="shared" si="18"/>
        <v>11798089.257074354</v>
      </c>
      <c r="O275" s="317">
        <f t="shared" si="19"/>
        <v>3716832.4111738056</v>
      </c>
      <c r="P275" s="319"/>
    </row>
    <row r="276" spans="1:16" s="154" customFormat="1" x14ac:dyDescent="0.25">
      <c r="A276" s="151">
        <f>'B) D RI'!A277</f>
        <v>5882</v>
      </c>
      <c r="B276" s="152" t="str">
        <f>'B) D RI'!B277</f>
        <v>Chardonne</v>
      </c>
      <c r="C276" s="315">
        <f>'B) D RI'!S277</f>
        <v>68</v>
      </c>
      <c r="D276" s="153">
        <f>'B) D RI'!AA277</f>
        <v>3093</v>
      </c>
      <c r="E276" s="313">
        <f>'D) Ecrêtage'!C275</f>
        <v>179032.37397058826</v>
      </c>
      <c r="F276" s="317">
        <f>'E) Fact soc'!G281</f>
        <v>3450397.0971665592</v>
      </c>
      <c r="G276" s="314">
        <f>'H) Péréquation directe'!I286</f>
        <v>2566498.2912194002</v>
      </c>
      <c r="H276" s="317">
        <f>+'I) Dépenses thématiques'!T275</f>
        <v>-384378.75617647043</v>
      </c>
      <c r="I276" s="314">
        <f>'K) Plafonnement aide'!J275</f>
        <v>0</v>
      </c>
      <c r="J276" s="317">
        <f>'J) Plafonnement effort'!J275</f>
        <v>0</v>
      </c>
      <c r="K276" s="314">
        <f>'L) Plafonnement taux'!Q276</f>
        <v>0</v>
      </c>
      <c r="L276" s="312">
        <f t="shared" si="20"/>
        <v>5632516.6322094882</v>
      </c>
      <c r="M276" s="233">
        <f>'M) Police'!O276</f>
        <v>210300.52770291446</v>
      </c>
      <c r="N276" s="233">
        <f t="shared" si="18"/>
        <v>5842817.1599124027</v>
      </c>
      <c r="O276" s="317">
        <f t="shared" si="19"/>
        <v>2182119.5350429299</v>
      </c>
      <c r="P276" s="319"/>
    </row>
    <row r="277" spans="1:16" s="154" customFormat="1" x14ac:dyDescent="0.25">
      <c r="A277" s="151">
        <f>'B) D RI'!A278</f>
        <v>5883</v>
      </c>
      <c r="B277" s="152" t="str">
        <f>'B) D RI'!B278</f>
        <v>Corseaux</v>
      </c>
      <c r="C277" s="315">
        <f>'B) D RI'!S278</f>
        <v>67.5</v>
      </c>
      <c r="D277" s="153">
        <f>'B) D RI'!AA278</f>
        <v>2311</v>
      </c>
      <c r="E277" s="313">
        <f>'D) Ecrêtage'!C276</f>
        <v>167893.40074074076</v>
      </c>
      <c r="F277" s="317">
        <f>'E) Fact soc'!G282</f>
        <v>3697787.5927101942</v>
      </c>
      <c r="G277" s="314">
        <f>'H) Péréquation directe'!I287</f>
        <v>2638365.4329031627</v>
      </c>
      <c r="H277" s="317">
        <f>+'I) Dépenses thématiques'!T276</f>
        <v>0</v>
      </c>
      <c r="I277" s="314">
        <f>'K) Plafonnement aide'!J276</f>
        <v>0</v>
      </c>
      <c r="J277" s="317">
        <f>'J) Plafonnement effort'!J276</f>
        <v>0</v>
      </c>
      <c r="K277" s="314">
        <f>'L) Plafonnement taux'!Q277</f>
        <v>0</v>
      </c>
      <c r="L277" s="312">
        <f t="shared" si="20"/>
        <v>6336153.0256133564</v>
      </c>
      <c r="M277" s="233">
        <f>'M) Police'!O277</f>
        <v>197216.12348957144</v>
      </c>
      <c r="N277" s="233">
        <f t="shared" si="18"/>
        <v>6533369.1491029281</v>
      </c>
      <c r="O277" s="317">
        <f t="shared" si="19"/>
        <v>2638365.4329031627</v>
      </c>
      <c r="P277" s="319"/>
    </row>
    <row r="278" spans="1:16" s="154" customFormat="1" x14ac:dyDescent="0.25">
      <c r="A278" s="151">
        <f>'B) D RI'!A279</f>
        <v>5884</v>
      </c>
      <c r="B278" s="152" t="str">
        <f>'B) D RI'!B279</f>
        <v>Corsier-sur-Vevey</v>
      </c>
      <c r="C278" s="315">
        <f>'B) D RI'!S279</f>
        <v>66</v>
      </c>
      <c r="D278" s="153">
        <f>'B) D RI'!AA279</f>
        <v>3420</v>
      </c>
      <c r="E278" s="313">
        <f>'D) Ecrêtage'!C277</f>
        <v>122170.7416919192</v>
      </c>
      <c r="F278" s="317">
        <f>'E) Fact soc'!G283</f>
        <v>2055536.9055977408</v>
      </c>
      <c r="G278" s="314">
        <f>'H) Péréquation directe'!I288</f>
        <v>570669.19929859391</v>
      </c>
      <c r="H278" s="317">
        <f>+'I) Dépenses thématiques'!T277</f>
        <v>-1318518.0498484848</v>
      </c>
      <c r="I278" s="314">
        <f>'K) Plafonnement aide'!J277</f>
        <v>0</v>
      </c>
      <c r="J278" s="317">
        <f>'J) Plafonnement effort'!J277</f>
        <v>0</v>
      </c>
      <c r="K278" s="314">
        <f>'L) Plafonnement taux'!Q278</f>
        <v>0</v>
      </c>
      <c r="L278" s="312">
        <f t="shared" si="20"/>
        <v>1307688.0550478501</v>
      </c>
      <c r="M278" s="233">
        <f>'M) Police'!O278</f>
        <v>143507.96382718961</v>
      </c>
      <c r="N278" s="233">
        <f t="shared" si="18"/>
        <v>1451196.0188750396</v>
      </c>
      <c r="O278" s="317">
        <f t="shared" si="19"/>
        <v>-747848.85054989089</v>
      </c>
      <c r="P278" s="319"/>
    </row>
    <row r="279" spans="1:16" s="154" customFormat="1" x14ac:dyDescent="0.25">
      <c r="A279" s="151">
        <f>'B) D RI'!A280</f>
        <v>5885</v>
      </c>
      <c r="B279" s="152" t="str">
        <f>'B) D RI'!B280</f>
        <v>Jongny</v>
      </c>
      <c r="C279" s="315">
        <f>'B) D RI'!S280</f>
        <v>69.5</v>
      </c>
      <c r="D279" s="153">
        <f>'B) D RI'!AA280</f>
        <v>1670</v>
      </c>
      <c r="E279" s="313">
        <f>'D) Ecrêtage'!C278</f>
        <v>85101.213069544348</v>
      </c>
      <c r="F279" s="317">
        <f>'E) Fact soc'!G284</f>
        <v>1554013.2012480991</v>
      </c>
      <c r="G279" s="314">
        <f>'H) Péréquation directe'!I289</f>
        <v>1274276.7112449273</v>
      </c>
      <c r="H279" s="317">
        <f>+'I) Dépenses thématiques'!T278</f>
        <v>-73656.22158273391</v>
      </c>
      <c r="I279" s="314">
        <f>'K) Plafonnement aide'!J278</f>
        <v>0</v>
      </c>
      <c r="J279" s="317">
        <f>'J) Plafonnement effort'!J278</f>
        <v>0</v>
      </c>
      <c r="K279" s="314">
        <f>'L) Plafonnement taux'!Q279</f>
        <v>0</v>
      </c>
      <c r="L279" s="312">
        <f t="shared" si="20"/>
        <v>2754633.6909102923</v>
      </c>
      <c r="M279" s="233">
        <f>'M) Police'!O279</f>
        <v>99964.211051703183</v>
      </c>
      <c r="N279" s="233">
        <f t="shared" si="18"/>
        <v>2854597.9019619953</v>
      </c>
      <c r="O279" s="317">
        <f t="shared" si="19"/>
        <v>1200620.4896621932</v>
      </c>
      <c r="P279" s="319"/>
    </row>
    <row r="280" spans="1:16" s="154" customFormat="1" x14ac:dyDescent="0.25">
      <c r="A280" s="151">
        <f>'B) D RI'!A281</f>
        <v>5886</v>
      </c>
      <c r="B280" s="152" t="str">
        <f>'B) D RI'!B281</f>
        <v>Montreux</v>
      </c>
      <c r="C280" s="315">
        <f>'B) D RI'!S281</f>
        <v>65</v>
      </c>
      <c r="D280" s="153">
        <f>'B) D RI'!AA281</f>
        <v>26180</v>
      </c>
      <c r="E280" s="313">
        <f>'D) Ecrêtage'!C279</f>
        <v>1097075.3945128203</v>
      </c>
      <c r="F280" s="317">
        <f>'E) Fact soc'!G285</f>
        <v>25868085.616110049</v>
      </c>
      <c r="G280" s="314">
        <f>'H) Péréquation directe'!I290</f>
        <v>-3096365.6072538905</v>
      </c>
      <c r="H280" s="317">
        <f>+'I) Dépenses thématiques'!T279</f>
        <v>-6323820.337038463</v>
      </c>
      <c r="I280" s="314">
        <f>'K) Plafonnement aide'!J279</f>
        <v>0</v>
      </c>
      <c r="J280" s="317">
        <f>'J) Plafonnement effort'!J279</f>
        <v>0</v>
      </c>
      <c r="K280" s="314">
        <f>'L) Plafonnement taux'!Q280</f>
        <v>0</v>
      </c>
      <c r="L280" s="312">
        <f t="shared" si="20"/>
        <v>16447899.671817696</v>
      </c>
      <c r="M280" s="233">
        <f>'M) Police'!O280</f>
        <v>1288680.5289965686</v>
      </c>
      <c r="N280" s="233">
        <f t="shared" si="18"/>
        <v>17736580.200814266</v>
      </c>
      <c r="O280" s="317">
        <f t="shared" si="19"/>
        <v>-9420185.9442923535</v>
      </c>
      <c r="P280" s="319"/>
    </row>
    <row r="281" spans="1:16" s="154" customFormat="1" x14ac:dyDescent="0.25">
      <c r="A281" s="151">
        <f>'B) D RI'!A282</f>
        <v>5888</v>
      </c>
      <c r="B281" s="152" t="str">
        <f>'B) D RI'!B282</f>
        <v>Saint-Légier-La Chiésaz</v>
      </c>
      <c r="C281" s="315">
        <f>'B) D RI'!S282</f>
        <v>68.5</v>
      </c>
      <c r="D281" s="153">
        <f>'B) D RI'!AA282</f>
        <v>5522</v>
      </c>
      <c r="E281" s="313">
        <f>'D) Ecrêtage'!C280</f>
        <v>325586.52158150851</v>
      </c>
      <c r="F281" s="317">
        <f>'E) Fact soc'!G286</f>
        <v>6301060.3476765687</v>
      </c>
      <c r="G281" s="314">
        <f>'H) Péréquation directe'!I291</f>
        <v>4118563.1230525081</v>
      </c>
      <c r="H281" s="317">
        <f>+'I) Dépenses thématiques'!T280</f>
        <v>-1193867.4793248177</v>
      </c>
      <c r="I281" s="314">
        <f>'K) Plafonnement aide'!J280</f>
        <v>0</v>
      </c>
      <c r="J281" s="317">
        <f>'J) Plafonnement effort'!J280</f>
        <v>0</v>
      </c>
      <c r="K281" s="314">
        <f>'L) Plafonnement taux'!Q281</f>
        <v>0</v>
      </c>
      <c r="L281" s="312">
        <f t="shared" si="20"/>
        <v>9225755.9914042596</v>
      </c>
      <c r="M281" s="233">
        <f>'M) Police'!O281</f>
        <v>382450.47967020824</v>
      </c>
      <c r="N281" s="233">
        <f t="shared" si="18"/>
        <v>9608206.4710744675</v>
      </c>
      <c r="O281" s="317">
        <f t="shared" si="19"/>
        <v>2924695.6437276904</v>
      </c>
      <c r="P281" s="319"/>
    </row>
    <row r="282" spans="1:16" s="154" customFormat="1" x14ac:dyDescent="0.25">
      <c r="A282" s="151">
        <f>'B) D RI'!A283</f>
        <v>5889</v>
      </c>
      <c r="B282" s="152" t="str">
        <f>'B) D RI'!B283</f>
        <v>La Tour-de-Peilz</v>
      </c>
      <c r="C282" s="315">
        <f>'B) D RI'!S283</f>
        <v>64</v>
      </c>
      <c r="D282" s="153">
        <f>'B) D RI'!AA283</f>
        <v>12088</v>
      </c>
      <c r="E282" s="313">
        <f>'D) Ecrêtage'!C281</f>
        <v>675962.70015625004</v>
      </c>
      <c r="F282" s="317">
        <f>'E) Fact soc'!G287</f>
        <v>12035792.428539131</v>
      </c>
      <c r="G282" s="314">
        <f>'H) Péréquation directe'!I292</f>
        <v>6146414.0178690907</v>
      </c>
      <c r="H282" s="317">
        <f>+'I) Dépenses thématiques'!T281</f>
        <v>-137812.79906249978</v>
      </c>
      <c r="I282" s="314">
        <f>'K) Plafonnement aide'!J281</f>
        <v>0</v>
      </c>
      <c r="J282" s="317">
        <f>'J) Plafonnement effort'!J281</f>
        <v>0</v>
      </c>
      <c r="K282" s="314">
        <f>'L) Plafonnement taux'!Q282</f>
        <v>0</v>
      </c>
      <c r="L282" s="312">
        <f t="shared" si="20"/>
        <v>18044393.647345722</v>
      </c>
      <c r="M282" s="233">
        <f>'M) Police'!O282</f>
        <v>794020.15064437361</v>
      </c>
      <c r="N282" s="233">
        <f t="shared" si="18"/>
        <v>18838413.797990095</v>
      </c>
      <c r="O282" s="317">
        <f t="shared" si="19"/>
        <v>6008601.2188065909</v>
      </c>
      <c r="P282" s="319"/>
    </row>
    <row r="283" spans="1:16" s="154" customFormat="1" x14ac:dyDescent="0.25">
      <c r="A283" s="151">
        <f>'B) D RI'!A284</f>
        <v>5890</v>
      </c>
      <c r="B283" s="152" t="str">
        <f>'B) D RI'!B284</f>
        <v>Vevey</v>
      </c>
      <c r="C283" s="315">
        <f>'B) D RI'!S284</f>
        <v>74.5</v>
      </c>
      <c r="D283" s="153">
        <f>'B) D RI'!AA284</f>
        <v>19780</v>
      </c>
      <c r="E283" s="313">
        <f>'D) Ecrêtage'!C282</f>
        <v>862625.86017897108</v>
      </c>
      <c r="F283" s="317">
        <f>'E) Fact soc'!G288</f>
        <v>15045715.539865054</v>
      </c>
      <c r="G283" s="314">
        <f>'H) Péréquation directe'!I293</f>
        <v>-151291.88316666707</v>
      </c>
      <c r="H283" s="317">
        <f>+'I) Dépenses thématiques'!T282</f>
        <v>-3716778.0889261737</v>
      </c>
      <c r="I283" s="314">
        <f>'K) Plafonnement aide'!J282</f>
        <v>0</v>
      </c>
      <c r="J283" s="317">
        <f>'J) Plafonnement effort'!J282</f>
        <v>0</v>
      </c>
      <c r="K283" s="314">
        <f>'L) Plafonnement taux'!Q283</f>
        <v>0</v>
      </c>
      <c r="L283" s="312">
        <f t="shared" si="20"/>
        <v>11177645.567772213</v>
      </c>
      <c r="M283" s="233">
        <f>'M) Police'!O283</f>
        <v>1013284.1875605168</v>
      </c>
      <c r="N283" s="233">
        <f t="shared" si="18"/>
        <v>12190929.755332731</v>
      </c>
      <c r="O283" s="317">
        <f t="shared" si="19"/>
        <v>-3868069.9720928408</v>
      </c>
      <c r="P283" s="319"/>
    </row>
    <row r="284" spans="1:16" s="154" customFormat="1" x14ac:dyDescent="0.25">
      <c r="A284" s="151">
        <f>'B) D RI'!A285</f>
        <v>5891</v>
      </c>
      <c r="B284" s="152" t="str">
        <f>'B) D RI'!B285</f>
        <v>Veytaux</v>
      </c>
      <c r="C284" s="315">
        <f>'B) D RI'!S285</f>
        <v>69.5</v>
      </c>
      <c r="D284" s="153">
        <f>'B) D RI'!AA285</f>
        <v>956</v>
      </c>
      <c r="E284" s="313">
        <f>'D) Ecrêtage'!C283</f>
        <v>43950.38565947242</v>
      </c>
      <c r="F284" s="317">
        <f>'E) Fact soc'!G289</f>
        <v>751161.79235126975</v>
      </c>
      <c r="G284" s="314">
        <f>'H) Péréquation directe'!I294</f>
        <v>683041.96625666879</v>
      </c>
      <c r="H284" s="317">
        <f>+'I) Dépenses thématiques'!T283</f>
        <v>-457170.39679856121</v>
      </c>
      <c r="I284" s="314">
        <f>'K) Plafonnement aide'!J283</f>
        <v>0</v>
      </c>
      <c r="J284" s="317">
        <f>'J) Plafonnement effort'!J283</f>
        <v>0</v>
      </c>
      <c r="K284" s="314">
        <f>'L) Plafonnement taux'!Q284</f>
        <v>0</v>
      </c>
      <c r="L284" s="312">
        <f t="shared" si="20"/>
        <v>977033.36180937721</v>
      </c>
      <c r="M284" s="233">
        <f>'M) Police'!O284</f>
        <v>51626.357244484032</v>
      </c>
      <c r="N284" s="233">
        <f t="shared" si="18"/>
        <v>1028659.7190538612</v>
      </c>
      <c r="O284" s="317">
        <f t="shared" si="19"/>
        <v>225871.56945810758</v>
      </c>
      <c r="P284" s="319"/>
    </row>
    <row r="285" spans="1:16" s="154" customFormat="1" x14ac:dyDescent="0.25">
      <c r="A285" s="151">
        <f>'B) D RI'!A286</f>
        <v>5902</v>
      </c>
      <c r="B285" s="152" t="str">
        <f>'B) D RI'!B286</f>
        <v>Belmont-sur-Yverdon</v>
      </c>
      <c r="C285" s="315">
        <f>'B) D RI'!S286</f>
        <v>70</v>
      </c>
      <c r="D285" s="153">
        <f>'B) D RI'!AA286</f>
        <v>396</v>
      </c>
      <c r="E285" s="313">
        <f>'D) Ecrêtage'!C284</f>
        <v>11719.310285714289</v>
      </c>
      <c r="F285" s="317">
        <f>'E) Fact soc'!G290</f>
        <v>242602.04024673911</v>
      </c>
      <c r="G285" s="314">
        <f>'H) Péréquation directe'!I295</f>
        <v>30880.833238174382</v>
      </c>
      <c r="H285" s="317">
        <f>+'I) Dépenses thématiques'!T284</f>
        <v>-4392.5172857142825</v>
      </c>
      <c r="I285" s="314">
        <f>'K) Plafonnement aide'!J284</f>
        <v>0</v>
      </c>
      <c r="J285" s="317">
        <f>'J) Plafonnement effort'!J284</f>
        <v>0</v>
      </c>
      <c r="K285" s="314">
        <f>'L) Plafonnement taux'!Q285</f>
        <v>0</v>
      </c>
      <c r="L285" s="312">
        <f t="shared" si="20"/>
        <v>269090.35619919922</v>
      </c>
      <c r="M285" s="233">
        <f>'M) Police'!O285</f>
        <v>35588.834478150748</v>
      </c>
      <c r="N285" s="233">
        <f t="shared" si="18"/>
        <v>304679.19067734998</v>
      </c>
      <c r="O285" s="317">
        <f t="shared" si="19"/>
        <v>26488.3159524601</v>
      </c>
      <c r="P285" s="319"/>
    </row>
    <row r="286" spans="1:16" s="154" customFormat="1" x14ac:dyDescent="0.25">
      <c r="A286" s="151">
        <f>'B) D RI'!A287</f>
        <v>5903</v>
      </c>
      <c r="B286" s="152" t="str">
        <f>'B) D RI'!B287</f>
        <v>Bioley-Magnoux</v>
      </c>
      <c r="C286" s="315">
        <f>'B) D RI'!S287</f>
        <v>72</v>
      </c>
      <c r="D286" s="153">
        <f>'B) D RI'!AA287</f>
        <v>230</v>
      </c>
      <c r="E286" s="313">
        <f>'D) Ecrêtage'!C285</f>
        <v>5017.2132738095233</v>
      </c>
      <c r="F286" s="317">
        <f>'E) Fact soc'!G291</f>
        <v>78733.747337100765</v>
      </c>
      <c r="G286" s="314">
        <f>'H) Péréquation directe'!I296</f>
        <v>-58443.23535806268</v>
      </c>
      <c r="H286" s="317">
        <f>+'I) Dépenses thématiques'!T285</f>
        <v>-139032.06040178571</v>
      </c>
      <c r="I286" s="314">
        <f>'K) Plafonnement aide'!J285</f>
        <v>0</v>
      </c>
      <c r="J286" s="317">
        <f>'J) Plafonnement effort'!J285</f>
        <v>0</v>
      </c>
      <c r="K286" s="314">
        <f>'L) Plafonnement taux'!Q286</f>
        <v>0</v>
      </c>
      <c r="L286" s="312">
        <f t="shared" si="20"/>
        <v>-118741.54842274763</v>
      </c>
      <c r="M286" s="233">
        <f>'M) Police'!O286</f>
        <v>14910.003487215959</v>
      </c>
      <c r="N286" s="233">
        <f t="shared" si="18"/>
        <v>-103831.54493553167</v>
      </c>
      <c r="O286" s="317">
        <f t="shared" si="19"/>
        <v>-197475.29575984838</v>
      </c>
      <c r="P286" s="319"/>
    </row>
    <row r="287" spans="1:16" s="154" customFormat="1" x14ac:dyDescent="0.25">
      <c r="A287" s="151">
        <f>'B) D RI'!A288</f>
        <v>5904</v>
      </c>
      <c r="B287" s="152" t="str">
        <f>'B) D RI'!B288</f>
        <v>Chamblon</v>
      </c>
      <c r="C287" s="315">
        <f>'B) D RI'!S288</f>
        <v>66</v>
      </c>
      <c r="D287" s="153">
        <f>'B) D RI'!AA288</f>
        <v>559</v>
      </c>
      <c r="E287" s="313">
        <f>'D) Ecrêtage'!C286</f>
        <v>21694.056363636359</v>
      </c>
      <c r="F287" s="317">
        <f>'E) Fact soc'!G292</f>
        <v>339552.35136317462</v>
      </c>
      <c r="G287" s="314">
        <f>'H) Péréquation directe'!I297</f>
        <v>254985.62394930993</v>
      </c>
      <c r="H287" s="317">
        <f>+'I) Dépenses thématiques'!T286</f>
        <v>0</v>
      </c>
      <c r="I287" s="314">
        <f>'K) Plafonnement aide'!J286</f>
        <v>0</v>
      </c>
      <c r="J287" s="317">
        <f>'J) Plafonnement effort'!J286</f>
        <v>0</v>
      </c>
      <c r="K287" s="314">
        <f>'L) Plafonnement taux'!Q287</f>
        <v>0</v>
      </c>
      <c r="L287" s="312">
        <f t="shared" si="20"/>
        <v>594537.97531248454</v>
      </c>
      <c r="M287" s="233">
        <f>'M) Police'!O287</f>
        <v>25482.941437390498</v>
      </c>
      <c r="N287" s="233">
        <f t="shared" si="18"/>
        <v>620020.91674987506</v>
      </c>
      <c r="O287" s="317">
        <f t="shared" si="19"/>
        <v>254985.62394930993</v>
      </c>
      <c r="P287" s="319"/>
    </row>
    <row r="288" spans="1:16" s="154" customFormat="1" x14ac:dyDescent="0.25">
      <c r="A288" s="151">
        <f>'B) D RI'!A289</f>
        <v>5905</v>
      </c>
      <c r="B288" s="152" t="str">
        <f>'B) D RI'!B289</f>
        <v>Champvent</v>
      </c>
      <c r="C288" s="315">
        <f>'B) D RI'!S289</f>
        <v>71</v>
      </c>
      <c r="D288" s="153">
        <f>'B) D RI'!AA289</f>
        <v>696</v>
      </c>
      <c r="E288" s="313">
        <f>'D) Ecrêtage'!C287</f>
        <v>21673.362816901412</v>
      </c>
      <c r="F288" s="317">
        <f>'E) Fact soc'!G293</f>
        <v>364332.95946909348</v>
      </c>
      <c r="G288" s="314">
        <f>'H) Péréquation directe'!I298</f>
        <v>89335.815842275275</v>
      </c>
      <c r="H288" s="317">
        <f>+'I) Dépenses thématiques'!T287</f>
        <v>-88782.073098591529</v>
      </c>
      <c r="I288" s="314">
        <f>'K) Plafonnement aide'!J287</f>
        <v>0</v>
      </c>
      <c r="J288" s="317">
        <f>'J) Plafonnement effort'!J287</f>
        <v>0</v>
      </c>
      <c r="K288" s="314">
        <f>'L) Plafonnement taux'!Q288</f>
        <v>0</v>
      </c>
      <c r="L288" s="312">
        <f t="shared" si="20"/>
        <v>364886.70221277722</v>
      </c>
      <c r="M288" s="233">
        <f>'M) Police'!O288</f>
        <v>65976.398815847118</v>
      </c>
      <c r="N288" s="233">
        <f t="shared" si="18"/>
        <v>430863.10102862434</v>
      </c>
      <c r="O288" s="317">
        <f t="shared" si="19"/>
        <v>553.74274368374608</v>
      </c>
      <c r="P288" s="319"/>
    </row>
    <row r="289" spans="1:16" s="154" customFormat="1" x14ac:dyDescent="0.25">
      <c r="A289" s="151">
        <f>'B) D RI'!A290</f>
        <v>5907</v>
      </c>
      <c r="B289" s="152" t="str">
        <f>'B) D RI'!B290</f>
        <v>Chavannes-le-Chêne</v>
      </c>
      <c r="C289" s="315">
        <f>'B) D RI'!S290</f>
        <v>75</v>
      </c>
      <c r="D289" s="153">
        <f>'B) D RI'!AA290</f>
        <v>324</v>
      </c>
      <c r="E289" s="313">
        <f>'D) Ecrêtage'!C288</f>
        <v>9891.0456000000013</v>
      </c>
      <c r="F289" s="317">
        <f>'E) Fact soc'!G294</f>
        <v>151780.1640321264</v>
      </c>
      <c r="G289" s="314">
        <f>'H) Péréquation directe'!I299</f>
        <v>20385.043229006842</v>
      </c>
      <c r="H289" s="317">
        <f>+'I) Dépenses thématiques'!T288</f>
        <v>-48472.976399999992</v>
      </c>
      <c r="I289" s="314">
        <f>'K) Plafonnement aide'!J288</f>
        <v>0</v>
      </c>
      <c r="J289" s="317">
        <f>'J) Plafonnement effort'!J288</f>
        <v>0</v>
      </c>
      <c r="K289" s="314">
        <f>'L) Plafonnement taux'!Q289</f>
        <v>0</v>
      </c>
      <c r="L289" s="312">
        <f t="shared" si="20"/>
        <v>123692.23086113326</v>
      </c>
      <c r="M289" s="233">
        <f>'M) Police'!O289</f>
        <v>30143.844180042503</v>
      </c>
      <c r="N289" s="233">
        <f t="shared" si="18"/>
        <v>153836.07504117576</v>
      </c>
      <c r="O289" s="317">
        <f t="shared" si="19"/>
        <v>-28087.93317099315</v>
      </c>
      <c r="P289" s="319"/>
    </row>
    <row r="290" spans="1:16" s="154" customFormat="1" x14ac:dyDescent="0.25">
      <c r="A290" s="151">
        <f>'B) D RI'!A291</f>
        <v>5908</v>
      </c>
      <c r="B290" s="152" t="str">
        <f>'B) D RI'!B291</f>
        <v>Chêne-Pâquier</v>
      </c>
      <c r="C290" s="315">
        <f>'B) D RI'!S291</f>
        <v>79</v>
      </c>
      <c r="D290" s="153">
        <f>'B) D RI'!AA291</f>
        <v>144</v>
      </c>
      <c r="E290" s="313">
        <f>'D) Ecrêtage'!C289</f>
        <v>6502.4863291139245</v>
      </c>
      <c r="F290" s="317">
        <f>'E) Fact soc'!G295</f>
        <v>93572.419313466788</v>
      </c>
      <c r="G290" s="314">
        <f>'H) Péréquation directe'!I300</f>
        <v>95894.287763746019</v>
      </c>
      <c r="H290" s="317">
        <f>+'I) Dépenses thématiques'!T289</f>
        <v>-6727.1352531645571</v>
      </c>
      <c r="I290" s="314">
        <f>'K) Plafonnement aide'!J289</f>
        <v>0</v>
      </c>
      <c r="J290" s="317">
        <f>'J) Plafonnement effort'!J289</f>
        <v>0</v>
      </c>
      <c r="K290" s="314">
        <f>'L) Plafonnement taux'!Q290</f>
        <v>-69698.252275360763</v>
      </c>
      <c r="L290" s="312">
        <f t="shared" si="20"/>
        <v>113041.31954868748</v>
      </c>
      <c r="M290" s="233">
        <f>'M) Police'!O290</f>
        <v>20100.814798126463</v>
      </c>
      <c r="N290" s="233">
        <f t="shared" si="18"/>
        <v>133142.13434681395</v>
      </c>
      <c r="O290" s="317">
        <f t="shared" si="19"/>
        <v>19468.900235220703</v>
      </c>
      <c r="P290" s="319"/>
    </row>
    <row r="291" spans="1:16" s="154" customFormat="1" x14ac:dyDescent="0.25">
      <c r="A291" s="151">
        <f>'B) D RI'!A292</f>
        <v>5909</v>
      </c>
      <c r="B291" s="152" t="str">
        <f>'B) D RI'!B292</f>
        <v>Cheseaux-Noréaz</v>
      </c>
      <c r="C291" s="315">
        <f>'B) D RI'!S292</f>
        <v>67</v>
      </c>
      <c r="D291" s="153">
        <f>'B) D RI'!AA292</f>
        <v>741</v>
      </c>
      <c r="E291" s="313">
        <f>'D) Ecrêtage'!C290</f>
        <v>39259.116417910453</v>
      </c>
      <c r="F291" s="317">
        <f>'E) Fact soc'!G296</f>
        <v>626244.84764313954</v>
      </c>
      <c r="G291" s="314">
        <f>'H) Péréquation directe'!I301</f>
        <v>660483.88852552185</v>
      </c>
      <c r="H291" s="317">
        <f>+'I) Dépenses thématiques'!T290</f>
        <v>-28347.051492537285</v>
      </c>
      <c r="I291" s="314">
        <f>'K) Plafonnement aide'!J290</f>
        <v>0</v>
      </c>
      <c r="J291" s="317">
        <f>'J) Plafonnement effort'!J290</f>
        <v>0</v>
      </c>
      <c r="K291" s="314">
        <f>'L) Plafonnement taux'!Q291</f>
        <v>0</v>
      </c>
      <c r="L291" s="312">
        <f t="shared" si="20"/>
        <v>1258381.684676124</v>
      </c>
      <c r="M291" s="233">
        <f>'M) Police'!O291</f>
        <v>46115.753909363149</v>
      </c>
      <c r="N291" s="233">
        <f t="shared" si="18"/>
        <v>1304497.4385854872</v>
      </c>
      <c r="O291" s="317">
        <f t="shared" si="19"/>
        <v>632136.83703298459</v>
      </c>
      <c r="P291" s="319"/>
    </row>
    <row r="292" spans="1:16" s="154" customFormat="1" x14ac:dyDescent="0.25">
      <c r="A292" s="151">
        <f>'B) D RI'!A293</f>
        <v>5910</v>
      </c>
      <c r="B292" s="152" t="str">
        <f>'B) D RI'!B293</f>
        <v>Cronay</v>
      </c>
      <c r="C292" s="315">
        <f>'B) D RI'!S293</f>
        <v>77</v>
      </c>
      <c r="D292" s="153">
        <f>'B) D RI'!AA293</f>
        <v>393</v>
      </c>
      <c r="E292" s="313">
        <f>'D) Ecrêtage'!C291</f>
        <v>9976.0020779220758</v>
      </c>
      <c r="F292" s="317">
        <f>'E) Fact soc'!G297</f>
        <v>129626.07510601787</v>
      </c>
      <c r="G292" s="314">
        <f>'H) Péréquation directe'!I302</f>
        <v>-70554.801304911962</v>
      </c>
      <c r="H292" s="317">
        <f>+'I) Dépenses thématiques'!T291</f>
        <v>-100328.98597402599</v>
      </c>
      <c r="I292" s="314">
        <f>'K) Plafonnement aide'!J291</f>
        <v>0</v>
      </c>
      <c r="J292" s="317">
        <f>'J) Plafonnement effort'!J291</f>
        <v>0</v>
      </c>
      <c r="K292" s="314">
        <f>'L) Plafonnement taux'!Q292</f>
        <v>0</v>
      </c>
      <c r="L292" s="312">
        <f t="shared" si="20"/>
        <v>-41257.712172920073</v>
      </c>
      <c r="M292" s="233">
        <f>'M) Police'!O292</f>
        <v>30142.790866143954</v>
      </c>
      <c r="N292" s="233">
        <f t="shared" si="18"/>
        <v>-11114.921306776119</v>
      </c>
      <c r="O292" s="317">
        <f t="shared" si="19"/>
        <v>-170883.78727893793</v>
      </c>
      <c r="P292" s="319"/>
    </row>
    <row r="293" spans="1:16" s="154" customFormat="1" x14ac:dyDescent="0.25">
      <c r="A293" s="151">
        <f>'B) D RI'!A294</f>
        <v>5911</v>
      </c>
      <c r="B293" s="152" t="str">
        <f>'B) D RI'!B294</f>
        <v>Cuarny</v>
      </c>
      <c r="C293" s="315">
        <f>'B) D RI'!S294</f>
        <v>77</v>
      </c>
      <c r="D293" s="153">
        <f>'B) D RI'!AA294</f>
        <v>234</v>
      </c>
      <c r="E293" s="313">
        <f>'D) Ecrêtage'!C292</f>
        <v>6939.4670129870128</v>
      </c>
      <c r="F293" s="317">
        <f>'E) Fact soc'!G298</f>
        <v>94755.372810524277</v>
      </c>
      <c r="G293" s="314">
        <f>'H) Péréquation directe'!I303</f>
        <v>922.72094209678471</v>
      </c>
      <c r="H293" s="317">
        <f>+'I) Dépenses thématiques'!T292</f>
        <v>-8519.8476623376628</v>
      </c>
      <c r="I293" s="314">
        <f>'K) Plafonnement aide'!J292</f>
        <v>0</v>
      </c>
      <c r="J293" s="317">
        <f>'J) Plafonnement effort'!J292</f>
        <v>0</v>
      </c>
      <c r="K293" s="314">
        <f>'L) Plafonnement taux'!Q293</f>
        <v>0</v>
      </c>
      <c r="L293" s="312">
        <f t="shared" si="20"/>
        <v>87158.246090283399</v>
      </c>
      <c r="M293" s="233">
        <f>'M) Police'!O293</f>
        <v>21090.831505377631</v>
      </c>
      <c r="N293" s="233">
        <f t="shared" si="18"/>
        <v>108249.07759566103</v>
      </c>
      <c r="O293" s="317">
        <f t="shared" si="19"/>
        <v>-7597.1267202408781</v>
      </c>
      <c r="P293" s="319"/>
    </row>
    <row r="294" spans="1:16" s="154" customFormat="1" x14ac:dyDescent="0.25">
      <c r="A294" s="151">
        <f>'B) D RI'!A295</f>
        <v>5912</v>
      </c>
      <c r="B294" s="152" t="str">
        <f>'B) D RI'!B295</f>
        <v>Démoret</v>
      </c>
      <c r="C294" s="315">
        <f>'B) D RI'!S295</f>
        <v>81</v>
      </c>
      <c r="D294" s="153">
        <f>'B) D RI'!AA295</f>
        <v>158</v>
      </c>
      <c r="E294" s="313">
        <f>'D) Ecrêtage'!C293</f>
        <v>4070.6311111111104</v>
      </c>
      <c r="F294" s="317">
        <f>'E) Fact soc'!G299</f>
        <v>66374.548565117904</v>
      </c>
      <c r="G294" s="314">
        <f>'H) Péréquation directe'!I304</f>
        <v>-34768.158009718856</v>
      </c>
      <c r="H294" s="317">
        <f>+'I) Dépenses thématiques'!T293</f>
        <v>-10910.526666666668</v>
      </c>
      <c r="I294" s="314">
        <f>'K) Plafonnement aide'!J293</f>
        <v>0</v>
      </c>
      <c r="J294" s="317">
        <f>'J) Plafonnement effort'!J293</f>
        <v>0</v>
      </c>
      <c r="K294" s="314">
        <f>'L) Plafonnement taux'!Q294</f>
        <v>0</v>
      </c>
      <c r="L294" s="312">
        <f t="shared" si="20"/>
        <v>20695.86388873238</v>
      </c>
      <c r="M294" s="233">
        <f>'M) Police'!O294</f>
        <v>12381.318878491313</v>
      </c>
      <c r="N294" s="233">
        <f t="shared" si="18"/>
        <v>33077.18276722369</v>
      </c>
      <c r="O294" s="317">
        <f t="shared" si="19"/>
        <v>-45678.684676385528</v>
      </c>
      <c r="P294" s="319"/>
    </row>
    <row r="295" spans="1:16" s="154" customFormat="1" x14ac:dyDescent="0.25">
      <c r="A295" s="151">
        <f>'B) D RI'!A296</f>
        <v>5913</v>
      </c>
      <c r="B295" s="152" t="str">
        <f>'B) D RI'!B296</f>
        <v>Donneloye</v>
      </c>
      <c r="C295" s="315">
        <f>'B) D RI'!S296</f>
        <v>73</v>
      </c>
      <c r="D295" s="153">
        <f>'B) D RI'!AA296</f>
        <v>829</v>
      </c>
      <c r="E295" s="313">
        <f>'D) Ecrêtage'!C294</f>
        <v>19880.828493150682</v>
      </c>
      <c r="F295" s="317">
        <f>'E) Fact soc'!G300</f>
        <v>314659.21266525384</v>
      </c>
      <c r="G295" s="314">
        <f>'H) Péréquation directe'!I305</f>
        <v>-150500.22085379524</v>
      </c>
      <c r="H295" s="317">
        <f>+'I) Dépenses thématiques'!T294</f>
        <v>-42934.157671232897</v>
      </c>
      <c r="I295" s="314">
        <f>'K) Plafonnement aide'!J294</f>
        <v>0</v>
      </c>
      <c r="J295" s="317">
        <f>'J) Plafonnement effort'!J294</f>
        <v>0</v>
      </c>
      <c r="K295" s="314">
        <f>'L) Plafonnement taux'!Q295</f>
        <v>0</v>
      </c>
      <c r="L295" s="312">
        <f t="shared" si="20"/>
        <v>121224.83414022571</v>
      </c>
      <c r="M295" s="233">
        <f>'M) Police'!O295</f>
        <v>59851.103858794275</v>
      </c>
      <c r="N295" s="233">
        <f t="shared" si="18"/>
        <v>181075.93799901998</v>
      </c>
      <c r="O295" s="317">
        <f t="shared" si="19"/>
        <v>-193434.37852502812</v>
      </c>
      <c r="P295" s="319"/>
    </row>
    <row r="296" spans="1:16" s="154" customFormat="1" x14ac:dyDescent="0.25">
      <c r="A296" s="151">
        <f>'B) D RI'!A297</f>
        <v>5914</v>
      </c>
      <c r="B296" s="152" t="str">
        <f>'B) D RI'!B297</f>
        <v>Ependes</v>
      </c>
      <c r="C296" s="315">
        <f>'B) D RI'!S297</f>
        <v>73.5</v>
      </c>
      <c r="D296" s="153">
        <f>'B) D RI'!AA297</f>
        <v>388</v>
      </c>
      <c r="E296" s="313">
        <f>'D) Ecrêtage'!C295</f>
        <v>10662.074965986394</v>
      </c>
      <c r="F296" s="317">
        <f>'E) Fact soc'!G301</f>
        <v>168335.05447723976</v>
      </c>
      <c r="G296" s="314">
        <f>'H) Péréquation directe'!I306</f>
        <v>-17772.715649390128</v>
      </c>
      <c r="H296" s="317">
        <f>+'I) Dépenses thématiques'!T295</f>
        <v>-64603.74397959184</v>
      </c>
      <c r="I296" s="314">
        <f>'K) Plafonnement aide'!J295</f>
        <v>0</v>
      </c>
      <c r="J296" s="317">
        <f>'J) Plafonnement effort'!J295</f>
        <v>0</v>
      </c>
      <c r="K296" s="314">
        <f>'L) Plafonnement taux'!Q296</f>
        <v>0</v>
      </c>
      <c r="L296" s="312">
        <f t="shared" si="20"/>
        <v>85958.594848257781</v>
      </c>
      <c r="M296" s="233">
        <f>'M) Police'!O296</f>
        <v>12524.215269151999</v>
      </c>
      <c r="N296" s="233">
        <f t="shared" si="18"/>
        <v>98482.810117409783</v>
      </c>
      <c r="O296" s="317">
        <f t="shared" si="19"/>
        <v>-82376.459628981975</v>
      </c>
      <c r="P296" s="319"/>
    </row>
    <row r="297" spans="1:16" s="154" customFormat="1" x14ac:dyDescent="0.25">
      <c r="A297" s="151">
        <f>'B) D RI'!A298</f>
        <v>5919</v>
      </c>
      <c r="B297" s="152" t="str">
        <f>'B) D RI'!B298</f>
        <v>Mathod</v>
      </c>
      <c r="C297" s="315">
        <f>'B) D RI'!S298</f>
        <v>72</v>
      </c>
      <c r="D297" s="153">
        <f>'B) D RI'!AA298</f>
        <v>651</v>
      </c>
      <c r="E297" s="313">
        <f>'D) Ecrêtage'!C296</f>
        <v>21565.598078703704</v>
      </c>
      <c r="F297" s="317">
        <f>'E) Fact soc'!G302</f>
        <v>427878.91099790309</v>
      </c>
      <c r="G297" s="314">
        <f>'H) Péréquation directe'!I307</f>
        <v>128892.08864768379</v>
      </c>
      <c r="H297" s="317">
        <f>+'I) Dépenses thématiques'!T296</f>
        <v>-208642.66152777779</v>
      </c>
      <c r="I297" s="314">
        <f>'K) Plafonnement aide'!J296</f>
        <v>0</v>
      </c>
      <c r="J297" s="317">
        <f>'J) Plafonnement effort'!J296</f>
        <v>0</v>
      </c>
      <c r="K297" s="314">
        <f>'L) Plafonnement taux'!Q297</f>
        <v>0</v>
      </c>
      <c r="L297" s="312">
        <f t="shared" si="20"/>
        <v>348128.33811780903</v>
      </c>
      <c r="M297" s="233">
        <f>'M) Police'!O297</f>
        <v>25332.047805641043</v>
      </c>
      <c r="N297" s="233">
        <f t="shared" si="18"/>
        <v>373460.38592345006</v>
      </c>
      <c r="O297" s="317">
        <f t="shared" si="19"/>
        <v>-79750.572880093998</v>
      </c>
      <c r="P297" s="319"/>
    </row>
    <row r="298" spans="1:16" s="154" customFormat="1" x14ac:dyDescent="0.25">
      <c r="A298" s="151">
        <f>'B) D RI'!A299</f>
        <v>5921</v>
      </c>
      <c r="B298" s="152" t="str">
        <f>'B) D RI'!B299</f>
        <v>Molondin</v>
      </c>
      <c r="C298" s="315">
        <f>'B) D RI'!S299</f>
        <v>81</v>
      </c>
      <c r="D298" s="153">
        <f>'B) D RI'!AA299</f>
        <v>252</v>
      </c>
      <c r="E298" s="313">
        <f>'D) Ecrêtage'!C297</f>
        <v>5675.8933333333334</v>
      </c>
      <c r="F298" s="317">
        <f>'E) Fact soc'!G303</f>
        <v>88629.57022573243</v>
      </c>
      <c r="G298" s="314">
        <f>'H) Péréquation directe'!I308</f>
        <v>-92593.464561905159</v>
      </c>
      <c r="H298" s="317">
        <f>+'I) Dépenses thématiques'!T297</f>
        <v>-64316.329999999994</v>
      </c>
      <c r="I298" s="314">
        <f>'K) Plafonnement aide'!J297</f>
        <v>0</v>
      </c>
      <c r="J298" s="317">
        <f>'J) Plafonnement effort'!J297</f>
        <v>0</v>
      </c>
      <c r="K298" s="314">
        <f>'L) Plafonnement taux'!Q298</f>
        <v>0</v>
      </c>
      <c r="L298" s="312">
        <f t="shared" si="20"/>
        <v>-68280.224336172716</v>
      </c>
      <c r="M298" s="233">
        <f>'M) Police'!O298</f>
        <v>17186.553588116756</v>
      </c>
      <c r="N298" s="233">
        <f t="shared" si="18"/>
        <v>-51093.670748055956</v>
      </c>
      <c r="O298" s="317">
        <f t="shared" si="19"/>
        <v>-156909.79456190515</v>
      </c>
      <c r="P298" s="319"/>
    </row>
    <row r="299" spans="1:16" s="154" customFormat="1" x14ac:dyDescent="0.25">
      <c r="A299" s="151">
        <f>'B) D RI'!A300</f>
        <v>5922</v>
      </c>
      <c r="B299" s="152" t="str">
        <f>'B) D RI'!B300</f>
        <v>Montagny-près-Yverdon</v>
      </c>
      <c r="C299" s="315">
        <f>'B) D RI'!S300</f>
        <v>63.5</v>
      </c>
      <c r="D299" s="153">
        <f>'B) D RI'!AA300</f>
        <v>737</v>
      </c>
      <c r="E299" s="313">
        <f>'D) Ecrêtage'!C298</f>
        <v>33326.398149606292</v>
      </c>
      <c r="F299" s="317">
        <f>'E) Fact soc'!G304</f>
        <v>595611.29743304325</v>
      </c>
      <c r="G299" s="314">
        <f>'H) Péréquation directe'!I309</f>
        <v>512108.23649593937</v>
      </c>
      <c r="H299" s="317">
        <f>+'I) Dépenses thématiques'!T298</f>
        <v>-158433.61110236225</v>
      </c>
      <c r="I299" s="314">
        <f>'K) Plafonnement aide'!J298</f>
        <v>0</v>
      </c>
      <c r="J299" s="317">
        <f>'J) Plafonnement effort'!J298</f>
        <v>0</v>
      </c>
      <c r="K299" s="314">
        <f>'L) Plafonnement taux'!Q299</f>
        <v>0</v>
      </c>
      <c r="L299" s="312">
        <f t="shared" si="20"/>
        <v>949285.9228266204</v>
      </c>
      <c r="M299" s="233">
        <f>'M) Police'!O299</f>
        <v>95615.727736706191</v>
      </c>
      <c r="N299" s="233">
        <f t="shared" si="18"/>
        <v>1044901.6505633265</v>
      </c>
      <c r="O299" s="317">
        <f t="shared" si="19"/>
        <v>353674.62539357715</v>
      </c>
      <c r="P299" s="319"/>
    </row>
    <row r="300" spans="1:16" s="154" customFormat="1" x14ac:dyDescent="0.25">
      <c r="A300" s="151">
        <f>'B) D RI'!A301</f>
        <v>5923</v>
      </c>
      <c r="B300" s="152" t="str">
        <f>'B) D RI'!B301</f>
        <v>Oppens</v>
      </c>
      <c r="C300" s="315">
        <f>'B) D RI'!S301</f>
        <v>81</v>
      </c>
      <c r="D300" s="153">
        <f>'B) D RI'!AA301</f>
        <v>201</v>
      </c>
      <c r="E300" s="313">
        <f>'D) Ecrêtage'!C299</f>
        <v>4799.240617283951</v>
      </c>
      <c r="F300" s="317">
        <f>'E) Fact soc'!G305</f>
        <v>80930.517195535154</v>
      </c>
      <c r="G300" s="314">
        <f>'H) Péréquation directe'!I310</f>
        <v>-61480.008228410006</v>
      </c>
      <c r="H300" s="317">
        <f>+'I) Dépenses thématiques'!T299</f>
        <v>-59069.125833333332</v>
      </c>
      <c r="I300" s="314">
        <f>'K) Plafonnement aide'!J299</f>
        <v>0</v>
      </c>
      <c r="J300" s="317">
        <f>'J) Plafonnement effort'!J299</f>
        <v>0</v>
      </c>
      <c r="K300" s="314">
        <f>'L) Plafonnement taux'!Q300</f>
        <v>0</v>
      </c>
      <c r="L300" s="312">
        <f t="shared" si="20"/>
        <v>-39618.616866208184</v>
      </c>
      <c r="M300" s="233">
        <f>'M) Police'!O300</f>
        <v>14598.125582091914</v>
      </c>
      <c r="N300" s="233">
        <f t="shared" si="18"/>
        <v>-25020.49128411627</v>
      </c>
      <c r="O300" s="317">
        <f t="shared" si="19"/>
        <v>-120549.13406174333</v>
      </c>
      <c r="P300" s="319"/>
    </row>
    <row r="301" spans="1:16" s="154" customFormat="1" x14ac:dyDescent="0.25">
      <c r="A301" s="151">
        <f>'B) D RI'!A302</f>
        <v>5924</v>
      </c>
      <c r="B301" s="152" t="str">
        <f>'B) D RI'!B302</f>
        <v>Orges</v>
      </c>
      <c r="C301" s="315">
        <f>'B) D RI'!S302</f>
        <v>74</v>
      </c>
      <c r="D301" s="153">
        <f>'B) D RI'!AA302</f>
        <v>343</v>
      </c>
      <c r="E301" s="313">
        <f>'D) Ecrêtage'!C300</f>
        <v>12525.425270270271</v>
      </c>
      <c r="F301" s="317">
        <f>'E) Fact soc'!G306</f>
        <v>258680.33439885534</v>
      </c>
      <c r="G301" s="314">
        <f>'H) Péréquation directe'!I311</f>
        <v>109701.33607252175</v>
      </c>
      <c r="H301" s="317">
        <f>+'I) Dépenses thématiques'!T300</f>
        <v>0</v>
      </c>
      <c r="I301" s="314">
        <f>'K) Plafonnement aide'!J300</f>
        <v>0</v>
      </c>
      <c r="J301" s="317">
        <f>'J) Plafonnement effort'!J300</f>
        <v>0</v>
      </c>
      <c r="K301" s="314">
        <f>'L) Plafonnement taux'!Q301</f>
        <v>0</v>
      </c>
      <c r="L301" s="312">
        <f t="shared" si="20"/>
        <v>368381.67047137709</v>
      </c>
      <c r="M301" s="233">
        <f>'M) Police'!O301</f>
        <v>38182.040991021124</v>
      </c>
      <c r="N301" s="233">
        <f t="shared" si="18"/>
        <v>406563.71146239823</v>
      </c>
      <c r="O301" s="317">
        <f t="shared" si="19"/>
        <v>109701.33607252175</v>
      </c>
      <c r="P301" s="319"/>
    </row>
    <row r="302" spans="1:16" s="154" customFormat="1" x14ac:dyDescent="0.25">
      <c r="A302" s="151">
        <f>'B) D RI'!A303</f>
        <v>5925</v>
      </c>
      <c r="B302" s="152" t="str">
        <f>'B) D RI'!B303</f>
        <v>Orzens</v>
      </c>
      <c r="C302" s="315">
        <f>'B) D RI'!S303</f>
        <v>79</v>
      </c>
      <c r="D302" s="153">
        <f>'B) D RI'!AA303</f>
        <v>201</v>
      </c>
      <c r="E302" s="313">
        <f>'D) Ecrêtage'!C301</f>
        <v>5879.4616455696196</v>
      </c>
      <c r="F302" s="317">
        <f>'E) Fact soc'!G307</f>
        <v>147916.48274931667</v>
      </c>
      <c r="G302" s="314">
        <f>'H) Péréquation directe'!I312</f>
        <v>-7461.9568638282944</v>
      </c>
      <c r="H302" s="317">
        <f>+'I) Dépenses thématiques'!T301</f>
        <v>-11502.633892405069</v>
      </c>
      <c r="I302" s="314">
        <f>'K) Plafonnement aide'!J301</f>
        <v>0</v>
      </c>
      <c r="J302" s="317">
        <f>'J) Plafonnement effort'!J301</f>
        <v>0</v>
      </c>
      <c r="K302" s="314">
        <f>'L) Plafonnement taux'!Q302</f>
        <v>0</v>
      </c>
      <c r="L302" s="312">
        <f t="shared" si="20"/>
        <v>128951.89199308331</v>
      </c>
      <c r="M302" s="233">
        <f>'M) Police'!O302</f>
        <v>17829.33656078401</v>
      </c>
      <c r="N302" s="233">
        <f t="shared" si="18"/>
        <v>146781.22855386732</v>
      </c>
      <c r="O302" s="317">
        <f t="shared" si="19"/>
        <v>-18964.590756233363</v>
      </c>
      <c r="P302" s="319"/>
    </row>
    <row r="303" spans="1:16" s="154" customFormat="1" x14ac:dyDescent="0.25">
      <c r="A303" s="151">
        <f>'B) D RI'!A304</f>
        <v>5926</v>
      </c>
      <c r="B303" s="152" t="str">
        <f>'B) D RI'!B304</f>
        <v>Pomy</v>
      </c>
      <c r="C303" s="315">
        <f>'B) D RI'!S304</f>
        <v>71</v>
      </c>
      <c r="D303" s="153">
        <f>'B) D RI'!AA304</f>
        <v>803</v>
      </c>
      <c r="E303" s="313">
        <f>'D) Ecrêtage'!C302</f>
        <v>27363.186197183099</v>
      </c>
      <c r="F303" s="317">
        <f>'E) Fact soc'!G308</f>
        <v>458630.83439351013</v>
      </c>
      <c r="G303" s="314">
        <f>'H) Péréquation directe'!I313</f>
        <v>195942.91969142616</v>
      </c>
      <c r="H303" s="317">
        <f>+'I) Dépenses thématiques'!T302</f>
        <v>-14937.993169014084</v>
      </c>
      <c r="I303" s="314">
        <f>'K) Plafonnement aide'!J302</f>
        <v>0</v>
      </c>
      <c r="J303" s="317">
        <f>'J) Plafonnement effort'!J302</f>
        <v>0</v>
      </c>
      <c r="K303" s="314">
        <f>'L) Plafonnement taux'!Q303</f>
        <v>0</v>
      </c>
      <c r="L303" s="312">
        <f t="shared" si="20"/>
        <v>639635.76091592223</v>
      </c>
      <c r="M303" s="233">
        <f>'M) Police'!O303</f>
        <v>32142.189534089899</v>
      </c>
      <c r="N303" s="233">
        <f t="shared" si="18"/>
        <v>671777.95045001211</v>
      </c>
      <c r="O303" s="317">
        <f t="shared" si="19"/>
        <v>181004.92652241208</v>
      </c>
      <c r="P303" s="319"/>
    </row>
    <row r="304" spans="1:16" s="154" customFormat="1" x14ac:dyDescent="0.25">
      <c r="A304" s="151">
        <f>'B) D RI'!A305</f>
        <v>5928</v>
      </c>
      <c r="B304" s="152" t="str">
        <f>'B) D RI'!B305</f>
        <v>Rovray</v>
      </c>
      <c r="C304" s="315">
        <f>'B) D RI'!S305</f>
        <v>71.5</v>
      </c>
      <c r="D304" s="153">
        <f>'B) D RI'!AA305</f>
        <v>204</v>
      </c>
      <c r="E304" s="313">
        <f>'D) Ecrêtage'!C303</f>
        <v>5563.4060139860139</v>
      </c>
      <c r="F304" s="317">
        <f>'E) Fact soc'!G309</f>
        <v>79151.613067974205</v>
      </c>
      <c r="G304" s="314">
        <f>'H) Péréquation directe'!I314</f>
        <v>-6116.9282869371673</v>
      </c>
      <c r="H304" s="317">
        <f>+'I) Dépenses thématiques'!T303</f>
        <v>0</v>
      </c>
      <c r="I304" s="314">
        <f>'K) Plafonnement aide'!J303</f>
        <v>0</v>
      </c>
      <c r="J304" s="317">
        <f>'J) Plafonnement effort'!J303</f>
        <v>0</v>
      </c>
      <c r="K304" s="314">
        <f>'L) Plafonnement taux'!Q304</f>
        <v>0</v>
      </c>
      <c r="L304" s="312">
        <f t="shared" si="20"/>
        <v>73034.684781037038</v>
      </c>
      <c r="M304" s="233">
        <f>'M) Police'!O304</f>
        <v>17028.389034187912</v>
      </c>
      <c r="N304" s="233">
        <f t="shared" si="18"/>
        <v>90063.073815224954</v>
      </c>
      <c r="O304" s="317">
        <f t="shared" si="19"/>
        <v>-6116.9282869371673</v>
      </c>
      <c r="P304" s="319"/>
    </row>
    <row r="305" spans="1:16" s="154" customFormat="1" x14ac:dyDescent="0.25">
      <c r="A305" s="151">
        <f>'B) D RI'!A306</f>
        <v>5929</v>
      </c>
      <c r="B305" s="152" t="str">
        <f>'B) D RI'!B306</f>
        <v>Suchy</v>
      </c>
      <c r="C305" s="315">
        <f>'B) D RI'!S306</f>
        <v>70</v>
      </c>
      <c r="D305" s="153">
        <f>'B) D RI'!AA306</f>
        <v>656</v>
      </c>
      <c r="E305" s="313">
        <f>'D) Ecrêtage'!C304</f>
        <v>19827.403178571429</v>
      </c>
      <c r="F305" s="317">
        <f>'E) Fact soc'!G310</f>
        <v>315889.4733925421</v>
      </c>
      <c r="G305" s="314">
        <f>'H) Péréquation directe'!I315</f>
        <v>67213.2020961651</v>
      </c>
      <c r="H305" s="317">
        <f>+'I) Dépenses thématiques'!T304</f>
        <v>-13850.697616071429</v>
      </c>
      <c r="I305" s="314">
        <f>'K) Plafonnement aide'!J304</f>
        <v>0</v>
      </c>
      <c r="J305" s="317">
        <f>'J) Plafonnement effort'!J304</f>
        <v>0</v>
      </c>
      <c r="K305" s="314">
        <f>'L) Plafonnement taux'!Q305</f>
        <v>0</v>
      </c>
      <c r="L305" s="312">
        <f t="shared" si="20"/>
        <v>369251.97787263576</v>
      </c>
      <c r="M305" s="233">
        <f>'M) Police'!O305</f>
        <v>23290.275713581403</v>
      </c>
      <c r="N305" s="233">
        <f t="shared" si="18"/>
        <v>392542.25358621718</v>
      </c>
      <c r="O305" s="317">
        <f t="shared" si="19"/>
        <v>53362.504480093674</v>
      </c>
      <c r="P305" s="319"/>
    </row>
    <row r="306" spans="1:16" s="154" customFormat="1" x14ac:dyDescent="0.25">
      <c r="A306" s="151">
        <f>'B) D RI'!A307</f>
        <v>5930</v>
      </c>
      <c r="B306" s="152" t="str">
        <f>'B) D RI'!B307</f>
        <v>Suscévaz</v>
      </c>
      <c r="C306" s="315">
        <f>'B) D RI'!S307</f>
        <v>72</v>
      </c>
      <c r="D306" s="153">
        <f>'B) D RI'!AA307</f>
        <v>204</v>
      </c>
      <c r="E306" s="313">
        <f>'D) Ecrêtage'!C305</f>
        <v>5769.1548611111102</v>
      </c>
      <c r="F306" s="317">
        <f>'E) Fact soc'!G311</f>
        <v>80463.100363701786</v>
      </c>
      <c r="G306" s="314">
        <f>'H) Péréquation directe'!I316</f>
        <v>878.10114950606658</v>
      </c>
      <c r="H306" s="317">
        <f>+'I) Dépenses thématiques'!T305</f>
        <v>-34497.454687500009</v>
      </c>
      <c r="I306" s="314">
        <f>'K) Plafonnement aide'!J305</f>
        <v>0</v>
      </c>
      <c r="J306" s="317">
        <f>'J) Plafonnement effort'!J305</f>
        <v>0</v>
      </c>
      <c r="K306" s="314">
        <f>'L) Plafonnement taux'!Q306</f>
        <v>0</v>
      </c>
      <c r="L306" s="312">
        <f t="shared" si="20"/>
        <v>46843.746825707844</v>
      </c>
      <c r="M306" s="233">
        <f>'M) Police'!O306</f>
        <v>6776.7425789193658</v>
      </c>
      <c r="N306" s="233">
        <f t="shared" si="18"/>
        <v>53620.489404627209</v>
      </c>
      <c r="O306" s="317">
        <f t="shared" si="19"/>
        <v>-33619.353537993942</v>
      </c>
      <c r="P306" s="319"/>
    </row>
    <row r="307" spans="1:16" s="154" customFormat="1" x14ac:dyDescent="0.25">
      <c r="A307" s="151">
        <f>'B) D RI'!A308</f>
        <v>5931</v>
      </c>
      <c r="B307" s="152" t="str">
        <f>'B) D RI'!B308</f>
        <v>Treycovagnes</v>
      </c>
      <c r="C307" s="315">
        <f>'B) D RI'!S308</f>
        <v>75</v>
      </c>
      <c r="D307" s="153">
        <f>'B) D RI'!AA308</f>
        <v>485</v>
      </c>
      <c r="E307" s="313">
        <f>'D) Ecrêtage'!C306</f>
        <v>15383.603066666663</v>
      </c>
      <c r="F307" s="317">
        <f>'E) Fact soc'!G312</f>
        <v>255631.51899390438</v>
      </c>
      <c r="G307" s="314">
        <f>'H) Péréquation directe'!I317</f>
        <v>54617.373968322441</v>
      </c>
      <c r="H307" s="317">
        <f>+'I) Dépenses thématiques'!T306</f>
        <v>-31937.381600000022</v>
      </c>
      <c r="I307" s="314">
        <f>'K) Plafonnement aide'!J306</f>
        <v>0</v>
      </c>
      <c r="J307" s="317">
        <f>'J) Plafonnement effort'!J306</f>
        <v>0</v>
      </c>
      <c r="K307" s="314">
        <f>'L) Plafonnement taux'!Q307</f>
        <v>0</v>
      </c>
      <c r="L307" s="312">
        <f t="shared" si="20"/>
        <v>278311.5113622268</v>
      </c>
      <c r="M307" s="233">
        <f>'M) Police'!O307</f>
        <v>18070.362198423696</v>
      </c>
      <c r="N307" s="233">
        <f t="shared" si="18"/>
        <v>296381.87356065051</v>
      </c>
      <c r="O307" s="317">
        <f t="shared" si="19"/>
        <v>22679.992368322419</v>
      </c>
      <c r="P307" s="319"/>
    </row>
    <row r="308" spans="1:16" s="154" customFormat="1" x14ac:dyDescent="0.25">
      <c r="A308" s="151">
        <f>'B) D RI'!A309</f>
        <v>5932</v>
      </c>
      <c r="B308" s="152" t="str">
        <f>'B) D RI'!B309</f>
        <v>Ursins</v>
      </c>
      <c r="C308" s="315">
        <f>'B) D RI'!S309</f>
        <v>75</v>
      </c>
      <c r="D308" s="153">
        <f>'B) D RI'!AA309</f>
        <v>238</v>
      </c>
      <c r="E308" s="313">
        <f>'D) Ecrêtage'!C307</f>
        <v>6819.4023999999999</v>
      </c>
      <c r="F308" s="317">
        <f>'E) Fact soc'!G313</f>
        <v>92132.458824076617</v>
      </c>
      <c r="G308" s="314">
        <f>'H) Péréquation directe'!I318</f>
        <v>-3648.2918458128843</v>
      </c>
      <c r="H308" s="317">
        <f>+'I) Dépenses thématiques'!T307</f>
        <v>-21595.948199999999</v>
      </c>
      <c r="I308" s="314">
        <f>'K) Plafonnement aide'!J307</f>
        <v>0</v>
      </c>
      <c r="J308" s="317">
        <f>'J) Plafonnement effort'!J307</f>
        <v>0</v>
      </c>
      <c r="K308" s="314">
        <f>'L) Plafonnement taux'!Q308</f>
        <v>0</v>
      </c>
      <c r="L308" s="312">
        <f t="shared" si="20"/>
        <v>66888.218778263734</v>
      </c>
      <c r="M308" s="233">
        <f>'M) Police'!O308</f>
        <v>20708.522861506313</v>
      </c>
      <c r="N308" s="233">
        <f t="shared" si="18"/>
        <v>87596.741639770044</v>
      </c>
      <c r="O308" s="317">
        <f t="shared" si="19"/>
        <v>-25244.240045812883</v>
      </c>
      <c r="P308" s="319"/>
    </row>
    <row r="309" spans="1:16" s="154" customFormat="1" x14ac:dyDescent="0.25">
      <c r="A309" s="151">
        <f>'B) D RI'!A310</f>
        <v>5933</v>
      </c>
      <c r="B309" s="152" t="str">
        <f>'B) D RI'!B310</f>
        <v>Valeyres-sous-Montagny</v>
      </c>
      <c r="C309" s="315">
        <f>'B) D RI'!S310</f>
        <v>70.5</v>
      </c>
      <c r="D309" s="153">
        <f>'B) D RI'!AA310</f>
        <v>714</v>
      </c>
      <c r="E309" s="313">
        <f>'D) Ecrêtage'!C308</f>
        <v>22572.377872340428</v>
      </c>
      <c r="F309" s="317">
        <f>'E) Fact soc'!G314</f>
        <v>341788.30535290408</v>
      </c>
      <c r="G309" s="314">
        <f>'H) Péréquation directe'!I319</f>
        <v>108334.49224911636</v>
      </c>
      <c r="H309" s="317">
        <f>+'I) Dépenses thématiques'!T308</f>
        <v>-186625.48276595742</v>
      </c>
      <c r="I309" s="314">
        <f>'K) Plafonnement aide'!J308</f>
        <v>0</v>
      </c>
      <c r="J309" s="317">
        <f>'J) Plafonnement effort'!J308</f>
        <v>0</v>
      </c>
      <c r="K309" s="314">
        <f>'L) Plafonnement taux'!Q309</f>
        <v>0</v>
      </c>
      <c r="L309" s="312">
        <f t="shared" si="20"/>
        <v>263497.31483606301</v>
      </c>
      <c r="M309" s="233">
        <f>'M) Police'!O309</f>
        <v>68185.392744373923</v>
      </c>
      <c r="N309" s="233">
        <f t="shared" si="18"/>
        <v>331682.70758043695</v>
      </c>
      <c r="O309" s="317">
        <f t="shared" si="19"/>
        <v>-78290.990516841062</v>
      </c>
      <c r="P309" s="319"/>
    </row>
    <row r="310" spans="1:16" s="154" customFormat="1" x14ac:dyDescent="0.25">
      <c r="A310" s="151">
        <f>'B) D RI'!A311</f>
        <v>5934</v>
      </c>
      <c r="B310" s="152" t="str">
        <f>'B) D RI'!B311</f>
        <v>Valeyres-sous-Ursins</v>
      </c>
      <c r="C310" s="315">
        <f>'B) D RI'!S311</f>
        <v>79</v>
      </c>
      <c r="D310" s="153">
        <f>'B) D RI'!AA311</f>
        <v>241</v>
      </c>
      <c r="E310" s="313">
        <f>'D) Ecrêtage'!C309</f>
        <v>7577.3788607594925</v>
      </c>
      <c r="F310" s="317">
        <f>'E) Fact soc'!G315</f>
        <v>120246.27005516621</v>
      </c>
      <c r="G310" s="314">
        <f>'H) Péréquation directe'!I320</f>
        <v>14386.855299966803</v>
      </c>
      <c r="H310" s="317">
        <f>+'I) Dépenses thématiques'!T309</f>
        <v>-5600.7158544303802</v>
      </c>
      <c r="I310" s="314">
        <f>'K) Plafonnement aide'!J309</f>
        <v>0</v>
      </c>
      <c r="J310" s="317">
        <f>'J) Plafonnement effort'!J309</f>
        <v>0</v>
      </c>
      <c r="K310" s="314">
        <f>'L) Plafonnement taux'!Q310</f>
        <v>0</v>
      </c>
      <c r="L310" s="312">
        <f t="shared" si="20"/>
        <v>129032.40950070265</v>
      </c>
      <c r="M310" s="233">
        <f>'M) Police'!O310</f>
        <v>23308.873904920201</v>
      </c>
      <c r="N310" s="233">
        <f t="shared" si="18"/>
        <v>152341.28340562285</v>
      </c>
      <c r="O310" s="317">
        <f t="shared" si="19"/>
        <v>8786.1394455364225</v>
      </c>
      <c r="P310" s="319"/>
    </row>
    <row r="311" spans="1:16" s="154" customFormat="1" x14ac:dyDescent="0.25">
      <c r="A311" s="151">
        <f>'B) D RI'!A312</f>
        <v>5935</v>
      </c>
      <c r="B311" s="152" t="str">
        <f>'B) D RI'!B312</f>
        <v>Villars-Epeney</v>
      </c>
      <c r="C311" s="315">
        <f>'B) D RI'!S312</f>
        <v>60</v>
      </c>
      <c r="D311" s="153">
        <f>'B) D RI'!AA312</f>
        <v>101</v>
      </c>
      <c r="E311" s="313">
        <f>'D) Ecrêtage'!C310</f>
        <v>3928.2205000000004</v>
      </c>
      <c r="F311" s="317">
        <f>'E) Fact soc'!G316</f>
        <v>67493.227501143469</v>
      </c>
      <c r="G311" s="314">
        <f>'H) Péréquation directe'!I321</f>
        <v>49225.439088657469</v>
      </c>
      <c r="H311" s="317">
        <f>+'I) Dépenses thématiques'!T310</f>
        <v>-5133.5846249999995</v>
      </c>
      <c r="I311" s="314">
        <f>'K) Plafonnement aide'!J310</f>
        <v>0</v>
      </c>
      <c r="J311" s="317">
        <f>'J) Plafonnement effort'!J310</f>
        <v>0</v>
      </c>
      <c r="K311" s="314">
        <f>'L) Plafonnement taux'!Q311</f>
        <v>0</v>
      </c>
      <c r="L311" s="312">
        <f t="shared" si="20"/>
        <v>111585.08196480093</v>
      </c>
      <c r="M311" s="233">
        <f>'M) Police'!O311</f>
        <v>11816.095159827655</v>
      </c>
      <c r="N311" s="233">
        <f t="shared" si="18"/>
        <v>123401.17712462859</v>
      </c>
      <c r="O311" s="317">
        <f t="shared" si="19"/>
        <v>44091.854463657466</v>
      </c>
      <c r="P311" s="319"/>
    </row>
    <row r="312" spans="1:16" s="154" customFormat="1" x14ac:dyDescent="0.25">
      <c r="A312" s="151">
        <f>'B) D RI'!A313</f>
        <v>5937</v>
      </c>
      <c r="B312" s="152" t="str">
        <f>'B) D RI'!B313</f>
        <v>Vugelles-La Mothe</v>
      </c>
      <c r="C312" s="315">
        <f>'B) D RI'!S313</f>
        <v>70</v>
      </c>
      <c r="D312" s="153">
        <f>'B) D RI'!AA313</f>
        <v>138</v>
      </c>
      <c r="E312" s="313">
        <f>'D) Ecrêtage'!C311</f>
        <v>3187.6957755102044</v>
      </c>
      <c r="F312" s="317">
        <f>'E) Fact soc'!G317</f>
        <v>51103.735195972142</v>
      </c>
      <c r="G312" s="314">
        <f>'H) Péréquation directe'!I322</f>
        <v>-24035.856254813014</v>
      </c>
      <c r="H312" s="317">
        <f>+'I) Dépenses thématiques'!T311</f>
        <v>-23468.803515306121</v>
      </c>
      <c r="I312" s="314">
        <f>'K) Plafonnement aide'!J311</f>
        <v>0</v>
      </c>
      <c r="J312" s="317">
        <f>'J) Plafonnement effort'!J311</f>
        <v>0</v>
      </c>
      <c r="K312" s="314">
        <f>'L) Plafonnement taux'!Q312</f>
        <v>0</v>
      </c>
      <c r="L312" s="312">
        <f t="shared" si="20"/>
        <v>3599.0754258530069</v>
      </c>
      <c r="M312" s="233">
        <f>'M) Police'!O312</f>
        <v>9662.5863638212268</v>
      </c>
      <c r="N312" s="233">
        <f t="shared" si="18"/>
        <v>13261.661789674234</v>
      </c>
      <c r="O312" s="317">
        <f t="shared" si="19"/>
        <v>-47504.659770119135</v>
      </c>
      <c r="P312" s="319"/>
    </row>
    <row r="313" spans="1:16" s="154" customFormat="1" x14ac:dyDescent="0.25">
      <c r="A313" s="151">
        <f>'B) D RI'!A314</f>
        <v>5938</v>
      </c>
      <c r="B313" s="152" t="str">
        <f>'B) D RI'!B314</f>
        <v>Yverdon-les-Bains</v>
      </c>
      <c r="C313" s="315">
        <f>'B) D RI'!S314</f>
        <v>75</v>
      </c>
      <c r="D313" s="153">
        <f>'B) D RI'!AA314</f>
        <v>29981</v>
      </c>
      <c r="E313" s="313">
        <f>'D) Ecrêtage'!C312</f>
        <v>796551.402</v>
      </c>
      <c r="F313" s="317">
        <f>'E) Fact soc'!G318</f>
        <v>14154546.090809014</v>
      </c>
      <c r="G313" s="314">
        <f>'H) Péréquation directe'!I323</f>
        <v>-24649826.468754783</v>
      </c>
      <c r="H313" s="317">
        <f>+'I) Dépenses thématiques'!T312</f>
        <v>-10980462.588</v>
      </c>
      <c r="I313" s="314">
        <f>'K) Plafonnement aide'!J312</f>
        <v>4122869.1619457733</v>
      </c>
      <c r="J313" s="317">
        <f>'J) Plafonnement effort'!J312</f>
        <v>0</v>
      </c>
      <c r="K313" s="314">
        <f>'L) Plafonnement taux'!Q313</f>
        <v>0</v>
      </c>
      <c r="L313" s="312">
        <f t="shared" si="20"/>
        <v>-17352873.803999998</v>
      </c>
      <c r="M313" s="233">
        <f>'M) Police'!O313</f>
        <v>935669.77004179161</v>
      </c>
      <c r="N313" s="233">
        <f t="shared" si="18"/>
        <v>-16417204.033958206</v>
      </c>
      <c r="O313" s="317">
        <f t="shared" si="19"/>
        <v>-31507419.894809008</v>
      </c>
      <c r="P313" s="319"/>
    </row>
    <row r="314" spans="1:16" s="154" customFormat="1" x14ac:dyDescent="0.25">
      <c r="A314" s="151">
        <f>'B) D RI'!A315</f>
        <v>5939</v>
      </c>
      <c r="B314" s="152" t="str">
        <f>'B) D RI'!B315</f>
        <v>Yvonand</v>
      </c>
      <c r="C314" s="315">
        <f>'B) D RI'!S315</f>
        <v>71.5</v>
      </c>
      <c r="D314" s="153">
        <f>'B) D RI'!AA315</f>
        <v>3467</v>
      </c>
      <c r="E314" s="313">
        <f>'D) Ecrêtage'!C313</f>
        <v>92890.042937062928</v>
      </c>
      <c r="F314" s="317">
        <f>'E) Fact soc'!G319</f>
        <v>1614820.7107145288</v>
      </c>
      <c r="G314" s="314">
        <f>'H) Péréquation directe'!I324</f>
        <v>-789934.79994163336</v>
      </c>
      <c r="H314" s="361">
        <f>+'I) Dépenses thématiques'!T313</f>
        <v>-590293.21017482516</v>
      </c>
      <c r="I314" s="314">
        <f>'K) Plafonnement aide'!J313</f>
        <v>0</v>
      </c>
      <c r="J314" s="317">
        <f>'J) Plafonnement effort'!J313</f>
        <v>0</v>
      </c>
      <c r="K314" s="314">
        <f>'L) Plafonnement taux'!Q314</f>
        <v>0</v>
      </c>
      <c r="L314" s="312">
        <f t="shared" si="20"/>
        <v>234592.70059807028</v>
      </c>
      <c r="M314" s="233">
        <f>'M) Police'!O314</f>
        <v>278895.91537594167</v>
      </c>
      <c r="N314" s="235">
        <f t="shared" si="18"/>
        <v>513488.61597401195</v>
      </c>
      <c r="O314" s="361">
        <f t="shared" si="19"/>
        <v>-1380228.0101164584</v>
      </c>
      <c r="P314" s="319"/>
    </row>
    <row r="315" spans="1:16" x14ac:dyDescent="0.25">
      <c r="A315" s="30"/>
      <c r="B315" s="24">
        <f>COUNTA(B6:B314)</f>
        <v>309</v>
      </c>
      <c r="C315" s="257"/>
      <c r="D315" s="156">
        <f>SUM(D6:D314)</f>
        <v>815300</v>
      </c>
      <c r="E315" s="156">
        <f>SUM(E6:E314)</f>
        <v>39272473.833379671</v>
      </c>
      <c r="F315" s="147">
        <f>'E) Fact soc'!G320</f>
        <v>844273246.0000006</v>
      </c>
      <c r="G315" s="147">
        <f>'H) Péréquation directe'!I325</f>
        <v>175267699.01716387</v>
      </c>
      <c r="H315" s="360">
        <f>'I) Dépenses thématiques'!T314</f>
        <v>-160196503.74649748</v>
      </c>
      <c r="I315" s="147">
        <f>'K) Plafonnement aide'!J314</f>
        <v>7174574.3002752736</v>
      </c>
      <c r="J315" s="147">
        <f>'J) Plafonnement effort'!J314</f>
        <v>-21696675.101369523</v>
      </c>
      <c r="K315" s="147">
        <f>+'L) Plafonnement taux'!Q315</f>
        <v>-99094.469572776216</v>
      </c>
      <c r="L315" s="234">
        <f t="shared" si="20"/>
        <v>844723246</v>
      </c>
      <c r="M315" s="234">
        <f>SUM(M6:M314)</f>
        <v>68941679.253106654</v>
      </c>
      <c r="N315" s="234">
        <f>SUM(N6:N314)</f>
        <v>913664925.25310779</v>
      </c>
      <c r="O315" s="147">
        <f>SUM(O6:O314)</f>
        <v>450000.00000014482</v>
      </c>
    </row>
    <row r="316" spans="1:16" x14ac:dyDescent="0.25">
      <c r="D316" s="13"/>
      <c r="E316" s="13"/>
      <c r="L316" s="6"/>
      <c r="M316" s="6"/>
      <c r="N316" s="6"/>
    </row>
    <row r="317" spans="1:16" x14ac:dyDescent="0.25">
      <c r="H317" s="155"/>
      <c r="I317" s="155"/>
      <c r="J317" s="155"/>
      <c r="K317" s="155"/>
      <c r="L317" s="6"/>
      <c r="M317" s="6"/>
      <c r="N317" s="6"/>
    </row>
  </sheetData>
  <mergeCells count="16">
    <mergeCell ref="O4:O5"/>
    <mergeCell ref="M4:M5"/>
    <mergeCell ref="N4:N5"/>
    <mergeCell ref="A1:E1"/>
    <mergeCell ref="L4:L5"/>
    <mergeCell ref="K4:K5"/>
    <mergeCell ref="J4:J5"/>
    <mergeCell ref="I4:I5"/>
    <mergeCell ref="H4:H5"/>
    <mergeCell ref="G4:G5"/>
    <mergeCell ref="F4:F5"/>
    <mergeCell ref="E4:E5"/>
    <mergeCell ref="D4:D5"/>
    <mergeCell ref="C4:C5"/>
    <mergeCell ref="B4:B5"/>
    <mergeCell ref="A4:A5"/>
  </mergeCells>
  <phoneticPr fontId="0" type="noConversion"/>
  <printOptions horizontalCentered="1" verticalCentered="1"/>
  <pageMargins left="0.19685039370078741" right="0.19685039370078741" top="0" bottom="0" header="0.51181102362204722" footer="0.51181102362204722"/>
  <pageSetup paperSize="9" fitToHeight="7" orientation="landscape" horizontalDpi="1200" verticalDpi="1200" r:id="rId1"/>
  <headerFooter alignWithMargins="0">
    <oddFooter>&amp;LSCL - Division finances communales&amp;C- &amp;P -</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10C10-50F0-45D0-BA57-CF12150E4EF1}">
  <sheetPr>
    <tabColor rgb="FF00B050"/>
  </sheetPr>
  <dimension ref="A1:W319"/>
  <sheetViews>
    <sheetView topLeftCell="A66" workbookViewId="0">
      <selection activeCell="J132" sqref="J132"/>
    </sheetView>
  </sheetViews>
  <sheetFormatPr baseColWidth="10" defaultRowHeight="12.75" x14ac:dyDescent="0.2"/>
  <cols>
    <col min="1" max="1" width="11" style="515"/>
    <col min="2" max="2" width="20.25" style="515" bestFit="1" customWidth="1"/>
    <col min="3" max="11" width="11" style="515"/>
    <col min="12" max="12" width="15" style="514" bestFit="1" customWidth="1"/>
    <col min="13" max="13" width="11.125" style="514" bestFit="1" customWidth="1"/>
    <col min="14" max="14" width="15" style="514" bestFit="1" customWidth="1"/>
    <col min="15" max="15" width="11.125" style="514" bestFit="1" customWidth="1"/>
    <col min="16" max="16" width="14" style="514" bestFit="1" customWidth="1"/>
    <col min="17" max="17" width="11.125" style="514" bestFit="1" customWidth="1"/>
    <col min="18" max="18" width="14" style="514" bestFit="1" customWidth="1"/>
    <col min="19" max="19" width="11.125" style="514" bestFit="1" customWidth="1"/>
    <col min="20" max="20" width="13" style="514" bestFit="1" customWidth="1"/>
    <col min="21" max="21" width="11.125" style="514" bestFit="1" customWidth="1"/>
    <col min="22" max="22" width="13" style="514" bestFit="1" customWidth="1"/>
    <col min="23" max="23" width="11.125" style="514" bestFit="1" customWidth="1"/>
    <col min="24" max="16384" width="11" style="515"/>
  </cols>
  <sheetData>
    <row r="1" spans="1:11" s="514" customFormat="1" ht="21" x14ac:dyDescent="0.2">
      <c r="A1" s="618" t="s">
        <v>470</v>
      </c>
      <c r="B1" s="619"/>
      <c r="C1" s="619"/>
      <c r="D1" s="619"/>
      <c r="E1" s="619"/>
      <c r="F1" s="44"/>
      <c r="G1" s="414"/>
      <c r="H1" s="414"/>
      <c r="I1" s="44"/>
      <c r="J1" s="414"/>
      <c r="K1" s="414"/>
    </row>
    <row r="2" spans="1:11" s="514" customFormat="1" ht="21" x14ac:dyDescent="0.2">
      <c r="A2" s="503" t="s">
        <v>610</v>
      </c>
      <c r="B2" s="43"/>
      <c r="C2" s="504"/>
      <c r="D2" s="505"/>
      <c r="E2" s="505"/>
      <c r="F2" s="44"/>
      <c r="G2" s="414"/>
      <c r="H2" s="414"/>
      <c r="I2" s="44"/>
      <c r="J2" s="414"/>
      <c r="K2" s="414"/>
    </row>
    <row r="3" spans="1:11" s="514" customFormat="1" ht="15" x14ac:dyDescent="0.2">
      <c r="A3"/>
      <c r="B3" s="44"/>
      <c r="C3" s="44"/>
      <c r="D3" s="44"/>
      <c r="E3" s="44"/>
      <c r="F3" s="44"/>
      <c r="G3" s="44"/>
      <c r="H3" s="44"/>
      <c r="I3" s="44"/>
      <c r="J3" s="44"/>
      <c r="K3" s="44"/>
    </row>
    <row r="4" spans="1:11" s="514" customFormat="1" ht="15" x14ac:dyDescent="0.2">
      <c r="A4" s="572" t="s">
        <v>46</v>
      </c>
      <c r="B4" s="588" t="s">
        <v>604</v>
      </c>
      <c r="C4" s="620" t="s">
        <v>611</v>
      </c>
      <c r="D4" s="617"/>
      <c r="E4" s="612"/>
      <c r="F4" s="617" t="s">
        <v>605</v>
      </c>
      <c r="G4" s="617"/>
      <c r="H4" s="612"/>
      <c r="I4" s="617" t="s">
        <v>486</v>
      </c>
      <c r="J4" s="617"/>
      <c r="K4" s="612"/>
    </row>
    <row r="5" spans="1:11" s="514" customFormat="1" ht="15" x14ac:dyDescent="0.2">
      <c r="A5" s="574"/>
      <c r="B5" s="589"/>
      <c r="C5" s="293" t="s">
        <v>606</v>
      </c>
      <c r="D5" s="506" t="s">
        <v>607</v>
      </c>
      <c r="E5" s="507" t="s">
        <v>608</v>
      </c>
      <c r="F5" s="293" t="s">
        <v>606</v>
      </c>
      <c r="G5" s="506" t="s">
        <v>607</v>
      </c>
      <c r="H5" s="507" t="s">
        <v>608</v>
      </c>
      <c r="I5" s="293" t="s">
        <v>606</v>
      </c>
      <c r="J5" s="507" t="s">
        <v>607</v>
      </c>
      <c r="K5" s="507" t="s">
        <v>609</v>
      </c>
    </row>
    <row r="6" spans="1:11" s="514" customFormat="1" ht="15" x14ac:dyDescent="0.25">
      <c r="A6" s="151">
        <v>5401</v>
      </c>
      <c r="B6" s="508" t="s">
        <v>260</v>
      </c>
      <c r="C6" s="510">
        <v>5299794.2029398633</v>
      </c>
      <c r="D6" s="312">
        <f>VLOOKUP(B6,Synthèse!$B$6:$O$314,5,FALSE)</f>
        <v>4943333.9870172413</v>
      </c>
      <c r="E6" s="317">
        <f>D6-C6</f>
        <v>-356460.21592262201</v>
      </c>
      <c r="F6" s="509">
        <v>-5721219.4615683584</v>
      </c>
      <c r="G6" s="233">
        <f>VLOOKUP(B6,Synthèse!$B$6:$O$314,14,FALSE)</f>
        <v>-7049228.9874950266</v>
      </c>
      <c r="H6" s="317">
        <f>G6-F6</f>
        <v>-1328009.5259266682</v>
      </c>
      <c r="I6" s="510">
        <v>351222.45801486616</v>
      </c>
      <c r="J6" s="233">
        <f>VLOOKUP(B6,Synthèse!$B$6:$O$314,12,FALSE)</f>
        <v>334451.05192898895</v>
      </c>
      <c r="K6" s="317">
        <f>J6-I6</f>
        <v>-16771.406085877214</v>
      </c>
    </row>
    <row r="7" spans="1:11" s="514" customFormat="1" ht="15" x14ac:dyDescent="0.25">
      <c r="A7" s="151">
        <v>5402</v>
      </c>
      <c r="B7" s="508" t="s">
        <v>261</v>
      </c>
      <c r="C7" s="510">
        <v>3083748.1115815789</v>
      </c>
      <c r="D7" s="312">
        <f>VLOOKUP(B7,Synthèse!$B$6:$O$314,5,FALSE)</f>
        <v>3040280.9186381535</v>
      </c>
      <c r="E7" s="317">
        <f t="shared" ref="E7:E70" si="0">D7-C7</f>
        <v>-43467.192943425383</v>
      </c>
      <c r="F7" s="509">
        <v>-5567206.377627125</v>
      </c>
      <c r="G7" s="233">
        <f>VLOOKUP(B7,Synthèse!$B$6:$O$314,14,FALSE)</f>
        <v>-6112620.3643952673</v>
      </c>
      <c r="H7" s="317">
        <f t="shared" ref="H7:H70" si="1">G7-F7</f>
        <v>-545413.98676814232</v>
      </c>
      <c r="I7" s="510">
        <v>222102.56302930033</v>
      </c>
      <c r="J7" s="233">
        <f>VLOOKUP(B7,Synthèse!$B$6:$O$314,12,FALSE)</f>
        <v>210566.97305857347</v>
      </c>
      <c r="K7" s="317">
        <f t="shared" ref="K7:K70" si="2">J7-I7</f>
        <v>-11535.589970726869</v>
      </c>
    </row>
    <row r="8" spans="1:11" s="514" customFormat="1" ht="15" x14ac:dyDescent="0.25">
      <c r="A8" s="151">
        <v>5403</v>
      </c>
      <c r="B8" s="508" t="s">
        <v>112</v>
      </c>
      <c r="C8" s="510">
        <v>187497.13347614283</v>
      </c>
      <c r="D8" s="312">
        <f>VLOOKUP(B8,Synthèse!$B$6:$O$314,5,FALSE)</f>
        <v>204617.73413892073</v>
      </c>
      <c r="E8" s="317">
        <f t="shared" si="0"/>
        <v>17120.600662777899</v>
      </c>
      <c r="F8" s="509">
        <v>-89360.009045683983</v>
      </c>
      <c r="G8" s="233">
        <f>VLOOKUP(B8,Synthèse!$B$6:$O$314,14,FALSE)</f>
        <v>-96888.070864095804</v>
      </c>
      <c r="H8" s="317">
        <f t="shared" si="1"/>
        <v>-7528.0618184118212</v>
      </c>
      <c r="I8" s="510">
        <v>31911.215079578822</v>
      </c>
      <c r="J8" s="233">
        <f>VLOOKUP(B8,Synthèse!$B$6:$O$314,12,FALSE)</f>
        <v>31852.114632205317</v>
      </c>
      <c r="K8" s="317">
        <f t="shared" si="2"/>
        <v>-59.100447373504721</v>
      </c>
    </row>
    <row r="9" spans="1:11" s="514" customFormat="1" ht="15" x14ac:dyDescent="0.25">
      <c r="A9" s="151">
        <v>5404</v>
      </c>
      <c r="B9" s="508" t="s">
        <v>113</v>
      </c>
      <c r="C9" s="510">
        <v>219128.42126620529</v>
      </c>
      <c r="D9" s="312">
        <f>VLOOKUP(B9,Synthèse!$B$6:$O$314,5,FALSE)</f>
        <v>212640.53123471828</v>
      </c>
      <c r="E9" s="317">
        <f t="shared" si="0"/>
        <v>-6487.8900314870116</v>
      </c>
      <c r="F9" s="509">
        <v>-111703.22299470234</v>
      </c>
      <c r="G9" s="233">
        <f>VLOOKUP(B9,Synthèse!$B$6:$O$314,14,FALSE)</f>
        <v>-195142.38657038638</v>
      </c>
      <c r="H9" s="317">
        <f t="shared" si="1"/>
        <v>-83439.163575684041</v>
      </c>
      <c r="I9" s="510">
        <v>37242.728588422426</v>
      </c>
      <c r="J9" s="233">
        <f>VLOOKUP(B9,Synthèse!$B$6:$O$314,12,FALSE)</f>
        <v>33298.849716082084</v>
      </c>
      <c r="K9" s="317">
        <f t="shared" si="2"/>
        <v>-3943.8788723403413</v>
      </c>
    </row>
    <row r="10" spans="1:11" s="514" customFormat="1" ht="15" x14ac:dyDescent="0.25">
      <c r="A10" s="151">
        <v>5405</v>
      </c>
      <c r="B10" s="508" t="s">
        <v>114</v>
      </c>
      <c r="C10" s="510">
        <v>1930882.3880408411</v>
      </c>
      <c r="D10" s="312">
        <f>VLOOKUP(B10,Synthèse!$B$6:$O$314,5,FALSE)</f>
        <v>1370568.8160692726</v>
      </c>
      <c r="E10" s="317">
        <f t="shared" si="0"/>
        <v>-560313.57197156851</v>
      </c>
      <c r="F10" s="509">
        <v>379834.214763036</v>
      </c>
      <c r="G10" s="233">
        <f>VLOOKUP(B10,Synthèse!$B$6:$O$314,14,FALSE)</f>
        <v>193164.11312562227</v>
      </c>
      <c r="H10" s="317">
        <f t="shared" si="1"/>
        <v>-186670.10163741373</v>
      </c>
      <c r="I10" s="510">
        <v>199207.36583859366</v>
      </c>
      <c r="J10" s="233">
        <f>VLOOKUP(B10,Synthèse!$B$6:$O$314,12,FALSE)</f>
        <v>201848.04305058534</v>
      </c>
      <c r="K10" s="317">
        <f t="shared" si="2"/>
        <v>2640.6772119916859</v>
      </c>
    </row>
    <row r="11" spans="1:11" s="514" customFormat="1" ht="15" x14ac:dyDescent="0.25">
      <c r="A11" s="151">
        <v>5406</v>
      </c>
      <c r="B11" s="508" t="s">
        <v>115</v>
      </c>
      <c r="C11" s="510">
        <v>351480.1150755402</v>
      </c>
      <c r="D11" s="312">
        <f>VLOOKUP(B11,Synthèse!$B$6:$O$314,5,FALSE)</f>
        <v>400336.71453558351</v>
      </c>
      <c r="E11" s="317">
        <f t="shared" si="0"/>
        <v>48856.599460043304</v>
      </c>
      <c r="F11" s="509">
        <v>-199861.33491272526</v>
      </c>
      <c r="G11" s="233">
        <f>VLOOKUP(B11,Synthèse!$B$6:$O$314,14,FALSE)</f>
        <v>-359439.52847192623</v>
      </c>
      <c r="H11" s="317">
        <f t="shared" si="1"/>
        <v>-159578.19355920097</v>
      </c>
      <c r="I11" s="510">
        <v>66080.145811748909</v>
      </c>
      <c r="J11" s="233">
        <f>VLOOKUP(B11,Synthèse!$B$6:$O$314,12,FALSE)</f>
        <v>64863.132488500574</v>
      </c>
      <c r="K11" s="317">
        <f t="shared" si="2"/>
        <v>-1217.0133232483349</v>
      </c>
    </row>
    <row r="12" spans="1:11" s="514" customFormat="1" ht="15" x14ac:dyDescent="0.25">
      <c r="A12" s="151">
        <v>5407</v>
      </c>
      <c r="B12" s="508" t="s">
        <v>116</v>
      </c>
      <c r="C12" s="510">
        <v>1575738.991082134</v>
      </c>
      <c r="D12" s="312">
        <f>VLOOKUP(B12,Synthèse!$B$6:$O$314,5,FALSE)</f>
        <v>1621216.1786620524</v>
      </c>
      <c r="E12" s="317">
        <f t="shared" si="0"/>
        <v>45477.18757991842</v>
      </c>
      <c r="F12" s="509">
        <v>-3546586.2702823384</v>
      </c>
      <c r="G12" s="233">
        <f>VLOOKUP(B12,Synthèse!$B$6:$O$314,14,FALSE)</f>
        <v>-3183636.0449538445</v>
      </c>
      <c r="H12" s="317">
        <f t="shared" si="1"/>
        <v>362950.22532849386</v>
      </c>
      <c r="I12" s="510">
        <v>269781.57020747737</v>
      </c>
      <c r="J12" s="233">
        <f>VLOOKUP(B12,Synthèse!$B$6:$O$314,12,FALSE)</f>
        <v>265343.33351596445</v>
      </c>
      <c r="K12" s="317">
        <f t="shared" si="2"/>
        <v>-4438.2366915129242</v>
      </c>
    </row>
    <row r="13" spans="1:11" s="514" customFormat="1" ht="15" x14ac:dyDescent="0.25">
      <c r="A13" s="151">
        <v>5408</v>
      </c>
      <c r="B13" s="508" t="s">
        <v>117</v>
      </c>
      <c r="C13" s="510">
        <v>791891.16647171881</v>
      </c>
      <c r="D13" s="312">
        <f>VLOOKUP(B13,Synthèse!$B$6:$O$314,5,FALSE)</f>
        <v>746271.3943303033</v>
      </c>
      <c r="E13" s="317">
        <f t="shared" si="0"/>
        <v>-45619.772141415509</v>
      </c>
      <c r="F13" s="509">
        <v>-41981.731915435492</v>
      </c>
      <c r="G13" s="233">
        <f>VLOOKUP(B13,Synthèse!$B$6:$O$314,14,FALSE)</f>
        <v>241263.9759852665</v>
      </c>
      <c r="H13" s="317">
        <f t="shared" si="1"/>
        <v>283245.70790070202</v>
      </c>
      <c r="I13" s="510">
        <v>109480.16627705528</v>
      </c>
      <c r="J13" s="233">
        <f>VLOOKUP(B13,Synthèse!$B$6:$O$314,12,FALSE)</f>
        <v>129768.03375095248</v>
      </c>
      <c r="K13" s="317">
        <f t="shared" si="2"/>
        <v>20287.867473897204</v>
      </c>
    </row>
    <row r="14" spans="1:11" s="514" customFormat="1" ht="15" x14ac:dyDescent="0.25">
      <c r="A14" s="151">
        <v>5409</v>
      </c>
      <c r="B14" s="508" t="s">
        <v>118</v>
      </c>
      <c r="C14" s="510">
        <v>8088799.430014356</v>
      </c>
      <c r="D14" s="312">
        <f>VLOOKUP(B14,Synthèse!$B$6:$O$314,5,FALSE)</f>
        <v>7298371.7334683128</v>
      </c>
      <c r="E14" s="317">
        <f t="shared" si="0"/>
        <v>-790427.69654604327</v>
      </c>
      <c r="F14" s="509">
        <v>1774433.9957432849</v>
      </c>
      <c r="G14" s="233">
        <f>VLOOKUP(B14,Synthèse!$B$6:$O$314,14,FALSE)</f>
        <v>1304558.0579797821</v>
      </c>
      <c r="H14" s="317">
        <f t="shared" si="1"/>
        <v>-469875.93776350282</v>
      </c>
      <c r="I14" s="510">
        <v>482757.16984575707</v>
      </c>
      <c r="J14" s="233">
        <f>VLOOKUP(B14,Synthèse!$B$6:$O$314,12,FALSE)</f>
        <v>457158.58801278833</v>
      </c>
      <c r="K14" s="317">
        <f t="shared" si="2"/>
        <v>-25598.581832968746</v>
      </c>
    </row>
    <row r="15" spans="1:11" s="514" customFormat="1" ht="15" x14ac:dyDescent="0.25">
      <c r="A15" s="151">
        <v>5410</v>
      </c>
      <c r="B15" s="508" t="s">
        <v>130</v>
      </c>
      <c r="C15" s="510">
        <v>826863.39892391674</v>
      </c>
      <c r="D15" s="312">
        <f>VLOOKUP(B15,Synthèse!$B$6:$O$314,5,FALSE)</f>
        <v>753560.19707566872</v>
      </c>
      <c r="E15" s="317">
        <f t="shared" si="0"/>
        <v>-73303.20184824802</v>
      </c>
      <c r="F15" s="509">
        <v>-367673.65535390028</v>
      </c>
      <c r="G15" s="233">
        <f>VLOOKUP(B15,Synthèse!$B$6:$O$314,14,FALSE)</f>
        <v>-642458.12308534409</v>
      </c>
      <c r="H15" s="317">
        <f t="shared" si="1"/>
        <v>-274784.46773144382</v>
      </c>
      <c r="I15" s="510">
        <v>134046.43703783362</v>
      </c>
      <c r="J15" s="233">
        <f>VLOOKUP(B15,Synthèse!$B$6:$O$314,12,FALSE)</f>
        <v>115239.49427695374</v>
      </c>
      <c r="K15" s="317">
        <f t="shared" si="2"/>
        <v>-18806.942760879872</v>
      </c>
    </row>
    <row r="16" spans="1:11" s="514" customFormat="1" ht="15" x14ac:dyDescent="0.25">
      <c r="A16" s="151">
        <v>5411</v>
      </c>
      <c r="B16" s="508" t="s">
        <v>131</v>
      </c>
      <c r="C16" s="510">
        <v>1608776.6804379956</v>
      </c>
      <c r="D16" s="312">
        <f>VLOOKUP(B16,Synthèse!$B$6:$O$314,5,FALSE)</f>
        <v>1382661.0879914465</v>
      </c>
      <c r="E16" s="317">
        <f t="shared" si="0"/>
        <v>-226115.5924465491</v>
      </c>
      <c r="F16" s="509">
        <v>341615.57543421106</v>
      </c>
      <c r="G16" s="233">
        <f>VLOOKUP(B16,Synthèse!$B$6:$O$314,14,FALSE)</f>
        <v>30380.762794889859</v>
      </c>
      <c r="H16" s="317">
        <f t="shared" si="1"/>
        <v>-311234.8126393212</v>
      </c>
      <c r="I16" s="510">
        <v>216029.73961468582</v>
      </c>
      <c r="J16" s="233">
        <f>VLOOKUP(B16,Synthèse!$B$6:$O$314,12,FALSE)</f>
        <v>194085.21099879415</v>
      </c>
      <c r="K16" s="317">
        <f t="shared" si="2"/>
        <v>-21944.528615891672</v>
      </c>
    </row>
    <row r="17" spans="1:11" s="514" customFormat="1" ht="15" x14ac:dyDescent="0.25">
      <c r="A17" s="151">
        <v>5412</v>
      </c>
      <c r="B17" s="508" t="s">
        <v>132</v>
      </c>
      <c r="C17" s="510">
        <v>847349.08124645788</v>
      </c>
      <c r="D17" s="312">
        <f>VLOOKUP(B17,Synthèse!$B$6:$O$314,5,FALSE)</f>
        <v>630929.94476936117</v>
      </c>
      <c r="E17" s="317">
        <f t="shared" si="0"/>
        <v>-216419.1364770967</v>
      </c>
      <c r="F17" s="509">
        <v>207567.90064590098</v>
      </c>
      <c r="G17" s="233">
        <f>VLOOKUP(B17,Synthèse!$B$6:$O$314,14,FALSE)</f>
        <v>-88364.13925843341</v>
      </c>
      <c r="H17" s="317">
        <f t="shared" si="1"/>
        <v>-295932.03990433441</v>
      </c>
      <c r="I17" s="510">
        <v>80119.323032586515</v>
      </c>
      <c r="J17" s="233">
        <f>VLOOKUP(B17,Synthèse!$B$6:$O$314,12,FALSE)</f>
        <v>69571.131657211648</v>
      </c>
      <c r="K17" s="317">
        <f t="shared" si="2"/>
        <v>-10548.191375374867</v>
      </c>
    </row>
    <row r="18" spans="1:11" s="514" customFormat="1" ht="15" x14ac:dyDescent="0.25">
      <c r="A18" s="151">
        <v>5413</v>
      </c>
      <c r="B18" s="508" t="s">
        <v>133</v>
      </c>
      <c r="C18" s="510">
        <v>834496.08965298661</v>
      </c>
      <c r="D18" s="312">
        <f>VLOOKUP(B18,Synthèse!$B$6:$O$314,5,FALSE)</f>
        <v>871395.67222638091</v>
      </c>
      <c r="E18" s="317">
        <f t="shared" si="0"/>
        <v>36899.582573394291</v>
      </c>
      <c r="F18" s="509">
        <v>-427984.03233478387</v>
      </c>
      <c r="G18" s="233">
        <f>VLOOKUP(B18,Synthèse!$B$6:$O$314,14,FALSE)</f>
        <v>-283999.95806668384</v>
      </c>
      <c r="H18" s="317">
        <f t="shared" si="1"/>
        <v>143984.07426810003</v>
      </c>
      <c r="I18" s="510">
        <v>118137.57989917829</v>
      </c>
      <c r="J18" s="233">
        <f>VLOOKUP(B18,Synthèse!$B$6:$O$314,12,FALSE)</f>
        <v>142603.69929724027</v>
      </c>
      <c r="K18" s="317">
        <f t="shared" si="2"/>
        <v>24466.119398061972</v>
      </c>
    </row>
    <row r="19" spans="1:11" s="514" customFormat="1" ht="15" x14ac:dyDescent="0.25">
      <c r="A19" s="151">
        <v>5414</v>
      </c>
      <c r="B19" s="508" t="s">
        <v>134</v>
      </c>
      <c r="C19" s="510">
        <v>3799776.9124750192</v>
      </c>
      <c r="D19" s="312">
        <f>VLOOKUP(B19,Synthèse!$B$6:$O$314,5,FALSE)</f>
        <v>3034530.5167182516</v>
      </c>
      <c r="E19" s="317">
        <f t="shared" si="0"/>
        <v>-765246.3957567676</v>
      </c>
      <c r="F19" s="509">
        <v>-2575549.6397865051</v>
      </c>
      <c r="G19" s="233">
        <f>VLOOKUP(B19,Synthèse!$B$6:$O$314,14,FALSE)</f>
        <v>-3918097.6765055014</v>
      </c>
      <c r="H19" s="317">
        <f t="shared" si="1"/>
        <v>-1342548.0367189962</v>
      </c>
      <c r="I19" s="510">
        <v>511339.57154069981</v>
      </c>
      <c r="J19" s="233">
        <f>VLOOKUP(B19,Synthèse!$B$6:$O$314,12,FALSE)</f>
        <v>464676.98895298212</v>
      </c>
      <c r="K19" s="317">
        <f t="shared" si="2"/>
        <v>-46662.582587717683</v>
      </c>
    </row>
    <row r="20" spans="1:11" s="514" customFormat="1" ht="15" x14ac:dyDescent="0.25">
      <c r="A20" s="151">
        <v>5415</v>
      </c>
      <c r="B20" s="508" t="s">
        <v>72</v>
      </c>
      <c r="C20" s="510">
        <v>595058.35192077444</v>
      </c>
      <c r="D20" s="312">
        <f>VLOOKUP(B20,Synthèse!$B$6:$O$314,5,FALSE)</f>
        <v>698787.83639668697</v>
      </c>
      <c r="E20" s="317">
        <f t="shared" si="0"/>
        <v>103729.48447591253</v>
      </c>
      <c r="F20" s="509">
        <v>127811.50710986563</v>
      </c>
      <c r="G20" s="233">
        <f>VLOOKUP(B20,Synthèse!$B$6:$O$314,14,FALSE)</f>
        <v>130431.34608456973</v>
      </c>
      <c r="H20" s="317">
        <f t="shared" si="1"/>
        <v>2619.8389747040928</v>
      </c>
      <c r="I20" s="510">
        <v>104940.00262528434</v>
      </c>
      <c r="J20" s="233">
        <f>VLOOKUP(B20,Synthèse!$B$6:$O$314,12,FALSE)</f>
        <v>114108.41980532315</v>
      </c>
      <c r="K20" s="317">
        <f t="shared" si="2"/>
        <v>9168.417180038814</v>
      </c>
    </row>
    <row r="21" spans="1:11" s="514" customFormat="1" ht="15" x14ac:dyDescent="0.25">
      <c r="A21" s="151">
        <v>5421</v>
      </c>
      <c r="B21" s="508" t="s">
        <v>73</v>
      </c>
      <c r="C21" s="510">
        <v>1148456.7236300348</v>
      </c>
      <c r="D21" s="312">
        <f>VLOOKUP(B21,Synthèse!$B$6:$O$314,5,FALSE)</f>
        <v>998180.19375907292</v>
      </c>
      <c r="E21" s="317">
        <f t="shared" si="0"/>
        <v>-150276.52987096191</v>
      </c>
      <c r="F21" s="509">
        <v>908664.73718377342</v>
      </c>
      <c r="G21" s="233">
        <f>VLOOKUP(B21,Synthèse!$B$6:$O$314,14,FALSE)</f>
        <v>395435.47408167983</v>
      </c>
      <c r="H21" s="317">
        <f t="shared" si="1"/>
        <v>-513229.2631020936</v>
      </c>
      <c r="I21" s="510">
        <v>210465.94430256466</v>
      </c>
      <c r="J21" s="233">
        <f>VLOOKUP(B21,Synthèse!$B$6:$O$314,12,FALSE)</f>
        <v>202032.93621213676</v>
      </c>
      <c r="K21" s="317">
        <f t="shared" si="2"/>
        <v>-8433.0080904279021</v>
      </c>
    </row>
    <row r="22" spans="1:11" s="514" customFormat="1" ht="15" x14ac:dyDescent="0.25">
      <c r="A22" s="151">
        <v>5422</v>
      </c>
      <c r="B22" s="508" t="s">
        <v>74</v>
      </c>
      <c r="C22" s="510">
        <v>6408442.9146800442</v>
      </c>
      <c r="D22" s="312">
        <f>VLOOKUP(B22,Synthèse!$B$6:$O$314,5,FALSE)</f>
        <v>5713932.9845837923</v>
      </c>
      <c r="E22" s="317">
        <f t="shared" si="0"/>
        <v>-694509.93009625189</v>
      </c>
      <c r="F22" s="509">
        <v>3630009.2831513602</v>
      </c>
      <c r="G22" s="233">
        <f>VLOOKUP(B22,Synthèse!$B$6:$O$314,14,FALSE)</f>
        <v>3707247.6609021891</v>
      </c>
      <c r="H22" s="317">
        <f t="shared" si="1"/>
        <v>77238.377750828862</v>
      </c>
      <c r="I22" s="510">
        <v>567542.81626344938</v>
      </c>
      <c r="J22" s="233">
        <f>VLOOKUP(B22,Synthèse!$B$6:$O$314,12,FALSE)</f>
        <v>573235.93303133245</v>
      </c>
      <c r="K22" s="317">
        <f t="shared" si="2"/>
        <v>5693.116767883068</v>
      </c>
    </row>
    <row r="23" spans="1:11" s="514" customFormat="1" ht="15" x14ac:dyDescent="0.25">
      <c r="A23" s="151">
        <v>5423</v>
      </c>
      <c r="B23" s="508" t="s">
        <v>75</v>
      </c>
      <c r="C23" s="510">
        <v>231855.10797404434</v>
      </c>
      <c r="D23" s="312">
        <f>VLOOKUP(B23,Synthèse!$B$6:$O$314,5,FALSE)</f>
        <v>270031.11508308817</v>
      </c>
      <c r="E23" s="317">
        <f t="shared" si="0"/>
        <v>38176.007109043829</v>
      </c>
      <c r="F23" s="509">
        <v>-111335.27824259561</v>
      </c>
      <c r="G23" s="233">
        <f>VLOOKUP(B23,Synthèse!$B$6:$O$314,14,FALSE)</f>
        <v>-94208.49158395367</v>
      </c>
      <c r="H23" s="317">
        <f t="shared" si="1"/>
        <v>17126.78665864194</v>
      </c>
      <c r="I23" s="510">
        <v>42845.116133885582</v>
      </c>
      <c r="J23" s="233">
        <f>VLOOKUP(B23,Synthèse!$B$6:$O$314,12,FALSE)</f>
        <v>51995.523231012441</v>
      </c>
      <c r="K23" s="317">
        <f t="shared" si="2"/>
        <v>9150.4070971268593</v>
      </c>
    </row>
    <row r="24" spans="1:11" s="514" customFormat="1" ht="15" x14ac:dyDescent="0.25">
      <c r="A24" s="151">
        <v>5424</v>
      </c>
      <c r="B24" s="508" t="s">
        <v>76</v>
      </c>
      <c r="C24" s="510">
        <v>147646.63977097848</v>
      </c>
      <c r="D24" s="312">
        <f>VLOOKUP(B24,Synthèse!$B$6:$O$314,5,FALSE)</f>
        <v>145105.80618564234</v>
      </c>
      <c r="E24" s="317">
        <f t="shared" si="0"/>
        <v>-2540.833585336135</v>
      </c>
      <c r="F24" s="509">
        <v>8007.3029074282895</v>
      </c>
      <c r="G24" s="233">
        <f>VLOOKUP(B24,Synthèse!$B$6:$O$314,14,FALSE)</f>
        <v>-47053.56156450315</v>
      </c>
      <c r="H24" s="317">
        <f t="shared" si="1"/>
        <v>-55060.86447193144</v>
      </c>
      <c r="I24" s="510">
        <v>29649.826077119655</v>
      </c>
      <c r="J24" s="233">
        <f>VLOOKUP(B24,Synthèse!$B$6:$O$314,12,FALSE)</f>
        <v>27580.858607291866</v>
      </c>
      <c r="K24" s="317">
        <f t="shared" si="2"/>
        <v>-2068.9674698277886</v>
      </c>
    </row>
    <row r="25" spans="1:11" s="514" customFormat="1" ht="15" x14ac:dyDescent="0.25">
      <c r="A25" s="151">
        <v>5425</v>
      </c>
      <c r="B25" s="508" t="s">
        <v>77</v>
      </c>
      <c r="C25" s="510">
        <v>687154.64015473239</v>
      </c>
      <c r="D25" s="312">
        <f>VLOOKUP(B25,Synthèse!$B$6:$O$314,5,FALSE)</f>
        <v>686867.31148288108</v>
      </c>
      <c r="E25" s="317">
        <f t="shared" si="0"/>
        <v>-287.32867185131181</v>
      </c>
      <c r="F25" s="509">
        <v>-644757.67712569598</v>
      </c>
      <c r="G25" s="233">
        <f>VLOOKUP(B25,Synthèse!$B$6:$O$314,14,FALSE)</f>
        <v>-895741.27336103388</v>
      </c>
      <c r="H25" s="317">
        <f t="shared" si="1"/>
        <v>-250983.5962353379</v>
      </c>
      <c r="I25" s="510">
        <v>121957.37995903986</v>
      </c>
      <c r="J25" s="233">
        <f>VLOOKUP(B25,Synthèse!$B$6:$O$314,12,FALSE)</f>
        <v>121987.11474450746</v>
      </c>
      <c r="K25" s="317">
        <f t="shared" si="2"/>
        <v>29.734785467604524</v>
      </c>
    </row>
    <row r="26" spans="1:11" s="514" customFormat="1" ht="15" x14ac:dyDescent="0.25">
      <c r="A26" s="151">
        <v>5426</v>
      </c>
      <c r="B26" s="508" t="s">
        <v>71</v>
      </c>
      <c r="C26" s="510">
        <v>2624088.9729467249</v>
      </c>
      <c r="D26" s="312">
        <f>VLOOKUP(B26,Synthèse!$B$6:$O$314,5,FALSE)</f>
        <v>1695770.1312950472</v>
      </c>
      <c r="E26" s="317">
        <f t="shared" si="0"/>
        <v>-928318.84165167762</v>
      </c>
      <c r="F26" s="509">
        <v>950821.45328000805</v>
      </c>
      <c r="G26" s="233">
        <f>VLOOKUP(B26,Synthèse!$B$6:$O$314,14,FALSE)</f>
        <v>1006428.879596116</v>
      </c>
      <c r="H26" s="317">
        <f t="shared" si="1"/>
        <v>55607.426316107973</v>
      </c>
      <c r="I26" s="510">
        <v>107732.99194061622</v>
      </c>
      <c r="J26" s="233">
        <f>VLOOKUP(B26,Synthèse!$B$6:$O$314,12,FALSE)</f>
        <v>107776.47621192758</v>
      </c>
      <c r="K26" s="317">
        <f t="shared" si="2"/>
        <v>43.484271311361226</v>
      </c>
    </row>
    <row r="27" spans="1:11" s="514" customFormat="1" ht="15" x14ac:dyDescent="0.25">
      <c r="A27" s="151">
        <v>5427</v>
      </c>
      <c r="B27" s="508" t="s">
        <v>340</v>
      </c>
      <c r="C27" s="510">
        <v>2040576.0631844904</v>
      </c>
      <c r="D27" s="312">
        <f>VLOOKUP(B27,Synthèse!$B$6:$O$314,5,FALSE)</f>
        <v>1855545.8224665741</v>
      </c>
      <c r="E27" s="317">
        <f t="shared" si="0"/>
        <v>-185030.24071791628</v>
      </c>
      <c r="F27" s="509">
        <v>1368878.6198054641</v>
      </c>
      <c r="G27" s="233">
        <f>VLOOKUP(B27,Synthèse!$B$6:$O$314,14,FALSE)</f>
        <v>1368264.4197907394</v>
      </c>
      <c r="H27" s="317">
        <f t="shared" si="1"/>
        <v>-614.200014724629</v>
      </c>
      <c r="I27" s="510">
        <v>167714.45571468334</v>
      </c>
      <c r="J27" s="233">
        <f>VLOOKUP(B27,Synthèse!$B$6:$O$314,12,FALSE)</f>
        <v>167830.18470047752</v>
      </c>
      <c r="K27" s="317">
        <f t="shared" si="2"/>
        <v>115.72898579417961</v>
      </c>
    </row>
    <row r="28" spans="1:11" s="514" customFormat="1" ht="15" x14ac:dyDescent="0.25">
      <c r="A28" s="151">
        <v>5428</v>
      </c>
      <c r="B28" s="508" t="s">
        <v>341</v>
      </c>
      <c r="C28" s="510">
        <v>1328185.6343185578</v>
      </c>
      <c r="D28" s="312">
        <f>VLOOKUP(B28,Synthèse!$B$6:$O$314,5,FALSE)</f>
        <v>1441074.1351725673</v>
      </c>
      <c r="E28" s="317">
        <f t="shared" si="0"/>
        <v>112888.50085400953</v>
      </c>
      <c r="F28" s="509">
        <v>-389707.65485206444</v>
      </c>
      <c r="G28" s="233">
        <f>VLOOKUP(B28,Synthèse!$B$6:$O$314,14,FALSE)</f>
        <v>-395148.49997231981</v>
      </c>
      <c r="H28" s="317">
        <f t="shared" si="1"/>
        <v>-5440.8451202553697</v>
      </c>
      <c r="I28" s="510">
        <v>186182.42963917158</v>
      </c>
      <c r="J28" s="233">
        <f>VLOOKUP(B28,Synthèse!$B$6:$O$314,12,FALSE)</f>
        <v>212181.66413629783</v>
      </c>
      <c r="K28" s="317">
        <f t="shared" si="2"/>
        <v>25999.23449712625</v>
      </c>
    </row>
    <row r="29" spans="1:11" s="514" customFormat="1" ht="15" x14ac:dyDescent="0.25">
      <c r="A29" s="151">
        <v>5429</v>
      </c>
      <c r="B29" s="508" t="s">
        <v>361</v>
      </c>
      <c r="C29" s="510">
        <v>248450.77326805482</v>
      </c>
      <c r="D29" s="312">
        <f>VLOOKUP(B29,Synthèse!$B$6:$O$314,5,FALSE)</f>
        <v>264749.12640232185</v>
      </c>
      <c r="E29" s="317">
        <f t="shared" si="0"/>
        <v>16298.353134267032</v>
      </c>
      <c r="F29" s="509">
        <v>-114698.6152138192</v>
      </c>
      <c r="G29" s="233">
        <f>VLOOKUP(B29,Synthèse!$B$6:$O$314,14,FALSE)</f>
        <v>-59124.518703247842</v>
      </c>
      <c r="H29" s="317">
        <f t="shared" si="1"/>
        <v>55574.096510571355</v>
      </c>
      <c r="I29" s="510">
        <v>43371.101603340503</v>
      </c>
      <c r="J29" s="233">
        <f>VLOOKUP(B29,Synthèse!$B$6:$O$314,12,FALSE)</f>
        <v>48514.219527735659</v>
      </c>
      <c r="K29" s="317">
        <f t="shared" si="2"/>
        <v>5143.1179243951556</v>
      </c>
    </row>
    <row r="30" spans="1:11" s="514" customFormat="1" ht="15" x14ac:dyDescent="0.25">
      <c r="A30" s="151">
        <v>5430</v>
      </c>
      <c r="B30" s="508" t="s">
        <v>362</v>
      </c>
      <c r="C30" s="510">
        <v>247639.83893369537</v>
      </c>
      <c r="D30" s="312">
        <f>VLOOKUP(B30,Synthèse!$B$6:$O$314,5,FALSE)</f>
        <v>244564.96261596799</v>
      </c>
      <c r="E30" s="317">
        <f t="shared" si="0"/>
        <v>-3074.8763177273795</v>
      </c>
      <c r="F30" s="509">
        <v>-37353.922899226367</v>
      </c>
      <c r="G30" s="233">
        <f>VLOOKUP(B30,Synthèse!$B$6:$O$314,14,FALSE)</f>
        <v>-343599.93237837584</v>
      </c>
      <c r="H30" s="317">
        <f t="shared" si="1"/>
        <v>-306246.00947914948</v>
      </c>
      <c r="I30" s="510">
        <v>43336.756595937506</v>
      </c>
      <c r="J30" s="233">
        <f>VLOOKUP(B30,Synthèse!$B$6:$O$314,12,FALSE)</f>
        <v>44689.289035056441</v>
      </c>
      <c r="K30" s="317">
        <f t="shared" si="2"/>
        <v>1352.5324391189351</v>
      </c>
    </row>
    <row r="31" spans="1:11" s="514" customFormat="1" ht="15" x14ac:dyDescent="0.25">
      <c r="A31" s="151">
        <v>5431</v>
      </c>
      <c r="B31" s="508" t="s">
        <v>363</v>
      </c>
      <c r="C31" s="510">
        <v>180566.61410347995</v>
      </c>
      <c r="D31" s="312">
        <f>VLOOKUP(B31,Synthèse!$B$6:$O$314,5,FALSE)</f>
        <v>212755.2158720911</v>
      </c>
      <c r="E31" s="317">
        <f t="shared" si="0"/>
        <v>32188.601768611145</v>
      </c>
      <c r="F31" s="509">
        <v>-3846.0894176025395</v>
      </c>
      <c r="G31" s="233">
        <f>VLOOKUP(B31,Synthèse!$B$6:$O$314,14,FALSE)</f>
        <v>-80388.121502631024</v>
      </c>
      <c r="H31" s="317">
        <f t="shared" si="1"/>
        <v>-76542.032085028477</v>
      </c>
      <c r="I31" s="510">
        <v>27390.327860577549</v>
      </c>
      <c r="J31" s="233">
        <f>VLOOKUP(B31,Synthèse!$B$6:$O$314,12,FALSE)</f>
        <v>28221.843621044143</v>
      </c>
      <c r="K31" s="317">
        <f t="shared" si="2"/>
        <v>831.51576046659466</v>
      </c>
    </row>
    <row r="32" spans="1:11" s="514" customFormat="1" ht="15" x14ac:dyDescent="0.25">
      <c r="A32" s="151">
        <v>5432</v>
      </c>
      <c r="B32" s="508" t="s">
        <v>364</v>
      </c>
      <c r="C32" s="510">
        <v>306721.48822180775</v>
      </c>
      <c r="D32" s="312">
        <f>VLOOKUP(B32,Synthèse!$B$6:$O$314,5,FALSE)</f>
        <v>282243.64438863192</v>
      </c>
      <c r="E32" s="317">
        <f t="shared" si="0"/>
        <v>-24477.843833175837</v>
      </c>
      <c r="F32" s="509">
        <v>132865.0011073394</v>
      </c>
      <c r="G32" s="233">
        <f>VLOOKUP(B32,Synthèse!$B$6:$O$314,14,FALSE)</f>
        <v>15262.671783663616</v>
      </c>
      <c r="H32" s="317">
        <f t="shared" si="1"/>
        <v>-117602.32932367577</v>
      </c>
      <c r="I32" s="510">
        <v>57702.381140214056</v>
      </c>
      <c r="J32" s="233">
        <f>VLOOKUP(B32,Synthèse!$B$6:$O$314,12,FALSE)</f>
        <v>49470.682985067338</v>
      </c>
      <c r="K32" s="317">
        <f t="shared" si="2"/>
        <v>-8231.6981551467179</v>
      </c>
    </row>
    <row r="33" spans="1:11" s="514" customFormat="1" ht="15" x14ac:dyDescent="0.25">
      <c r="A33" s="151">
        <v>5434</v>
      </c>
      <c r="B33" s="508" t="s">
        <v>365</v>
      </c>
      <c r="C33" s="510">
        <v>738779.82355164806</v>
      </c>
      <c r="D33" s="312">
        <f>VLOOKUP(B33,Synthèse!$B$6:$O$314,5,FALSE)</f>
        <v>666217.45320125658</v>
      </c>
      <c r="E33" s="317">
        <f t="shared" si="0"/>
        <v>-72562.370350391488</v>
      </c>
      <c r="F33" s="509">
        <v>309897.50871087151</v>
      </c>
      <c r="G33" s="233">
        <f>VLOOKUP(B33,Synthèse!$B$6:$O$314,14,FALSE)</f>
        <v>365236.19554356439</v>
      </c>
      <c r="H33" s="317">
        <f t="shared" si="1"/>
        <v>55338.686832692882</v>
      </c>
      <c r="I33" s="510">
        <v>115591.96425094339</v>
      </c>
      <c r="J33" s="233">
        <f>VLOOKUP(B33,Synthèse!$B$6:$O$314,12,FALSE)</f>
        <v>122682.91169493922</v>
      </c>
      <c r="K33" s="317">
        <f t="shared" si="2"/>
        <v>7090.9474439958285</v>
      </c>
    </row>
    <row r="34" spans="1:11" s="514" customFormat="1" ht="15" x14ac:dyDescent="0.25">
      <c r="A34" s="151">
        <v>5435</v>
      </c>
      <c r="B34" s="508" t="s">
        <v>342</v>
      </c>
      <c r="C34" s="510">
        <v>416068.22574521776</v>
      </c>
      <c r="D34" s="312">
        <f>VLOOKUP(B34,Synthèse!$B$6:$O$314,5,FALSE)</f>
        <v>425661.82819980953</v>
      </c>
      <c r="E34" s="317">
        <f t="shared" si="0"/>
        <v>9593.6024545917753</v>
      </c>
      <c r="F34" s="509">
        <v>246408.97412395512</v>
      </c>
      <c r="G34" s="233">
        <f>VLOOKUP(B34,Synthèse!$B$6:$O$314,14,FALSE)</f>
        <v>254551.94122541463</v>
      </c>
      <c r="H34" s="317">
        <f t="shared" si="1"/>
        <v>8142.9671014595078</v>
      </c>
      <c r="I34" s="510">
        <v>76703.400957920181</v>
      </c>
      <c r="J34" s="233">
        <f>VLOOKUP(B34,Synthèse!$B$6:$O$314,12,FALSE)</f>
        <v>79992.596536477591</v>
      </c>
      <c r="K34" s="317">
        <f t="shared" si="2"/>
        <v>3289.19557855741</v>
      </c>
    </row>
    <row r="35" spans="1:11" s="514" customFormat="1" ht="15" x14ac:dyDescent="0.25">
      <c r="A35" s="151">
        <v>5436</v>
      </c>
      <c r="B35" s="508" t="s">
        <v>343</v>
      </c>
      <c r="C35" s="510">
        <v>289544.04333683412</v>
      </c>
      <c r="D35" s="312">
        <f>VLOOKUP(B35,Synthèse!$B$6:$O$314,5,FALSE)</f>
        <v>257285.63680064943</v>
      </c>
      <c r="E35" s="317">
        <f t="shared" si="0"/>
        <v>-32258.406536184688</v>
      </c>
      <c r="F35" s="509">
        <v>-13232.738403683383</v>
      </c>
      <c r="G35" s="233">
        <f>VLOOKUP(B35,Synthèse!$B$6:$O$314,14,FALSE)</f>
        <v>120472.6428907587</v>
      </c>
      <c r="H35" s="317">
        <f t="shared" si="1"/>
        <v>133705.38129444208</v>
      </c>
      <c r="I35" s="510">
        <v>48472.411686647822</v>
      </c>
      <c r="J35" s="233">
        <f>VLOOKUP(B35,Synthèse!$B$6:$O$314,12,FALSE)</f>
        <v>51036.60573995889</v>
      </c>
      <c r="K35" s="317">
        <f t="shared" si="2"/>
        <v>2564.1940533110683</v>
      </c>
    </row>
    <row r="36" spans="1:11" s="514" customFormat="1" ht="15" x14ac:dyDescent="0.25">
      <c r="A36" s="151">
        <v>5437</v>
      </c>
      <c r="B36" s="508" t="s">
        <v>344</v>
      </c>
      <c r="C36" s="510">
        <v>216063.03472469212</v>
      </c>
      <c r="D36" s="312">
        <f>VLOOKUP(B36,Synthèse!$B$6:$O$314,5,FALSE)</f>
        <v>234708.5287260167</v>
      </c>
      <c r="E36" s="317">
        <f t="shared" si="0"/>
        <v>18645.49400132458</v>
      </c>
      <c r="F36" s="509">
        <v>-51259.246557143873</v>
      </c>
      <c r="G36" s="233">
        <f>VLOOKUP(B36,Synthèse!$B$6:$O$314,14,FALSE)</f>
        <v>9965.6684175220653</v>
      </c>
      <c r="H36" s="317">
        <f t="shared" si="1"/>
        <v>61224.914974665939</v>
      </c>
      <c r="I36" s="510">
        <v>36169.526027951651</v>
      </c>
      <c r="J36" s="233">
        <f>VLOOKUP(B36,Synthèse!$B$6:$O$314,12,FALSE)</f>
        <v>40770.690177759891</v>
      </c>
      <c r="K36" s="317">
        <f t="shared" si="2"/>
        <v>4601.164149808239</v>
      </c>
    </row>
    <row r="37" spans="1:11" s="514" customFormat="1" ht="15" x14ac:dyDescent="0.25">
      <c r="A37" s="151">
        <v>5451</v>
      </c>
      <c r="B37" s="508" t="s">
        <v>345</v>
      </c>
      <c r="C37" s="510">
        <v>2686373.292610242</v>
      </c>
      <c r="D37" s="312">
        <f>VLOOKUP(B37,Synthèse!$B$6:$O$314,5,FALSE)</f>
        <v>2222140.2158954246</v>
      </c>
      <c r="E37" s="317">
        <f t="shared" si="0"/>
        <v>-464233.07671481743</v>
      </c>
      <c r="F37" s="509">
        <v>-1388426.8207260084</v>
      </c>
      <c r="G37" s="233">
        <f>VLOOKUP(B37,Synthèse!$B$6:$O$314,14,FALSE)</f>
        <v>-1975452.907712518</v>
      </c>
      <c r="H37" s="317">
        <f t="shared" si="1"/>
        <v>-587026.08698650962</v>
      </c>
      <c r="I37" s="510">
        <v>400263.33871339605</v>
      </c>
      <c r="J37" s="233">
        <f>VLOOKUP(B37,Synthèse!$B$6:$O$314,12,FALSE)</f>
        <v>376577.15539528697</v>
      </c>
      <c r="K37" s="317">
        <f t="shared" si="2"/>
        <v>-23686.183318109077</v>
      </c>
    </row>
    <row r="38" spans="1:11" s="514" customFormat="1" ht="15" x14ac:dyDescent="0.25">
      <c r="A38" s="151">
        <v>5456</v>
      </c>
      <c r="B38" s="508" t="s">
        <v>346</v>
      </c>
      <c r="C38" s="510">
        <v>1147501.1229770645</v>
      </c>
      <c r="D38" s="312">
        <f>VLOOKUP(B38,Synthèse!$B$6:$O$314,5,FALSE)</f>
        <v>1050337.9907301257</v>
      </c>
      <c r="E38" s="317">
        <f t="shared" si="0"/>
        <v>-97163.132246938767</v>
      </c>
      <c r="F38" s="509">
        <v>311992.80146779766</v>
      </c>
      <c r="G38" s="233">
        <f>VLOOKUP(B38,Synthèse!$B$6:$O$314,14,FALSE)</f>
        <v>301872.83510758466</v>
      </c>
      <c r="H38" s="317">
        <f t="shared" si="1"/>
        <v>-10119.966360213002</v>
      </c>
      <c r="I38" s="510">
        <v>181328.51836012024</v>
      </c>
      <c r="J38" s="233">
        <f>VLOOKUP(B38,Synthèse!$B$6:$O$314,12,FALSE)</f>
        <v>192566.04050946236</v>
      </c>
      <c r="K38" s="317">
        <f t="shared" si="2"/>
        <v>11237.522149342112</v>
      </c>
    </row>
    <row r="39" spans="1:11" s="514" customFormat="1" ht="15" x14ac:dyDescent="0.25">
      <c r="A39" s="151">
        <v>5458</v>
      </c>
      <c r="B39" s="508" t="s">
        <v>347</v>
      </c>
      <c r="C39" s="510">
        <v>587662.19126517198</v>
      </c>
      <c r="D39" s="312">
        <f>VLOOKUP(B39,Synthèse!$B$6:$O$314,5,FALSE)</f>
        <v>517602.24189887341</v>
      </c>
      <c r="E39" s="317">
        <f t="shared" si="0"/>
        <v>-70059.949366298562</v>
      </c>
      <c r="F39" s="509">
        <v>228261.85691963392</v>
      </c>
      <c r="G39" s="233">
        <f>VLOOKUP(B39,Synthèse!$B$6:$O$314,14,FALSE)</f>
        <v>223231.59284571791</v>
      </c>
      <c r="H39" s="317">
        <f t="shared" si="1"/>
        <v>-5030.2640739160124</v>
      </c>
      <c r="I39" s="510">
        <v>94212.439404600664</v>
      </c>
      <c r="J39" s="233">
        <f>VLOOKUP(B39,Synthèse!$B$6:$O$314,12,FALSE)</f>
        <v>95360.537425289105</v>
      </c>
      <c r="K39" s="317">
        <f t="shared" si="2"/>
        <v>1148.0980206884415</v>
      </c>
    </row>
    <row r="40" spans="1:11" s="514" customFormat="1" ht="15" x14ac:dyDescent="0.25">
      <c r="A40" s="151">
        <v>5464</v>
      </c>
      <c r="B40" s="508" t="s">
        <v>428</v>
      </c>
      <c r="C40" s="510">
        <v>1987182.5393773981</v>
      </c>
      <c r="D40" s="312">
        <f>VLOOKUP(B40,Synthèse!$B$6:$O$314,5,FALSE)</f>
        <v>1740133.7180594238</v>
      </c>
      <c r="E40" s="317">
        <f t="shared" si="0"/>
        <v>-247048.82131797425</v>
      </c>
      <c r="F40" s="509">
        <v>-89696.999184198445</v>
      </c>
      <c r="G40" s="233">
        <f>VLOOKUP(B40,Synthèse!$B$6:$O$314,14,FALSE)</f>
        <v>-114769.8244180961</v>
      </c>
      <c r="H40" s="317">
        <f t="shared" si="1"/>
        <v>-25072.82523389766</v>
      </c>
      <c r="I40" s="510">
        <v>325449.43025637814</v>
      </c>
      <c r="J40" s="233">
        <f>VLOOKUP(B40,Synthèse!$B$6:$O$314,12,FALSE)</f>
        <v>333461.5756150526</v>
      </c>
      <c r="K40" s="317">
        <f t="shared" si="2"/>
        <v>8012.145358674461</v>
      </c>
    </row>
    <row r="41" spans="1:11" s="514" customFormat="1" ht="15" x14ac:dyDescent="0.25">
      <c r="A41" s="151">
        <v>5471</v>
      </c>
      <c r="B41" s="508" t="s">
        <v>348</v>
      </c>
      <c r="C41" s="510">
        <v>317681.05515451741</v>
      </c>
      <c r="D41" s="312">
        <f>VLOOKUP(B41,Synthèse!$B$6:$O$314,5,FALSE)</f>
        <v>310700.391942747</v>
      </c>
      <c r="E41" s="317">
        <f t="shared" si="0"/>
        <v>-6980.6632117704139</v>
      </c>
      <c r="F41" s="509">
        <v>96561.473137659763</v>
      </c>
      <c r="G41" s="233">
        <f>VLOOKUP(B41,Synthèse!$B$6:$O$314,14,FALSE)</f>
        <v>88217.871022614898</v>
      </c>
      <c r="H41" s="317">
        <f t="shared" si="1"/>
        <v>-8343.6021150448651</v>
      </c>
      <c r="I41" s="510">
        <v>57256.785907999292</v>
      </c>
      <c r="J41" s="233">
        <f>VLOOKUP(B41,Synthèse!$B$6:$O$314,12,FALSE)</f>
        <v>60837.058823647938</v>
      </c>
      <c r="K41" s="317">
        <f t="shared" si="2"/>
        <v>3580.2729156486457</v>
      </c>
    </row>
    <row r="42" spans="1:11" s="514" customFormat="1" ht="15" x14ac:dyDescent="0.25">
      <c r="A42" s="151">
        <v>5472</v>
      </c>
      <c r="B42" s="508" t="s">
        <v>349</v>
      </c>
      <c r="C42" s="510">
        <v>274237.10927311529</v>
      </c>
      <c r="D42" s="312">
        <f>VLOOKUP(B42,Synthèse!$B$6:$O$314,5,FALSE)</f>
        <v>359320.07481085369</v>
      </c>
      <c r="E42" s="317">
        <f t="shared" si="0"/>
        <v>85082.965537738404</v>
      </c>
      <c r="F42" s="509">
        <v>220149.25488441534</v>
      </c>
      <c r="G42" s="233">
        <f>VLOOKUP(B42,Synthèse!$B$6:$O$314,14,FALSE)</f>
        <v>237657.59151535001</v>
      </c>
      <c r="H42" s="317">
        <f t="shared" si="1"/>
        <v>17508.336630934675</v>
      </c>
      <c r="I42" s="510">
        <v>52326.505954133987</v>
      </c>
      <c r="J42" s="233">
        <f>VLOOKUP(B42,Synthèse!$B$6:$O$314,12,FALSE)</f>
        <v>61373.118025878386</v>
      </c>
      <c r="K42" s="317">
        <f t="shared" si="2"/>
        <v>9046.6120717443991</v>
      </c>
    </row>
    <row r="43" spans="1:11" s="514" customFormat="1" ht="15" x14ac:dyDescent="0.25">
      <c r="A43" s="151">
        <v>5473</v>
      </c>
      <c r="B43" s="508" t="s">
        <v>209</v>
      </c>
      <c r="C43" s="510">
        <v>591272.85508283856</v>
      </c>
      <c r="D43" s="312">
        <f>VLOOKUP(B43,Synthèse!$B$6:$O$314,5,FALSE)</f>
        <v>558880.25441498891</v>
      </c>
      <c r="E43" s="317">
        <f t="shared" si="0"/>
        <v>-32392.600667849649</v>
      </c>
      <c r="F43" s="509">
        <v>460183.0543613137</v>
      </c>
      <c r="G43" s="233">
        <f>VLOOKUP(B43,Synthèse!$B$6:$O$314,14,FALSE)</f>
        <v>410930.01252501004</v>
      </c>
      <c r="H43" s="317">
        <f t="shared" si="1"/>
        <v>-49253.041836303659</v>
      </c>
      <c r="I43" s="510">
        <v>113708.27332950727</v>
      </c>
      <c r="J43" s="233">
        <f>VLOOKUP(B43,Synthèse!$B$6:$O$314,12,FALSE)</f>
        <v>114218.70091043101</v>
      </c>
      <c r="K43" s="317">
        <f t="shared" si="2"/>
        <v>510.42758092374424</v>
      </c>
    </row>
    <row r="44" spans="1:11" s="514" customFormat="1" ht="15" x14ac:dyDescent="0.25">
      <c r="A44" s="151">
        <v>5474</v>
      </c>
      <c r="B44" s="508" t="s">
        <v>210</v>
      </c>
      <c r="C44" s="510">
        <v>197891.1324604757</v>
      </c>
      <c r="D44" s="312">
        <f>VLOOKUP(B44,Synthèse!$B$6:$O$314,5,FALSE)</f>
        <v>232375.585287258</v>
      </c>
      <c r="E44" s="317">
        <f t="shared" si="0"/>
        <v>34484.452826782304</v>
      </c>
      <c r="F44" s="509">
        <v>-16840.793520463776</v>
      </c>
      <c r="G44" s="233">
        <f>VLOOKUP(B44,Synthèse!$B$6:$O$314,14,FALSE)</f>
        <v>-152819.83688658703</v>
      </c>
      <c r="H44" s="317">
        <f t="shared" si="1"/>
        <v>-135979.04336612325</v>
      </c>
      <c r="I44" s="510">
        <v>41278.454818325888</v>
      </c>
      <c r="J44" s="233">
        <f>VLOOKUP(B44,Synthèse!$B$6:$O$314,12,FALSE)</f>
        <v>39978.363107639321</v>
      </c>
      <c r="K44" s="317">
        <f t="shared" si="2"/>
        <v>-1300.0917106865672</v>
      </c>
    </row>
    <row r="45" spans="1:11" s="514" customFormat="1" ht="15" x14ac:dyDescent="0.25">
      <c r="A45" s="151">
        <v>5475</v>
      </c>
      <c r="B45" s="508" t="s">
        <v>371</v>
      </c>
      <c r="C45" s="510">
        <v>107832.41197140559</v>
      </c>
      <c r="D45" s="312">
        <f>VLOOKUP(B45,Synthèse!$B$6:$O$314,5,FALSE)</f>
        <v>64111.943237806358</v>
      </c>
      <c r="E45" s="317">
        <f t="shared" si="0"/>
        <v>-43720.468733599228</v>
      </c>
      <c r="F45" s="509">
        <v>-2233.7125494559878</v>
      </c>
      <c r="G45" s="233">
        <f>VLOOKUP(B45,Synthèse!$B$6:$O$314,14,FALSE)</f>
        <v>-57849.171265472389</v>
      </c>
      <c r="H45" s="317">
        <f t="shared" si="1"/>
        <v>-55615.458716016401</v>
      </c>
      <c r="I45" s="510">
        <v>15723.951098103711</v>
      </c>
      <c r="J45" s="233">
        <f>VLOOKUP(B45,Synthèse!$B$6:$O$314,12,FALSE)</f>
        <v>11708.803141202352</v>
      </c>
      <c r="K45" s="317">
        <f t="shared" si="2"/>
        <v>-4015.1479569013591</v>
      </c>
    </row>
    <row r="46" spans="1:11" s="514" customFormat="1" ht="15" x14ac:dyDescent="0.25">
      <c r="A46" s="151">
        <v>5476</v>
      </c>
      <c r="B46" s="508" t="s">
        <v>372</v>
      </c>
      <c r="C46" s="510">
        <v>164452.67528276722</v>
      </c>
      <c r="D46" s="312">
        <f>VLOOKUP(B46,Synthèse!$B$6:$O$314,5,FALSE)</f>
        <v>166569.84954299193</v>
      </c>
      <c r="E46" s="317">
        <f t="shared" si="0"/>
        <v>2117.1742602247105</v>
      </c>
      <c r="F46" s="509">
        <v>76642.092988770528</v>
      </c>
      <c r="G46" s="233">
        <f>VLOOKUP(B46,Synthèse!$B$6:$O$314,14,FALSE)</f>
        <v>107857.37596723084</v>
      </c>
      <c r="H46" s="317">
        <f t="shared" si="1"/>
        <v>31215.282978460309</v>
      </c>
      <c r="I46" s="510">
        <v>34014.063237382652</v>
      </c>
      <c r="J46" s="233">
        <f>VLOOKUP(B46,Synthèse!$B$6:$O$314,12,FALSE)</f>
        <v>35935.108916196477</v>
      </c>
      <c r="K46" s="317">
        <f t="shared" si="2"/>
        <v>1921.0456788138254</v>
      </c>
    </row>
    <row r="47" spans="1:11" s="514" customFormat="1" ht="15" x14ac:dyDescent="0.25">
      <c r="A47" s="151">
        <v>5477</v>
      </c>
      <c r="B47" s="508" t="s">
        <v>373</v>
      </c>
      <c r="C47" s="510">
        <v>2405882.7743256479</v>
      </c>
      <c r="D47" s="312">
        <f>VLOOKUP(B47,Synthèse!$B$6:$O$314,5,FALSE)</f>
        <v>2341531.6328706099</v>
      </c>
      <c r="E47" s="317">
        <f t="shared" si="0"/>
        <v>-64351.141455037985</v>
      </c>
      <c r="F47" s="509">
        <v>-127860.99740546569</v>
      </c>
      <c r="G47" s="233">
        <f>VLOOKUP(B47,Synthèse!$B$6:$O$314,14,FALSE)</f>
        <v>-1627306.3399984068</v>
      </c>
      <c r="H47" s="317">
        <f t="shared" si="1"/>
        <v>-1499445.3425929411</v>
      </c>
      <c r="I47" s="510">
        <v>412958.59963765467</v>
      </c>
      <c r="J47" s="233">
        <f>VLOOKUP(B47,Synthèse!$B$6:$O$314,12,FALSE)</f>
        <v>356198.85610516352</v>
      </c>
      <c r="K47" s="317">
        <f t="shared" si="2"/>
        <v>-56759.743532491149</v>
      </c>
    </row>
    <row r="48" spans="1:11" s="514" customFormat="1" ht="15" x14ac:dyDescent="0.25">
      <c r="A48" s="151">
        <v>5478</v>
      </c>
      <c r="B48" s="508" t="s">
        <v>240</v>
      </c>
      <c r="C48" s="510">
        <v>242100.02385479855</v>
      </c>
      <c r="D48" s="312">
        <f>VLOOKUP(B48,Synthèse!$B$6:$O$314,5,FALSE)</f>
        <v>224742.43287433332</v>
      </c>
      <c r="E48" s="317">
        <f t="shared" si="0"/>
        <v>-17357.590980465233</v>
      </c>
      <c r="F48" s="509">
        <v>29004.712701799675</v>
      </c>
      <c r="G48" s="233">
        <f>VLOOKUP(B48,Synthèse!$B$6:$O$314,14,FALSE)</f>
        <v>-453500.9024628519</v>
      </c>
      <c r="H48" s="317">
        <f t="shared" si="1"/>
        <v>-482505.61516465159</v>
      </c>
      <c r="I48" s="510">
        <v>45103.334333546074</v>
      </c>
      <c r="J48" s="233">
        <f>VLOOKUP(B48,Synthèse!$B$6:$O$314,12,FALSE)</f>
        <v>49536.026685247809</v>
      </c>
      <c r="K48" s="317">
        <f t="shared" si="2"/>
        <v>4432.6923517017349</v>
      </c>
    </row>
    <row r="49" spans="1:11" s="514" customFormat="1" ht="15" x14ac:dyDescent="0.25">
      <c r="A49" s="151">
        <v>5479</v>
      </c>
      <c r="B49" s="508" t="s">
        <v>241</v>
      </c>
      <c r="C49" s="510">
        <v>296058.27190303453</v>
      </c>
      <c r="D49" s="312">
        <f>VLOOKUP(B49,Synthèse!$B$6:$O$314,5,FALSE)</f>
        <v>327821.51201724075</v>
      </c>
      <c r="E49" s="317">
        <f t="shared" si="0"/>
        <v>31763.240114206215</v>
      </c>
      <c r="F49" s="509">
        <v>25075.34895192369</v>
      </c>
      <c r="G49" s="233">
        <f>VLOOKUP(B49,Synthèse!$B$6:$O$314,14,FALSE)</f>
        <v>16697.278979005845</v>
      </c>
      <c r="H49" s="317">
        <f t="shared" si="1"/>
        <v>-8378.069972917845</v>
      </c>
      <c r="I49" s="510">
        <v>52544.560632795401</v>
      </c>
      <c r="J49" s="233">
        <f>VLOOKUP(B49,Synthèse!$B$6:$O$314,12,FALSE)</f>
        <v>55083.788006639108</v>
      </c>
      <c r="K49" s="317">
        <f t="shared" si="2"/>
        <v>2539.227373843707</v>
      </c>
    </row>
    <row r="50" spans="1:11" s="514" customFormat="1" ht="15" x14ac:dyDescent="0.25">
      <c r="A50" s="151">
        <v>5480</v>
      </c>
      <c r="B50" s="508" t="s">
        <v>242</v>
      </c>
      <c r="C50" s="510">
        <v>812681.54067441495</v>
      </c>
      <c r="D50" s="312">
        <f>VLOOKUP(B50,Synthèse!$B$6:$O$314,5,FALSE)</f>
        <v>720121.89900183724</v>
      </c>
      <c r="E50" s="317">
        <f t="shared" si="0"/>
        <v>-92559.641672577709</v>
      </c>
      <c r="F50" s="509">
        <v>468925.59522513067</v>
      </c>
      <c r="G50" s="233">
        <f>VLOOKUP(B50,Synthèse!$B$6:$O$314,14,FALSE)</f>
        <v>44308.263756509114</v>
      </c>
      <c r="H50" s="317">
        <f t="shared" si="1"/>
        <v>-424617.33146862156</v>
      </c>
      <c r="I50" s="510">
        <v>128424.81697378398</v>
      </c>
      <c r="J50" s="233">
        <f>VLOOKUP(B50,Synthèse!$B$6:$O$314,12,FALSE)</f>
        <v>120445.75235661611</v>
      </c>
      <c r="K50" s="317">
        <f t="shared" si="2"/>
        <v>-7979.0646171678673</v>
      </c>
    </row>
    <row r="51" spans="1:11" s="514" customFormat="1" ht="15" x14ac:dyDescent="0.25">
      <c r="A51" s="151">
        <v>5481</v>
      </c>
      <c r="B51" s="508" t="s">
        <v>243</v>
      </c>
      <c r="C51" s="510">
        <v>198756.3945428617</v>
      </c>
      <c r="D51" s="312">
        <f>VLOOKUP(B51,Synthèse!$B$6:$O$314,5,FALSE)</f>
        <v>113597.05253310376</v>
      </c>
      <c r="E51" s="317">
        <f t="shared" si="0"/>
        <v>-85159.342009757936</v>
      </c>
      <c r="F51" s="509">
        <v>193071.15049068836</v>
      </c>
      <c r="G51" s="233">
        <f>VLOOKUP(B51,Synthèse!$B$6:$O$314,14,FALSE)</f>
        <v>38907.598591760383</v>
      </c>
      <c r="H51" s="317">
        <f t="shared" si="1"/>
        <v>-154163.55189892798</v>
      </c>
      <c r="I51" s="510">
        <v>32910.378943801639</v>
      </c>
      <c r="J51" s="233">
        <f>VLOOKUP(B51,Synthèse!$B$6:$O$314,12,FALSE)</f>
        <v>24746.966190892272</v>
      </c>
      <c r="K51" s="317">
        <f t="shared" si="2"/>
        <v>-8163.4127529093676</v>
      </c>
    </row>
    <row r="52" spans="1:11" s="514" customFormat="1" ht="15" x14ac:dyDescent="0.25">
      <c r="A52" s="151">
        <v>5482</v>
      </c>
      <c r="B52" s="508" t="s">
        <v>244</v>
      </c>
      <c r="C52" s="510">
        <v>853708.71383490984</v>
      </c>
      <c r="D52" s="312">
        <f>VLOOKUP(B52,Synthèse!$B$6:$O$314,5,FALSE)</f>
        <v>1225755.4765885507</v>
      </c>
      <c r="E52" s="317">
        <f t="shared" si="0"/>
        <v>372046.76275364088</v>
      </c>
      <c r="F52" s="509">
        <v>564985.25512809865</v>
      </c>
      <c r="G52" s="233">
        <f>VLOOKUP(B52,Synthèse!$B$6:$O$314,14,FALSE)</f>
        <v>1158585.0714791226</v>
      </c>
      <c r="H52" s="317">
        <f t="shared" si="1"/>
        <v>593599.81635102397</v>
      </c>
      <c r="I52" s="510">
        <v>136871.16037520746</v>
      </c>
      <c r="J52" s="233">
        <f>VLOOKUP(B52,Synthèse!$B$6:$O$314,12,FALSE)</f>
        <v>191901.38847300978</v>
      </c>
      <c r="K52" s="317">
        <f t="shared" si="2"/>
        <v>55030.228097802319</v>
      </c>
    </row>
    <row r="53" spans="1:11" s="514" customFormat="1" ht="15" x14ac:dyDescent="0.25">
      <c r="A53" s="151">
        <v>5483</v>
      </c>
      <c r="B53" s="508" t="s">
        <v>140</v>
      </c>
      <c r="C53" s="510">
        <v>159398.62465329398</v>
      </c>
      <c r="D53" s="312">
        <f>VLOOKUP(B53,Synthèse!$B$6:$O$314,5,FALSE)</f>
        <v>155784.50645867133</v>
      </c>
      <c r="E53" s="317">
        <f t="shared" si="0"/>
        <v>-3614.118194622657</v>
      </c>
      <c r="F53" s="509">
        <v>-4535.9087026672132</v>
      </c>
      <c r="G53" s="233">
        <f>VLOOKUP(B53,Synthèse!$B$6:$O$314,14,FALSE)</f>
        <v>62466.592116201413</v>
      </c>
      <c r="H53" s="317">
        <f t="shared" si="1"/>
        <v>67002.500818868633</v>
      </c>
      <c r="I53" s="510">
        <v>28159.454450899306</v>
      </c>
      <c r="J53" s="233">
        <f>VLOOKUP(B53,Synthèse!$B$6:$O$314,12,FALSE)</f>
        <v>32835.573373137646</v>
      </c>
      <c r="K53" s="317">
        <f t="shared" si="2"/>
        <v>4676.11892223834</v>
      </c>
    </row>
    <row r="54" spans="1:11" s="514" customFormat="1" ht="15" x14ac:dyDescent="0.25">
      <c r="A54" s="151">
        <v>5484</v>
      </c>
      <c r="B54" s="508" t="s">
        <v>141</v>
      </c>
      <c r="C54" s="510">
        <v>633847.21477983007</v>
      </c>
      <c r="D54" s="312">
        <f>VLOOKUP(B54,Synthèse!$B$6:$O$314,5,FALSE)</f>
        <v>585204.41946574033</v>
      </c>
      <c r="E54" s="317">
        <f t="shared" si="0"/>
        <v>-48642.795314089744</v>
      </c>
      <c r="F54" s="509">
        <v>224857.97217475646</v>
      </c>
      <c r="G54" s="233">
        <f>VLOOKUP(B54,Synthèse!$B$6:$O$314,14,FALSE)</f>
        <v>44379.874635559419</v>
      </c>
      <c r="H54" s="317">
        <f t="shared" si="1"/>
        <v>-180478.09753919704</v>
      </c>
      <c r="I54" s="510">
        <v>100956.8421441727</v>
      </c>
      <c r="J54" s="233">
        <f>VLOOKUP(B54,Synthèse!$B$6:$O$314,12,FALSE)</f>
        <v>105934.34452859004</v>
      </c>
      <c r="K54" s="317">
        <f t="shared" si="2"/>
        <v>4977.5023844173411</v>
      </c>
    </row>
    <row r="55" spans="1:11" s="514" customFormat="1" ht="15" x14ac:dyDescent="0.25">
      <c r="A55" s="151">
        <v>5485</v>
      </c>
      <c r="B55" s="508" t="s">
        <v>142</v>
      </c>
      <c r="C55" s="510">
        <v>311970.76238677185</v>
      </c>
      <c r="D55" s="312">
        <f>VLOOKUP(B55,Synthèse!$B$6:$O$314,5,FALSE)</f>
        <v>277788.97400532977</v>
      </c>
      <c r="E55" s="317">
        <f t="shared" si="0"/>
        <v>-34181.788381442078</v>
      </c>
      <c r="F55" s="509">
        <v>-148249.05660204438</v>
      </c>
      <c r="G55" s="233">
        <f>VLOOKUP(B55,Synthèse!$B$6:$O$314,14,FALSE)</f>
        <v>88034.563843098309</v>
      </c>
      <c r="H55" s="317">
        <f t="shared" si="1"/>
        <v>236283.62044514267</v>
      </c>
      <c r="I55" s="510">
        <v>57561.697730785178</v>
      </c>
      <c r="J55" s="233">
        <f>VLOOKUP(B55,Synthèse!$B$6:$O$314,12,FALSE)</f>
        <v>43980.725054676048</v>
      </c>
      <c r="K55" s="317">
        <f t="shared" si="2"/>
        <v>-13580.97267610913</v>
      </c>
    </row>
    <row r="56" spans="1:11" s="514" customFormat="1" ht="15" x14ac:dyDescent="0.25">
      <c r="A56" s="151">
        <v>5486</v>
      </c>
      <c r="B56" s="508" t="s">
        <v>1</v>
      </c>
      <c r="C56" s="510">
        <v>561922.82658103004</v>
      </c>
      <c r="D56" s="312">
        <f>VLOOKUP(B56,Synthèse!$B$6:$O$314,5,FALSE)</f>
        <v>578325.55807702662</v>
      </c>
      <c r="E56" s="317">
        <f t="shared" si="0"/>
        <v>16402.731495996588</v>
      </c>
      <c r="F56" s="509">
        <v>-175936.21430508984</v>
      </c>
      <c r="G56" s="233">
        <f>VLOOKUP(B56,Synthèse!$B$6:$O$314,14,FALSE)</f>
        <v>-11928.753797850572</v>
      </c>
      <c r="H56" s="317">
        <f t="shared" si="1"/>
        <v>164007.46050723927</v>
      </c>
      <c r="I56" s="510">
        <v>96548.109406906005</v>
      </c>
      <c r="J56" s="233">
        <f>VLOOKUP(B56,Synthèse!$B$6:$O$314,12,FALSE)</f>
        <v>113516.9953956922</v>
      </c>
      <c r="K56" s="317">
        <f t="shared" si="2"/>
        <v>16968.885988786191</v>
      </c>
    </row>
    <row r="57" spans="1:11" s="514" customFormat="1" ht="15" x14ac:dyDescent="0.25">
      <c r="A57" s="151">
        <v>5487</v>
      </c>
      <c r="B57" s="508" t="s">
        <v>2</v>
      </c>
      <c r="C57" s="510">
        <v>235058.36864109896</v>
      </c>
      <c r="D57" s="312">
        <f>VLOOKUP(B57,Synthèse!$B$6:$O$314,5,FALSE)</f>
        <v>189662.0410995066</v>
      </c>
      <c r="E57" s="317">
        <f t="shared" si="0"/>
        <v>-45396.327541592356</v>
      </c>
      <c r="F57" s="509">
        <v>84386.497424971472</v>
      </c>
      <c r="G57" s="233">
        <f>VLOOKUP(B57,Synthèse!$B$6:$O$314,14,FALSE)</f>
        <v>-51616.317987081871</v>
      </c>
      <c r="H57" s="317">
        <f t="shared" si="1"/>
        <v>-136002.81541205334</v>
      </c>
      <c r="I57" s="510">
        <v>46674.222293624225</v>
      </c>
      <c r="J57" s="233">
        <f>VLOOKUP(B57,Synthèse!$B$6:$O$314,12,FALSE)</f>
        <v>38787.307509219812</v>
      </c>
      <c r="K57" s="317">
        <f t="shared" si="2"/>
        <v>-7886.9147844044128</v>
      </c>
    </row>
    <row r="58" spans="1:11" s="514" customFormat="1" ht="15" x14ac:dyDescent="0.25">
      <c r="A58" s="151">
        <v>5488</v>
      </c>
      <c r="B58" s="508" t="s">
        <v>3</v>
      </c>
      <c r="C58" s="510">
        <v>35690.675439220853</v>
      </c>
      <c r="D58" s="312">
        <f>VLOOKUP(B58,Synthèse!$B$6:$O$314,5,FALSE)</f>
        <v>22051.081948237923</v>
      </c>
      <c r="E58" s="317">
        <f t="shared" si="0"/>
        <v>-13639.59349098293</v>
      </c>
      <c r="F58" s="509">
        <v>13495.20547004215</v>
      </c>
      <c r="G58" s="233">
        <f>VLOOKUP(B58,Synthèse!$B$6:$O$314,14,FALSE)</f>
        <v>-3545.6817698222621</v>
      </c>
      <c r="H58" s="317">
        <f t="shared" si="1"/>
        <v>-17040.887239864413</v>
      </c>
      <c r="I58" s="510">
        <v>6126.5225709814467</v>
      </c>
      <c r="J58" s="233">
        <f>VLOOKUP(B58,Synthèse!$B$6:$O$314,12,FALSE)</f>
        <v>4962.6908601637515</v>
      </c>
      <c r="K58" s="317">
        <f t="shared" si="2"/>
        <v>-1163.8317108176952</v>
      </c>
    </row>
    <row r="59" spans="1:11" s="514" customFormat="1" ht="15" x14ac:dyDescent="0.25">
      <c r="A59" s="151">
        <v>5489</v>
      </c>
      <c r="B59" s="508" t="s">
        <v>4</v>
      </c>
      <c r="C59" s="510">
        <v>1508102.4558146195</v>
      </c>
      <c r="D59" s="312">
        <f>VLOOKUP(B59,Synthèse!$B$6:$O$314,5,FALSE)</f>
        <v>1424347.9841138779</v>
      </c>
      <c r="E59" s="317">
        <f t="shared" si="0"/>
        <v>-83754.471700741677</v>
      </c>
      <c r="F59" s="509">
        <v>1107154.0557105648</v>
      </c>
      <c r="G59" s="233">
        <f>VLOOKUP(B59,Synthèse!$B$6:$O$314,14,FALSE)</f>
        <v>1021134.1490483743</v>
      </c>
      <c r="H59" s="317">
        <f t="shared" si="1"/>
        <v>-86019.906662190566</v>
      </c>
      <c r="I59" s="510">
        <v>138326.21614204271</v>
      </c>
      <c r="J59" s="233">
        <f>VLOOKUP(B59,Synthèse!$B$6:$O$314,12,FALSE)</f>
        <v>139156.95474080899</v>
      </c>
      <c r="K59" s="317">
        <f t="shared" si="2"/>
        <v>830.73859876627102</v>
      </c>
    </row>
    <row r="60" spans="1:11" s="514" customFormat="1" ht="15" x14ac:dyDescent="0.25">
      <c r="A60" s="151">
        <v>5490</v>
      </c>
      <c r="B60" s="508" t="s">
        <v>5</v>
      </c>
      <c r="C60" s="510">
        <v>159913.33332129999</v>
      </c>
      <c r="D60" s="312">
        <f>VLOOKUP(B60,Synthèse!$B$6:$O$314,5,FALSE)</f>
        <v>136770.47004198012</v>
      </c>
      <c r="E60" s="317">
        <f t="shared" si="0"/>
        <v>-23142.863279319863</v>
      </c>
      <c r="F60" s="509">
        <v>-10680.670212443911</v>
      </c>
      <c r="G60" s="233">
        <f>VLOOKUP(B60,Synthèse!$B$6:$O$314,14,FALSE)</f>
        <v>-48204.629343088876</v>
      </c>
      <c r="H60" s="317">
        <f t="shared" si="1"/>
        <v>-37523.959130644966</v>
      </c>
      <c r="I60" s="510">
        <v>29931.643356702854</v>
      </c>
      <c r="J60" s="233">
        <f>VLOOKUP(B60,Synthèse!$B$6:$O$314,12,FALSE)</f>
        <v>26289.805791346967</v>
      </c>
      <c r="K60" s="317">
        <f t="shared" si="2"/>
        <v>-3641.8375653558869</v>
      </c>
    </row>
    <row r="61" spans="1:11" s="514" customFormat="1" ht="15" x14ac:dyDescent="0.25">
      <c r="A61" s="151">
        <v>5491</v>
      </c>
      <c r="B61" s="508" t="s">
        <v>164</v>
      </c>
      <c r="C61" s="510">
        <v>236008.83874144885</v>
      </c>
      <c r="D61" s="312">
        <f>VLOOKUP(B61,Synthèse!$B$6:$O$314,5,FALSE)</f>
        <v>240585.92070353532</v>
      </c>
      <c r="E61" s="317">
        <f t="shared" si="0"/>
        <v>4577.081962086464</v>
      </c>
      <c r="F61" s="509">
        <v>-172212.94837709461</v>
      </c>
      <c r="G61" s="233">
        <f>VLOOKUP(B61,Synthèse!$B$6:$O$314,14,FALSE)</f>
        <v>-79783.316664288737</v>
      </c>
      <c r="H61" s="317">
        <f t="shared" si="1"/>
        <v>92429.631712805873</v>
      </c>
      <c r="I61" s="510">
        <v>39050.370720284016</v>
      </c>
      <c r="J61" s="233">
        <f>VLOOKUP(B61,Synthèse!$B$6:$O$314,12,FALSE)</f>
        <v>43027.273912497069</v>
      </c>
      <c r="K61" s="317">
        <f t="shared" si="2"/>
        <v>3976.9031922130525</v>
      </c>
    </row>
    <row r="62" spans="1:11" s="514" customFormat="1" ht="15" x14ac:dyDescent="0.25">
      <c r="A62" s="151">
        <v>5492</v>
      </c>
      <c r="B62" s="508" t="s">
        <v>165</v>
      </c>
      <c r="C62" s="510">
        <v>10364876.86001756</v>
      </c>
      <c r="D62" s="312">
        <f>VLOOKUP(B62,Synthèse!$B$6:$O$314,5,FALSE)</f>
        <v>5437267.2039612904</v>
      </c>
      <c r="E62" s="317">
        <f t="shared" si="0"/>
        <v>-4927609.65605627</v>
      </c>
      <c r="F62" s="509">
        <v>1249752.174951084</v>
      </c>
      <c r="G62" s="233">
        <f>VLOOKUP(B62,Synthèse!$B$6:$O$314,14,FALSE)</f>
        <v>2268171.0635387115</v>
      </c>
      <c r="H62" s="317">
        <f t="shared" si="1"/>
        <v>1018418.8885876276</v>
      </c>
      <c r="I62" s="510">
        <v>389839.23559382145</v>
      </c>
      <c r="J62" s="233">
        <f>VLOOKUP(B62,Synthèse!$B$6:$O$314,12,FALSE)</f>
        <v>270417.67527546152</v>
      </c>
      <c r="K62" s="317">
        <f t="shared" si="2"/>
        <v>-119421.56031835993</v>
      </c>
    </row>
    <row r="63" spans="1:11" s="514" customFormat="1" ht="15" x14ac:dyDescent="0.25">
      <c r="A63" s="151">
        <v>5493</v>
      </c>
      <c r="B63" s="508" t="s">
        <v>166</v>
      </c>
      <c r="C63" s="510">
        <v>219577.09197749186</v>
      </c>
      <c r="D63" s="312">
        <f>VLOOKUP(B63,Synthèse!$B$6:$O$314,5,FALSE)</f>
        <v>257338.71643695302</v>
      </c>
      <c r="E63" s="317">
        <f t="shared" si="0"/>
        <v>37761.624459461163</v>
      </c>
      <c r="F63" s="509">
        <v>-667908.72128630267</v>
      </c>
      <c r="G63" s="233">
        <f>VLOOKUP(B63,Synthèse!$B$6:$O$314,14,FALSE)</f>
        <v>-10671.954023285594</v>
      </c>
      <c r="H63" s="317">
        <f t="shared" si="1"/>
        <v>657236.76726301713</v>
      </c>
      <c r="I63" s="510">
        <v>34231.966573617465</v>
      </c>
      <c r="J63" s="233">
        <f>VLOOKUP(B63,Synthèse!$B$6:$O$314,12,FALSE)</f>
        <v>39235.678755292596</v>
      </c>
      <c r="K63" s="317">
        <f t="shared" si="2"/>
        <v>5003.7121816751314</v>
      </c>
    </row>
    <row r="64" spans="1:11" s="514" customFormat="1" ht="15" x14ac:dyDescent="0.25">
      <c r="A64" s="151">
        <v>5494</v>
      </c>
      <c r="B64" s="508" t="s">
        <v>167</v>
      </c>
      <c r="C64" s="510">
        <v>729925.89749131375</v>
      </c>
      <c r="D64" s="312">
        <f>VLOOKUP(B64,Synthèse!$B$6:$O$314,5,FALSE)</f>
        <v>599336.06074266532</v>
      </c>
      <c r="E64" s="317">
        <f t="shared" si="0"/>
        <v>-130589.83674864843</v>
      </c>
      <c r="F64" s="509">
        <v>105382.92190320208</v>
      </c>
      <c r="G64" s="233">
        <f>VLOOKUP(B64,Synthèse!$B$6:$O$314,14,FALSE)</f>
        <v>-174976.62142285897</v>
      </c>
      <c r="H64" s="317">
        <f t="shared" si="1"/>
        <v>-280359.54332606104</v>
      </c>
      <c r="I64" s="510">
        <v>118839.00511184376</v>
      </c>
      <c r="J64" s="233">
        <f>VLOOKUP(B64,Synthèse!$B$6:$O$314,12,FALSE)</f>
        <v>110127.28582400871</v>
      </c>
      <c r="K64" s="317">
        <f t="shared" si="2"/>
        <v>-8711.719287835047</v>
      </c>
    </row>
    <row r="65" spans="1:11" s="514" customFormat="1" ht="15" x14ac:dyDescent="0.25">
      <c r="A65" s="151">
        <v>5495</v>
      </c>
      <c r="B65" s="508" t="s">
        <v>168</v>
      </c>
      <c r="C65" s="510">
        <v>1657844.2278006501</v>
      </c>
      <c r="D65" s="312">
        <f>VLOOKUP(B65,Synthèse!$B$6:$O$314,5,FALSE)</f>
        <v>1549880.4430886707</v>
      </c>
      <c r="E65" s="317">
        <f t="shared" si="0"/>
        <v>-107963.78471197933</v>
      </c>
      <c r="F65" s="509">
        <v>-877795.52941590792</v>
      </c>
      <c r="G65" s="233">
        <f>VLOOKUP(B65,Synthèse!$B$6:$O$314,14,FALSE)</f>
        <v>-1085814.7524596418</v>
      </c>
      <c r="H65" s="317">
        <f t="shared" si="1"/>
        <v>-208019.22304373386</v>
      </c>
      <c r="I65" s="510">
        <v>289796.13623368752</v>
      </c>
      <c r="J65" s="233">
        <f>VLOOKUP(B65,Synthèse!$B$6:$O$314,12,FALSE)</f>
        <v>281479.89355455973</v>
      </c>
      <c r="K65" s="317">
        <f t="shared" si="2"/>
        <v>-8316.242679127783</v>
      </c>
    </row>
    <row r="66" spans="1:11" s="514" customFormat="1" ht="15" x14ac:dyDescent="0.25">
      <c r="A66" s="151">
        <v>5496</v>
      </c>
      <c r="B66" s="508" t="s">
        <v>169</v>
      </c>
      <c r="C66" s="510">
        <v>1127421.3723092191</v>
      </c>
      <c r="D66" s="312">
        <f>VLOOKUP(B66,Synthèse!$B$6:$O$314,5,FALSE)</f>
        <v>992458.6058295496</v>
      </c>
      <c r="E66" s="317">
        <f t="shared" si="0"/>
        <v>-134962.76647966949</v>
      </c>
      <c r="F66" s="509">
        <v>84231.173273044667</v>
      </c>
      <c r="G66" s="233">
        <f>VLOOKUP(B66,Synthèse!$B$6:$O$314,14,FALSE)</f>
        <v>-41758.879101120518</v>
      </c>
      <c r="H66" s="317">
        <f t="shared" si="1"/>
        <v>-125990.05237416519</v>
      </c>
      <c r="I66" s="510">
        <v>179537.21528824361</v>
      </c>
      <c r="J66" s="233">
        <f>VLOOKUP(B66,Synthèse!$B$6:$O$314,12,FALSE)</f>
        <v>180589.97524510906</v>
      </c>
      <c r="K66" s="317">
        <f t="shared" si="2"/>
        <v>1052.759956865455</v>
      </c>
    </row>
    <row r="67" spans="1:11" s="514" customFormat="1" ht="15" x14ac:dyDescent="0.25">
      <c r="A67" s="151">
        <v>5497</v>
      </c>
      <c r="B67" s="508" t="s">
        <v>170</v>
      </c>
      <c r="C67" s="510">
        <v>477435.02922676568</v>
      </c>
      <c r="D67" s="312">
        <f>VLOOKUP(B67,Synthèse!$B$6:$O$314,5,FALSE)</f>
        <v>355867.16293991171</v>
      </c>
      <c r="E67" s="317">
        <f t="shared" si="0"/>
        <v>-121567.86628685397</v>
      </c>
      <c r="F67" s="509">
        <v>-126197.38377707175</v>
      </c>
      <c r="G67" s="233">
        <f>VLOOKUP(B67,Synthèse!$B$6:$O$314,14,FALSE)</f>
        <v>-171548.15991412807</v>
      </c>
      <c r="H67" s="317">
        <f t="shared" si="1"/>
        <v>-45350.776137056324</v>
      </c>
      <c r="I67" s="510">
        <v>69722.196111371974</v>
      </c>
      <c r="J67" s="233">
        <f>VLOOKUP(B67,Synthèse!$B$6:$O$314,12,FALSE)</f>
        <v>60156.151267421548</v>
      </c>
      <c r="K67" s="317">
        <f t="shared" si="2"/>
        <v>-9566.0448439504253</v>
      </c>
    </row>
    <row r="68" spans="1:11" s="514" customFormat="1" ht="15" x14ac:dyDescent="0.25">
      <c r="A68" s="151">
        <v>5498</v>
      </c>
      <c r="B68" s="508" t="s">
        <v>171</v>
      </c>
      <c r="C68" s="510">
        <v>1386969.1197281247</v>
      </c>
      <c r="D68" s="312">
        <f>VLOOKUP(B68,Synthèse!$B$6:$O$314,5,FALSE)</f>
        <v>1217727.7686985384</v>
      </c>
      <c r="E68" s="317">
        <f t="shared" si="0"/>
        <v>-169241.35102958628</v>
      </c>
      <c r="F68" s="509">
        <v>-451917.83836431988</v>
      </c>
      <c r="G68" s="233">
        <f>VLOOKUP(B68,Synthèse!$B$6:$O$314,14,FALSE)</f>
        <v>-452009.08622610505</v>
      </c>
      <c r="H68" s="317">
        <f t="shared" si="1"/>
        <v>-91.247861785173882</v>
      </c>
      <c r="I68" s="510">
        <v>245264.71209917293</v>
      </c>
      <c r="J68" s="233">
        <f>VLOOKUP(B68,Synthèse!$B$6:$O$314,12,FALSE)</f>
        <v>233319.69605226364</v>
      </c>
      <c r="K68" s="317">
        <f t="shared" si="2"/>
        <v>-11945.016046909295</v>
      </c>
    </row>
    <row r="69" spans="1:11" s="514" customFormat="1" ht="15" x14ac:dyDescent="0.25">
      <c r="A69" s="151">
        <v>5499</v>
      </c>
      <c r="B69" s="508" t="s">
        <v>172</v>
      </c>
      <c r="C69" s="510">
        <v>434597.27637370431</v>
      </c>
      <c r="D69" s="312">
        <f>VLOOKUP(B69,Synthèse!$B$6:$O$314,5,FALSE)</f>
        <v>391026.51228041184</v>
      </c>
      <c r="E69" s="317">
        <f t="shared" si="0"/>
        <v>-43570.76409329247</v>
      </c>
      <c r="F69" s="509">
        <v>418559.25423163327</v>
      </c>
      <c r="G69" s="233">
        <f>VLOOKUP(B69,Synthèse!$B$6:$O$314,14,FALSE)</f>
        <v>17769.246110911365</v>
      </c>
      <c r="H69" s="317">
        <f t="shared" si="1"/>
        <v>-400790.0081207219</v>
      </c>
      <c r="I69" s="510">
        <v>71761.255052405526</v>
      </c>
      <c r="J69" s="233">
        <f>VLOOKUP(B69,Synthèse!$B$6:$O$314,12,FALSE)</f>
        <v>59496.30581763167</v>
      </c>
      <c r="K69" s="317">
        <f t="shared" si="2"/>
        <v>-12264.949234773856</v>
      </c>
    </row>
    <row r="70" spans="1:11" s="514" customFormat="1" ht="15" x14ac:dyDescent="0.25">
      <c r="A70" s="151">
        <v>5500</v>
      </c>
      <c r="B70" s="508" t="s">
        <v>173</v>
      </c>
      <c r="C70" s="510">
        <v>129168.03963006442</v>
      </c>
      <c r="D70" s="312">
        <f>VLOOKUP(B70,Synthèse!$B$6:$O$314,5,FALSE)</f>
        <v>115388.89895187004</v>
      </c>
      <c r="E70" s="317">
        <f t="shared" si="0"/>
        <v>-13779.140678194381</v>
      </c>
      <c r="F70" s="509">
        <v>-20956.182080090788</v>
      </c>
      <c r="G70" s="233">
        <f>VLOOKUP(B70,Synthèse!$B$6:$O$314,14,FALSE)</f>
        <v>-7253.1421813009219</v>
      </c>
      <c r="H70" s="317">
        <f t="shared" si="1"/>
        <v>13703.039898789866</v>
      </c>
      <c r="I70" s="510">
        <v>19831.300191104616</v>
      </c>
      <c r="J70" s="233">
        <f>VLOOKUP(B70,Synthèse!$B$6:$O$314,12,FALSE)</f>
        <v>22672.437005520362</v>
      </c>
      <c r="K70" s="317">
        <f t="shared" si="2"/>
        <v>2841.1368144157459</v>
      </c>
    </row>
    <row r="71" spans="1:11" s="514" customFormat="1" ht="15" x14ac:dyDescent="0.25">
      <c r="A71" s="151">
        <v>5501</v>
      </c>
      <c r="B71" s="508" t="s">
        <v>174</v>
      </c>
      <c r="C71" s="510">
        <v>667536.8990404763</v>
      </c>
      <c r="D71" s="312">
        <f>VLOOKUP(B71,Synthèse!$B$6:$O$314,5,FALSE)</f>
        <v>3754375.4041639715</v>
      </c>
      <c r="E71" s="317">
        <f t="shared" ref="E71:E134" si="3">D71-C71</f>
        <v>3086838.5051234951</v>
      </c>
      <c r="F71" s="509">
        <v>442264.42539755395</v>
      </c>
      <c r="G71" s="233">
        <f>VLOOKUP(B71,Synthèse!$B$6:$O$314,14,FALSE)</f>
        <v>494430.88289554388</v>
      </c>
      <c r="H71" s="317">
        <f t="shared" ref="H71:H134" si="4">G71-F71</f>
        <v>52166.457497989933</v>
      </c>
      <c r="I71" s="510">
        <v>118598.16576120679</v>
      </c>
      <c r="J71" s="233">
        <f>VLOOKUP(B71,Synthèse!$B$6:$O$314,12,FALSE)</f>
        <v>126462.82764517193</v>
      </c>
      <c r="K71" s="317">
        <f t="shared" ref="K71:K134" si="5">J71-I71</f>
        <v>7864.6618839651346</v>
      </c>
    </row>
    <row r="72" spans="1:11" s="514" customFormat="1" ht="15" x14ac:dyDescent="0.25">
      <c r="A72" s="151">
        <v>5503</v>
      </c>
      <c r="B72" s="508" t="s">
        <v>175</v>
      </c>
      <c r="C72" s="510">
        <v>1693091.2136053436</v>
      </c>
      <c r="D72" s="312">
        <f>VLOOKUP(B72,Synthèse!$B$6:$O$314,5,FALSE)</f>
        <v>1070384.7453561905</v>
      </c>
      <c r="E72" s="317">
        <f t="shared" si="3"/>
        <v>-622706.46824915311</v>
      </c>
      <c r="F72" s="509">
        <v>1221719.9657656318</v>
      </c>
      <c r="G72" s="233">
        <f>VLOOKUP(B72,Synthèse!$B$6:$O$314,14,FALSE)</f>
        <v>1032656.9739296372</v>
      </c>
      <c r="H72" s="317">
        <f t="shared" si="4"/>
        <v>-189062.99183599453</v>
      </c>
      <c r="I72" s="510">
        <v>202335.1044368204</v>
      </c>
      <c r="J72" s="233">
        <f>VLOOKUP(B72,Synthèse!$B$6:$O$314,12,FALSE)</f>
        <v>198411.46495345456</v>
      </c>
      <c r="K72" s="317">
        <f t="shared" si="5"/>
        <v>-3923.6394833658414</v>
      </c>
    </row>
    <row r="73" spans="1:11" s="514" customFormat="1" ht="15" x14ac:dyDescent="0.25">
      <c r="A73" s="151">
        <v>5511</v>
      </c>
      <c r="B73" s="508" t="s">
        <v>176</v>
      </c>
      <c r="C73" s="510">
        <v>726945.96771905501</v>
      </c>
      <c r="D73" s="312">
        <f>VLOOKUP(B73,Synthèse!$B$6:$O$314,5,FALSE)</f>
        <v>665237.12357450649</v>
      </c>
      <c r="E73" s="317">
        <f t="shared" si="3"/>
        <v>-61708.844144548522</v>
      </c>
      <c r="F73" s="509">
        <v>266161.60173114325</v>
      </c>
      <c r="G73" s="233">
        <f>VLOOKUP(B73,Synthèse!$B$6:$O$314,14,FALSE)</f>
        <v>288877.68689049297</v>
      </c>
      <c r="H73" s="317">
        <f t="shared" si="4"/>
        <v>22716.085159349721</v>
      </c>
      <c r="I73" s="510">
        <v>136210.64501155514</v>
      </c>
      <c r="J73" s="233">
        <f>VLOOKUP(B73,Synthèse!$B$6:$O$314,12,FALSE)</f>
        <v>133811.88295789278</v>
      </c>
      <c r="K73" s="317">
        <f t="shared" si="5"/>
        <v>-2398.7620536623581</v>
      </c>
    </row>
    <row r="74" spans="1:11" s="514" customFormat="1" ht="15" x14ac:dyDescent="0.25">
      <c r="A74" s="151">
        <v>5512</v>
      </c>
      <c r="B74" s="508" t="s">
        <v>177</v>
      </c>
      <c r="C74" s="510">
        <v>683194.81102110643</v>
      </c>
      <c r="D74" s="312">
        <f>VLOOKUP(B74,Synthèse!$B$6:$O$314,5,FALSE)</f>
        <v>628833.07560609188</v>
      </c>
      <c r="E74" s="317">
        <f t="shared" si="3"/>
        <v>-54361.735415014555</v>
      </c>
      <c r="F74" s="509">
        <v>-70184.583087291714</v>
      </c>
      <c r="G74" s="233">
        <f>VLOOKUP(B74,Synthèse!$B$6:$O$314,14,FALSE)</f>
        <v>-285372.33749316668</v>
      </c>
      <c r="H74" s="317">
        <f t="shared" si="4"/>
        <v>-215187.75440587496</v>
      </c>
      <c r="I74" s="510">
        <v>117150.37780519076</v>
      </c>
      <c r="J74" s="233">
        <f>VLOOKUP(B74,Synthèse!$B$6:$O$314,12,FALSE)</f>
        <v>121131.79510414126</v>
      </c>
      <c r="K74" s="317">
        <f t="shared" si="5"/>
        <v>3981.4172989505023</v>
      </c>
    </row>
    <row r="75" spans="1:11" s="514" customFormat="1" ht="15" x14ac:dyDescent="0.25">
      <c r="A75" s="151">
        <v>5513</v>
      </c>
      <c r="B75" s="508" t="s">
        <v>178</v>
      </c>
      <c r="C75" s="510">
        <v>408051.42560669518</v>
      </c>
      <c r="D75" s="312">
        <f>VLOOKUP(B75,Synthèse!$B$6:$O$314,5,FALSE)</f>
        <v>433443.51151146297</v>
      </c>
      <c r="E75" s="317">
        <f t="shared" si="3"/>
        <v>25392.085904767795</v>
      </c>
      <c r="F75" s="509">
        <v>321492.88662186934</v>
      </c>
      <c r="G75" s="233">
        <f>VLOOKUP(B75,Synthèse!$B$6:$O$314,14,FALSE)</f>
        <v>319822.48400750529</v>
      </c>
      <c r="H75" s="317">
        <f t="shared" si="4"/>
        <v>-1670.4026143640513</v>
      </c>
      <c r="I75" s="510">
        <v>66813.536606759299</v>
      </c>
      <c r="J75" s="233">
        <f>VLOOKUP(B75,Synthèse!$B$6:$O$314,12,FALSE)</f>
        <v>68065.088364169598</v>
      </c>
      <c r="K75" s="317">
        <f t="shared" si="5"/>
        <v>1251.5517574102996</v>
      </c>
    </row>
    <row r="76" spans="1:11" s="514" customFormat="1" ht="15" x14ac:dyDescent="0.25">
      <c r="A76" s="151">
        <v>5514</v>
      </c>
      <c r="B76" s="508" t="s">
        <v>179</v>
      </c>
      <c r="C76" s="510">
        <v>742261.5155122279</v>
      </c>
      <c r="D76" s="312">
        <f>VLOOKUP(B76,Synthèse!$B$6:$O$314,5,FALSE)</f>
        <v>690300.86203251791</v>
      </c>
      <c r="E76" s="317">
        <f t="shared" si="3"/>
        <v>-51960.653479709988</v>
      </c>
      <c r="F76" s="509">
        <v>419884.68198248697</v>
      </c>
      <c r="G76" s="233">
        <f>VLOOKUP(B76,Synthèse!$B$6:$O$314,14,FALSE)</f>
        <v>189174.23911613936</v>
      </c>
      <c r="H76" s="317">
        <f t="shared" si="4"/>
        <v>-230710.44286634761</v>
      </c>
      <c r="I76" s="510">
        <v>142191.91799548955</v>
      </c>
      <c r="J76" s="233">
        <f>VLOOKUP(B76,Synthèse!$B$6:$O$314,12,FALSE)</f>
        <v>133505.04650105038</v>
      </c>
      <c r="K76" s="317">
        <f t="shared" si="5"/>
        <v>-8686.8714944391686</v>
      </c>
    </row>
    <row r="77" spans="1:11" s="514" customFormat="1" ht="15" x14ac:dyDescent="0.25">
      <c r="A77" s="151">
        <v>5515</v>
      </c>
      <c r="B77" s="508" t="s">
        <v>180</v>
      </c>
      <c r="C77" s="510">
        <v>548125.95354644954</v>
      </c>
      <c r="D77" s="312">
        <f>VLOOKUP(B77,Synthèse!$B$6:$O$314,5,FALSE)</f>
        <v>518529.91078825039</v>
      </c>
      <c r="E77" s="317">
        <f t="shared" si="3"/>
        <v>-29596.042758199153</v>
      </c>
      <c r="F77" s="509">
        <v>197639.48922962224</v>
      </c>
      <c r="G77" s="233">
        <f>VLOOKUP(B77,Synthèse!$B$6:$O$314,14,FALSE)</f>
        <v>97081.605560561569</v>
      </c>
      <c r="H77" s="317">
        <f t="shared" si="4"/>
        <v>-100557.88366906067</v>
      </c>
      <c r="I77" s="510">
        <v>91847.094984442127</v>
      </c>
      <c r="J77" s="233">
        <f>VLOOKUP(B77,Synthèse!$B$6:$O$314,12,FALSE)</f>
        <v>89525.197700337449</v>
      </c>
      <c r="K77" s="317">
        <f t="shared" si="5"/>
        <v>-2321.897284104678</v>
      </c>
    </row>
    <row r="78" spans="1:11" s="514" customFormat="1" ht="15" x14ac:dyDescent="0.25">
      <c r="A78" s="151">
        <v>5516</v>
      </c>
      <c r="B78" s="508" t="s">
        <v>181</v>
      </c>
      <c r="C78" s="510">
        <v>1962784.8665650059</v>
      </c>
      <c r="D78" s="312">
        <f>VLOOKUP(B78,Synthèse!$B$6:$O$314,5,FALSE)</f>
        <v>1833351.4484885153</v>
      </c>
      <c r="E78" s="317">
        <f t="shared" si="3"/>
        <v>-129433.41807649052</v>
      </c>
      <c r="F78" s="509">
        <v>1103563.3951509392</v>
      </c>
      <c r="G78" s="233">
        <f>VLOOKUP(B78,Synthèse!$B$6:$O$314,14,FALSE)</f>
        <v>522038.43252776889</v>
      </c>
      <c r="H78" s="317">
        <f t="shared" si="4"/>
        <v>-581524.96262317034</v>
      </c>
      <c r="I78" s="510">
        <v>354159.07915714494</v>
      </c>
      <c r="J78" s="233">
        <f>VLOOKUP(B78,Synthèse!$B$6:$O$314,12,FALSE)</f>
        <v>323843.62230595609</v>
      </c>
      <c r="K78" s="317">
        <f t="shared" si="5"/>
        <v>-30315.45685118885</v>
      </c>
    </row>
    <row r="79" spans="1:11" s="514" customFormat="1" ht="15" x14ac:dyDescent="0.25">
      <c r="A79" s="151">
        <v>5518</v>
      </c>
      <c r="B79" s="508" t="s">
        <v>182</v>
      </c>
      <c r="C79" s="510">
        <v>3107643.5130777154</v>
      </c>
      <c r="D79" s="312">
        <f>VLOOKUP(B79,Synthèse!$B$6:$O$314,5,FALSE)</f>
        <v>3025287.7865154459</v>
      </c>
      <c r="E79" s="317">
        <f t="shared" si="3"/>
        <v>-82355.726562269498</v>
      </c>
      <c r="F79" s="509">
        <v>-1269913.0611180179</v>
      </c>
      <c r="G79" s="233">
        <f>VLOOKUP(B79,Synthèse!$B$6:$O$314,14,FALSE)</f>
        <v>-2062779.5336283329</v>
      </c>
      <c r="H79" s="317">
        <f t="shared" si="4"/>
        <v>-792866.47251031501</v>
      </c>
      <c r="I79" s="510">
        <v>570637.03145960788</v>
      </c>
      <c r="J79" s="233">
        <f>VLOOKUP(B79,Synthèse!$B$6:$O$314,12,FALSE)</f>
        <v>536315.94307221542</v>
      </c>
      <c r="K79" s="317">
        <f t="shared" si="5"/>
        <v>-34321.088387392461</v>
      </c>
    </row>
    <row r="80" spans="1:11" s="514" customFormat="1" ht="15" x14ac:dyDescent="0.25">
      <c r="A80" s="151">
        <v>5520</v>
      </c>
      <c r="B80" s="508" t="s">
        <v>183</v>
      </c>
      <c r="C80" s="510">
        <v>601629.55658600049</v>
      </c>
      <c r="D80" s="312">
        <f>VLOOKUP(B80,Synthèse!$B$6:$O$314,5,FALSE)</f>
        <v>533823.13336251397</v>
      </c>
      <c r="E80" s="317">
        <f t="shared" si="3"/>
        <v>-67806.423223486519</v>
      </c>
      <c r="F80" s="509">
        <v>86838.137887099219</v>
      </c>
      <c r="G80" s="233">
        <f>VLOOKUP(B80,Synthèse!$B$6:$O$314,14,FALSE)</f>
        <v>-140792.46023915044</v>
      </c>
      <c r="H80" s="317">
        <f t="shared" si="4"/>
        <v>-227630.59812624968</v>
      </c>
      <c r="I80" s="510">
        <v>100911.49259948794</v>
      </c>
      <c r="J80" s="233">
        <f>VLOOKUP(B80,Synthèse!$B$6:$O$314,12,FALSE)</f>
        <v>89076.159807456279</v>
      </c>
      <c r="K80" s="317">
        <f t="shared" si="5"/>
        <v>-11835.332792031666</v>
      </c>
    </row>
    <row r="81" spans="1:11" s="514" customFormat="1" ht="15" x14ac:dyDescent="0.25">
      <c r="A81" s="151">
        <v>5521</v>
      </c>
      <c r="B81" s="508" t="s">
        <v>184</v>
      </c>
      <c r="C81" s="510">
        <v>740628.74297765957</v>
      </c>
      <c r="D81" s="312">
        <f>VLOOKUP(B81,Synthèse!$B$6:$O$314,5,FALSE)</f>
        <v>727071.22683345852</v>
      </c>
      <c r="E81" s="317">
        <f t="shared" si="3"/>
        <v>-13557.516144201043</v>
      </c>
      <c r="F81" s="509">
        <v>484796.66461938998</v>
      </c>
      <c r="G81" s="233">
        <f>VLOOKUP(B81,Synthèse!$B$6:$O$314,14,FALSE)</f>
        <v>471581.89867245225</v>
      </c>
      <c r="H81" s="317">
        <f t="shared" si="4"/>
        <v>-13214.765946937725</v>
      </c>
      <c r="I81" s="510">
        <v>132124.7042294541</v>
      </c>
      <c r="J81" s="233">
        <f>VLOOKUP(B81,Synthèse!$B$6:$O$314,12,FALSE)</f>
        <v>140890.66285344373</v>
      </c>
      <c r="K81" s="317">
        <f t="shared" si="5"/>
        <v>8765.9586239896307</v>
      </c>
    </row>
    <row r="82" spans="1:11" s="514" customFormat="1" ht="15" x14ac:dyDescent="0.25">
      <c r="A82" s="151">
        <v>5522</v>
      </c>
      <c r="B82" s="508" t="s">
        <v>185</v>
      </c>
      <c r="C82" s="510">
        <v>392659.25541969133</v>
      </c>
      <c r="D82" s="312">
        <f>VLOOKUP(B82,Synthèse!$B$6:$O$314,5,FALSE)</f>
        <v>348465.38719532831</v>
      </c>
      <c r="E82" s="317">
        <f t="shared" si="3"/>
        <v>-44193.868224363017</v>
      </c>
      <c r="F82" s="509">
        <v>53900.483407831241</v>
      </c>
      <c r="G82" s="233">
        <f>VLOOKUP(B82,Synthèse!$B$6:$O$314,14,FALSE)</f>
        <v>-26210.269872796955</v>
      </c>
      <c r="H82" s="317">
        <f t="shared" si="4"/>
        <v>-80110.753280628196</v>
      </c>
      <c r="I82" s="510">
        <v>68309.799885977278</v>
      </c>
      <c r="J82" s="233">
        <f>VLOOKUP(B82,Synthèse!$B$6:$O$314,12,FALSE)</f>
        <v>71551.489396078134</v>
      </c>
      <c r="K82" s="317">
        <f t="shared" si="5"/>
        <v>3241.6895101008558</v>
      </c>
    </row>
    <row r="83" spans="1:11" s="514" customFormat="1" ht="15" x14ac:dyDescent="0.25">
      <c r="A83" s="151">
        <v>5523</v>
      </c>
      <c r="B83" s="508" t="s">
        <v>186</v>
      </c>
      <c r="C83" s="510">
        <v>1438042.6662744998</v>
      </c>
      <c r="D83" s="312">
        <f>VLOOKUP(B83,Synthèse!$B$6:$O$314,5,FALSE)</f>
        <v>1301915.7545594652</v>
      </c>
      <c r="E83" s="317">
        <f t="shared" si="3"/>
        <v>-136126.91171503463</v>
      </c>
      <c r="F83" s="509">
        <v>180186.17320345019</v>
      </c>
      <c r="G83" s="233">
        <f>VLOOKUP(B83,Synthèse!$B$6:$O$314,14,FALSE)</f>
        <v>-101546.2561037922</v>
      </c>
      <c r="H83" s="317">
        <f t="shared" si="4"/>
        <v>-281732.42930724239</v>
      </c>
      <c r="I83" s="510">
        <v>262086.61989095423</v>
      </c>
      <c r="J83" s="233">
        <f>VLOOKUP(B83,Synthèse!$B$6:$O$314,12,FALSE)</f>
        <v>257588.84377233568</v>
      </c>
      <c r="K83" s="317">
        <f t="shared" si="5"/>
        <v>-4497.7761186185526</v>
      </c>
    </row>
    <row r="84" spans="1:11" s="514" customFormat="1" ht="15" x14ac:dyDescent="0.25">
      <c r="A84" s="151">
        <v>5527</v>
      </c>
      <c r="B84" s="508" t="s">
        <v>187</v>
      </c>
      <c r="C84" s="510">
        <v>717876.5201888741</v>
      </c>
      <c r="D84" s="312">
        <f>VLOOKUP(B84,Synthèse!$B$6:$O$314,5,FALSE)</f>
        <v>629608.37800918531</v>
      </c>
      <c r="E84" s="317">
        <f t="shared" si="3"/>
        <v>-88268.142179688788</v>
      </c>
      <c r="F84" s="509">
        <v>359667.71391356108</v>
      </c>
      <c r="G84" s="233">
        <f>VLOOKUP(B84,Synthèse!$B$6:$O$314,14,FALSE)</f>
        <v>187596.19940903806</v>
      </c>
      <c r="H84" s="317">
        <f t="shared" si="4"/>
        <v>-172071.51450452302</v>
      </c>
      <c r="I84" s="510">
        <v>119898.28001221223</v>
      </c>
      <c r="J84" s="233">
        <f>VLOOKUP(B84,Synthèse!$B$6:$O$314,12,FALSE)</f>
        <v>122276.48466461255</v>
      </c>
      <c r="K84" s="317">
        <f t="shared" si="5"/>
        <v>2378.2046524003235</v>
      </c>
    </row>
    <row r="85" spans="1:11" s="514" customFormat="1" ht="15" x14ac:dyDescent="0.25">
      <c r="A85" s="151">
        <v>5529</v>
      </c>
      <c r="B85" s="508" t="s">
        <v>188</v>
      </c>
      <c r="C85" s="510">
        <v>357503.29032905784</v>
      </c>
      <c r="D85" s="312">
        <f>VLOOKUP(B85,Synthèse!$B$6:$O$314,5,FALSE)</f>
        <v>294974.60505310714</v>
      </c>
      <c r="E85" s="317">
        <f t="shared" si="3"/>
        <v>-62528.685275950702</v>
      </c>
      <c r="F85" s="509">
        <v>101441.7690500188</v>
      </c>
      <c r="G85" s="233">
        <f>VLOOKUP(B85,Synthèse!$B$6:$O$314,14,FALSE)</f>
        <v>56608.4697452486</v>
      </c>
      <c r="H85" s="317">
        <f t="shared" si="4"/>
        <v>-44833.299304770204</v>
      </c>
      <c r="I85" s="510">
        <v>67543.319094556384</v>
      </c>
      <c r="J85" s="233">
        <f>VLOOKUP(B85,Synthèse!$B$6:$O$314,12,FALSE)</f>
        <v>60608.43353925168</v>
      </c>
      <c r="K85" s="317">
        <f t="shared" si="5"/>
        <v>-6934.8855553047033</v>
      </c>
    </row>
    <row r="86" spans="1:11" s="514" customFormat="1" ht="15" x14ac:dyDescent="0.25">
      <c r="A86" s="151">
        <v>5530</v>
      </c>
      <c r="B86" s="508" t="s">
        <v>189</v>
      </c>
      <c r="C86" s="510">
        <v>353161.40058655443</v>
      </c>
      <c r="D86" s="312">
        <f>VLOOKUP(B86,Synthèse!$B$6:$O$314,5,FALSE)</f>
        <v>259766.22801436196</v>
      </c>
      <c r="E86" s="317">
        <f t="shared" si="3"/>
        <v>-93395.172572192474</v>
      </c>
      <c r="F86" s="509">
        <v>-159508.59049706158</v>
      </c>
      <c r="G86" s="233">
        <f>VLOOKUP(B86,Synthèse!$B$6:$O$314,14,FALSE)</f>
        <v>-301990.98677677184</v>
      </c>
      <c r="H86" s="317">
        <f t="shared" si="4"/>
        <v>-142482.39627971026</v>
      </c>
      <c r="I86" s="510">
        <v>53784.120559893985</v>
      </c>
      <c r="J86" s="233">
        <f>VLOOKUP(B86,Synthèse!$B$6:$O$314,12,FALSE)</f>
        <v>55312.528117536451</v>
      </c>
      <c r="K86" s="317">
        <f t="shared" si="5"/>
        <v>1528.4075576424657</v>
      </c>
    </row>
    <row r="87" spans="1:11" s="514" customFormat="1" ht="15" x14ac:dyDescent="0.25">
      <c r="A87" s="151">
        <v>5531</v>
      </c>
      <c r="B87" s="508" t="s">
        <v>190</v>
      </c>
      <c r="C87" s="510">
        <v>263551.25688373635</v>
      </c>
      <c r="D87" s="312">
        <f>VLOOKUP(B87,Synthèse!$B$6:$O$314,5,FALSE)</f>
        <v>215030.35177479536</v>
      </c>
      <c r="E87" s="317">
        <f t="shared" si="3"/>
        <v>-48520.905108940991</v>
      </c>
      <c r="F87" s="509">
        <v>109662.50996450821</v>
      </c>
      <c r="G87" s="233">
        <f>VLOOKUP(B87,Synthèse!$B$6:$O$314,14,FALSE)</f>
        <v>7671.482024480938</v>
      </c>
      <c r="H87" s="317">
        <f t="shared" si="4"/>
        <v>-101991.02794002727</v>
      </c>
      <c r="I87" s="510">
        <v>47899.72482239973</v>
      </c>
      <c r="J87" s="233">
        <f>VLOOKUP(B87,Synthèse!$B$6:$O$314,12,FALSE)</f>
        <v>41845.510848130849</v>
      </c>
      <c r="K87" s="317">
        <f t="shared" si="5"/>
        <v>-6054.2139742688814</v>
      </c>
    </row>
    <row r="88" spans="1:11" s="514" customFormat="1" ht="15" x14ac:dyDescent="0.25">
      <c r="A88" s="151">
        <v>5533</v>
      </c>
      <c r="B88" s="508" t="s">
        <v>191</v>
      </c>
      <c r="C88" s="510">
        <v>424101.00656971481</v>
      </c>
      <c r="D88" s="312">
        <f>VLOOKUP(B88,Synthèse!$B$6:$O$314,5,FALSE)</f>
        <v>537823.50863287784</v>
      </c>
      <c r="E88" s="317">
        <f t="shared" si="3"/>
        <v>113722.50206316303</v>
      </c>
      <c r="F88" s="509">
        <v>122935.83527347974</v>
      </c>
      <c r="G88" s="233">
        <f>VLOOKUP(B88,Synthèse!$B$6:$O$314,14,FALSE)</f>
        <v>112684.22350902094</v>
      </c>
      <c r="H88" s="317">
        <f t="shared" si="4"/>
        <v>-10251.611764458794</v>
      </c>
      <c r="I88" s="510">
        <v>79920.629931736097</v>
      </c>
      <c r="J88" s="233">
        <f>VLOOKUP(B88,Synthèse!$B$6:$O$314,12,FALSE)</f>
        <v>82112.656513510679</v>
      </c>
      <c r="K88" s="317">
        <f t="shared" si="5"/>
        <v>2192.0265817745822</v>
      </c>
    </row>
    <row r="89" spans="1:11" s="514" customFormat="1" ht="15" x14ac:dyDescent="0.25">
      <c r="A89" s="151">
        <v>5534</v>
      </c>
      <c r="B89" s="508" t="s">
        <v>192</v>
      </c>
      <c r="C89" s="510">
        <v>140522.50384773713</v>
      </c>
      <c r="D89" s="312">
        <f>VLOOKUP(B89,Synthèse!$B$6:$O$314,5,FALSE)</f>
        <v>157053.35141308949</v>
      </c>
      <c r="E89" s="317">
        <f t="shared" si="3"/>
        <v>16530.847565352364</v>
      </c>
      <c r="F89" s="509">
        <v>47736.633032105397</v>
      </c>
      <c r="G89" s="233">
        <f>VLOOKUP(B89,Synthèse!$B$6:$O$314,14,FALSE)</f>
        <v>86761.204581628044</v>
      </c>
      <c r="H89" s="317">
        <f t="shared" si="4"/>
        <v>39024.571549522647</v>
      </c>
      <c r="I89" s="510">
        <v>25637.528618099997</v>
      </c>
      <c r="J89" s="233">
        <f>VLOOKUP(B89,Synthèse!$B$6:$O$314,12,FALSE)</f>
        <v>28782.38980764645</v>
      </c>
      <c r="K89" s="317">
        <f t="shared" si="5"/>
        <v>3144.8611895464528</v>
      </c>
    </row>
    <row r="90" spans="1:11" s="514" customFormat="1" ht="15" x14ac:dyDescent="0.25">
      <c r="A90" s="151">
        <v>5535</v>
      </c>
      <c r="B90" s="508" t="s">
        <v>30</v>
      </c>
      <c r="C90" s="510">
        <v>422846.00341937522</v>
      </c>
      <c r="D90" s="312">
        <f>VLOOKUP(B90,Synthèse!$B$6:$O$314,5,FALSE)</f>
        <v>335003.96476661012</v>
      </c>
      <c r="E90" s="317">
        <f t="shared" si="3"/>
        <v>-87842.038652765099</v>
      </c>
      <c r="F90" s="509">
        <v>36717.794345110437</v>
      </c>
      <c r="G90" s="233">
        <f>VLOOKUP(B90,Synthèse!$B$6:$O$314,14,FALSE)</f>
        <v>-10643.409605509427</v>
      </c>
      <c r="H90" s="317">
        <f t="shared" si="4"/>
        <v>-47361.203950619863</v>
      </c>
      <c r="I90" s="510">
        <v>69029.55414782709</v>
      </c>
      <c r="J90" s="233">
        <f>VLOOKUP(B90,Synthèse!$B$6:$O$314,12,FALSE)</f>
        <v>67517.078743197664</v>
      </c>
      <c r="K90" s="317">
        <f t="shared" si="5"/>
        <v>-1512.4754046294256</v>
      </c>
    </row>
    <row r="91" spans="1:11" s="514" customFormat="1" ht="15" x14ac:dyDescent="0.25">
      <c r="A91" s="151">
        <v>5537</v>
      </c>
      <c r="B91" s="508" t="s">
        <v>31</v>
      </c>
      <c r="C91" s="510">
        <v>634877.59736156557</v>
      </c>
      <c r="D91" s="312">
        <f>VLOOKUP(B91,Synthèse!$B$6:$O$314,5,FALSE)</f>
        <v>610316.53705385723</v>
      </c>
      <c r="E91" s="317">
        <f t="shared" si="3"/>
        <v>-24561.060307708336</v>
      </c>
      <c r="F91" s="509">
        <v>173865.87244075231</v>
      </c>
      <c r="G91" s="233">
        <f>VLOOKUP(B91,Synthèse!$B$6:$O$314,14,FALSE)</f>
        <v>-43572.99712171861</v>
      </c>
      <c r="H91" s="317">
        <f t="shared" si="4"/>
        <v>-217438.86956247094</v>
      </c>
      <c r="I91" s="510">
        <v>118287.72276195005</v>
      </c>
      <c r="J91" s="233">
        <f>VLOOKUP(B91,Synthèse!$B$6:$O$314,12,FALSE)</f>
        <v>114054.98573572809</v>
      </c>
      <c r="K91" s="317">
        <f t="shared" si="5"/>
        <v>-4232.7370262219629</v>
      </c>
    </row>
    <row r="92" spans="1:11" s="514" customFormat="1" ht="15" x14ac:dyDescent="0.25">
      <c r="A92" s="151">
        <v>5539</v>
      </c>
      <c r="B92" s="508" t="s">
        <v>32</v>
      </c>
      <c r="C92" s="510">
        <v>530167.6931315203</v>
      </c>
      <c r="D92" s="312">
        <f>VLOOKUP(B92,Synthèse!$B$6:$O$314,5,FALSE)</f>
        <v>652106.91298492998</v>
      </c>
      <c r="E92" s="317">
        <f t="shared" si="3"/>
        <v>121939.21985340968</v>
      </c>
      <c r="F92" s="509">
        <v>22977.312435172222</v>
      </c>
      <c r="G92" s="233">
        <f>VLOOKUP(B92,Synthèse!$B$6:$O$314,14,FALSE)</f>
        <v>180608.50673555868</v>
      </c>
      <c r="H92" s="317">
        <f t="shared" si="4"/>
        <v>157631.19430038647</v>
      </c>
      <c r="I92" s="510">
        <v>91209.074655910343</v>
      </c>
      <c r="J92" s="233">
        <f>VLOOKUP(B92,Synthèse!$B$6:$O$314,12,FALSE)</f>
        <v>108935.22967588052</v>
      </c>
      <c r="K92" s="317">
        <f t="shared" si="5"/>
        <v>17726.155019970174</v>
      </c>
    </row>
    <row r="93" spans="1:11" s="514" customFormat="1" ht="15" x14ac:dyDescent="0.25">
      <c r="A93" s="151">
        <v>5540</v>
      </c>
      <c r="B93" s="508" t="s">
        <v>430</v>
      </c>
      <c r="C93" s="510">
        <v>1010338.2054242165</v>
      </c>
      <c r="D93" s="312">
        <f>VLOOKUP(B93,Synthèse!$B$6:$O$314,5,FALSE)</f>
        <v>993758.33727123193</v>
      </c>
      <c r="E93" s="317">
        <f t="shared" si="3"/>
        <v>-16579.868152984534</v>
      </c>
      <c r="F93" s="509">
        <v>-298957.15541445371</v>
      </c>
      <c r="G93" s="233">
        <f>VLOOKUP(B93,Synthèse!$B$6:$O$314,14,FALSE)</f>
        <v>105379.34699857022</v>
      </c>
      <c r="H93" s="317">
        <f t="shared" si="4"/>
        <v>404336.50241302396</v>
      </c>
      <c r="I93" s="510">
        <v>187880.47120225534</v>
      </c>
      <c r="J93" s="233">
        <f>VLOOKUP(B93,Synthèse!$B$6:$O$314,12,FALSE)</f>
        <v>200296.6872307017</v>
      </c>
      <c r="K93" s="317">
        <f t="shared" si="5"/>
        <v>12416.216028446361</v>
      </c>
    </row>
    <row r="94" spans="1:11" s="514" customFormat="1" ht="15" x14ac:dyDescent="0.25">
      <c r="A94" s="151">
        <v>5541</v>
      </c>
      <c r="B94" s="508" t="s">
        <v>429</v>
      </c>
      <c r="C94" s="510">
        <v>609825.67535833851</v>
      </c>
      <c r="D94" s="312">
        <f>VLOOKUP(B94,Synthèse!$B$6:$O$314,5,FALSE)</f>
        <v>629833.15751664166</v>
      </c>
      <c r="E94" s="317">
        <f t="shared" si="3"/>
        <v>20007.482158303144</v>
      </c>
      <c r="F94" s="509">
        <v>116703.2518527481</v>
      </c>
      <c r="G94" s="233">
        <f>VLOOKUP(B94,Synthèse!$B$6:$O$314,14,FALSE)</f>
        <v>94108.917241485717</v>
      </c>
      <c r="H94" s="317">
        <f t="shared" si="4"/>
        <v>-22594.334611262384</v>
      </c>
      <c r="I94" s="510">
        <v>111820.04969529333</v>
      </c>
      <c r="J94" s="233">
        <f>VLOOKUP(B94,Synthèse!$B$6:$O$314,12,FALSE)</f>
        <v>111864.83771395436</v>
      </c>
      <c r="K94" s="317">
        <f t="shared" si="5"/>
        <v>44.788018661027309</v>
      </c>
    </row>
    <row r="95" spans="1:11" s="514" customFormat="1" ht="15" x14ac:dyDescent="0.25">
      <c r="A95" s="151">
        <v>5551</v>
      </c>
      <c r="B95" s="508" t="s">
        <v>33</v>
      </c>
      <c r="C95" s="510">
        <v>372848.06914909289</v>
      </c>
      <c r="D95" s="312">
        <f>VLOOKUP(B95,Synthèse!$B$6:$O$314,5,FALSE)</f>
        <v>283826.95219651016</v>
      </c>
      <c r="E95" s="317">
        <f t="shared" si="3"/>
        <v>-89021.116952582728</v>
      </c>
      <c r="F95" s="509">
        <v>295496.61488803901</v>
      </c>
      <c r="G95" s="233">
        <f>VLOOKUP(B95,Synthèse!$B$6:$O$314,14,FALSE)</f>
        <v>197751.84177181902</v>
      </c>
      <c r="H95" s="317">
        <f t="shared" si="4"/>
        <v>-97744.773116219993</v>
      </c>
      <c r="I95" s="510">
        <v>66698.806882618825</v>
      </c>
      <c r="J95" s="233">
        <f>VLOOKUP(B95,Synthèse!$B$6:$O$314,12,FALSE)</f>
        <v>56084.57190078932</v>
      </c>
      <c r="K95" s="317">
        <f t="shared" si="5"/>
        <v>-10614.234981829504</v>
      </c>
    </row>
    <row r="96" spans="1:11" s="514" customFormat="1" ht="15" x14ac:dyDescent="0.25">
      <c r="A96" s="151">
        <v>5552</v>
      </c>
      <c r="B96" s="508" t="s">
        <v>34</v>
      </c>
      <c r="C96" s="510">
        <v>323250.94462396111</v>
      </c>
      <c r="D96" s="312">
        <f>VLOOKUP(B96,Synthèse!$B$6:$O$314,5,FALSE)</f>
        <v>309337.71490697854</v>
      </c>
      <c r="E96" s="317">
        <f t="shared" si="3"/>
        <v>-13913.229716982576</v>
      </c>
      <c r="F96" s="509">
        <v>-180167.14416381437</v>
      </c>
      <c r="G96" s="233">
        <f>VLOOKUP(B96,Synthèse!$B$6:$O$314,14,FALSE)</f>
        <v>-218539.46984733024</v>
      </c>
      <c r="H96" s="317">
        <f t="shared" si="4"/>
        <v>-38372.325683515868</v>
      </c>
      <c r="I96" s="510">
        <v>55874.607931207618</v>
      </c>
      <c r="J96" s="233">
        <f>VLOOKUP(B96,Synthèse!$B$6:$O$314,12,FALSE)</f>
        <v>52322.193334968972</v>
      </c>
      <c r="K96" s="317">
        <f t="shared" si="5"/>
        <v>-3552.4145962386465</v>
      </c>
    </row>
    <row r="97" spans="1:11" s="514" customFormat="1" ht="15" x14ac:dyDescent="0.25">
      <c r="A97" s="151">
        <v>5553</v>
      </c>
      <c r="B97" s="508" t="s">
        <v>35</v>
      </c>
      <c r="C97" s="510">
        <v>717821.93809368927</v>
      </c>
      <c r="D97" s="312">
        <f>VLOOKUP(B97,Synthèse!$B$6:$O$314,5,FALSE)</f>
        <v>679614.08466559683</v>
      </c>
      <c r="E97" s="317">
        <f t="shared" si="3"/>
        <v>-38207.853428092436</v>
      </c>
      <c r="F97" s="509">
        <v>198783.69009171246</v>
      </c>
      <c r="G97" s="233">
        <f>VLOOKUP(B97,Synthèse!$B$6:$O$314,14,FALSE)</f>
        <v>240631.26779207354</v>
      </c>
      <c r="H97" s="317">
        <f t="shared" si="4"/>
        <v>41847.577700361086</v>
      </c>
      <c r="I97" s="510">
        <v>118943.5389917023</v>
      </c>
      <c r="J97" s="233">
        <f>VLOOKUP(B97,Synthèse!$B$6:$O$314,12,FALSE)</f>
        <v>114819.306967076</v>
      </c>
      <c r="K97" s="317">
        <f t="shared" si="5"/>
        <v>-4124.2320246262971</v>
      </c>
    </row>
    <row r="98" spans="1:11" s="514" customFormat="1" ht="15" x14ac:dyDescent="0.25">
      <c r="A98" s="151">
        <v>5554</v>
      </c>
      <c r="B98" s="508" t="s">
        <v>36</v>
      </c>
      <c r="C98" s="510">
        <v>599374.17951420229</v>
      </c>
      <c r="D98" s="312">
        <f>VLOOKUP(B98,Synthèse!$B$6:$O$314,5,FALSE)</f>
        <v>561418.26002218632</v>
      </c>
      <c r="E98" s="317">
        <f t="shared" si="3"/>
        <v>-37955.919492015964</v>
      </c>
      <c r="F98" s="509">
        <v>12979.231985865248</v>
      </c>
      <c r="G98" s="233">
        <f>VLOOKUP(B98,Synthèse!$B$6:$O$314,14,FALSE)</f>
        <v>-60266.06891237892</v>
      </c>
      <c r="H98" s="317">
        <f t="shared" si="4"/>
        <v>-73245.300898244168</v>
      </c>
      <c r="I98" s="510">
        <v>94224.75394882512</v>
      </c>
      <c r="J98" s="233">
        <f>VLOOKUP(B98,Synthèse!$B$6:$O$314,12,FALSE)</f>
        <v>98070.045565043882</v>
      </c>
      <c r="K98" s="317">
        <f t="shared" si="5"/>
        <v>3845.2916162187612</v>
      </c>
    </row>
    <row r="99" spans="1:11" s="514" customFormat="1" ht="15" x14ac:dyDescent="0.25">
      <c r="A99" s="151">
        <v>5555</v>
      </c>
      <c r="B99" s="508" t="s">
        <v>37</v>
      </c>
      <c r="C99" s="510">
        <v>247072.65525673362</v>
      </c>
      <c r="D99" s="312">
        <f>VLOOKUP(B99,Synthèse!$B$6:$O$314,5,FALSE)</f>
        <v>274855.9507931628</v>
      </c>
      <c r="E99" s="317">
        <f t="shared" si="3"/>
        <v>27783.295536429185</v>
      </c>
      <c r="F99" s="509">
        <v>-42074.652395691432</v>
      </c>
      <c r="G99" s="233">
        <f>VLOOKUP(B99,Synthèse!$B$6:$O$314,14,FALSE)</f>
        <v>-85867.801521700487</v>
      </c>
      <c r="H99" s="317">
        <f t="shared" si="4"/>
        <v>-43793.149126009055</v>
      </c>
      <c r="I99" s="510">
        <v>40892.210273696241</v>
      </c>
      <c r="J99" s="233">
        <f>VLOOKUP(B99,Synthèse!$B$6:$O$314,12,FALSE)</f>
        <v>40444.299928406341</v>
      </c>
      <c r="K99" s="317">
        <f t="shared" si="5"/>
        <v>-447.91034528989985</v>
      </c>
    </row>
    <row r="100" spans="1:11" s="514" customFormat="1" ht="15" x14ac:dyDescent="0.25">
      <c r="A100" s="151">
        <v>5556</v>
      </c>
      <c r="B100" s="508" t="s">
        <v>38</v>
      </c>
      <c r="C100" s="510">
        <v>243486.56023046665</v>
      </c>
      <c r="D100" s="312">
        <f>VLOOKUP(B100,Synthèse!$B$6:$O$314,5,FALSE)</f>
        <v>232031.13950293619</v>
      </c>
      <c r="E100" s="317">
        <f t="shared" si="3"/>
        <v>-11455.420727530465</v>
      </c>
      <c r="F100" s="509">
        <v>27689.221992398328</v>
      </c>
      <c r="G100" s="233">
        <f>VLOOKUP(B100,Synthèse!$B$6:$O$314,14,FALSE)</f>
        <v>39023.961152333104</v>
      </c>
      <c r="H100" s="317">
        <f t="shared" si="4"/>
        <v>11334.739159934776</v>
      </c>
      <c r="I100" s="510">
        <v>40152.532624853426</v>
      </c>
      <c r="J100" s="233">
        <f>VLOOKUP(B100,Synthèse!$B$6:$O$314,12,FALSE)</f>
        <v>41646.710001462838</v>
      </c>
      <c r="K100" s="317">
        <f t="shared" si="5"/>
        <v>1494.177376609412</v>
      </c>
    </row>
    <row r="101" spans="1:11" s="514" customFormat="1" ht="15" x14ac:dyDescent="0.25">
      <c r="A101" s="151">
        <v>5557</v>
      </c>
      <c r="B101" s="508" t="s">
        <v>39</v>
      </c>
      <c r="C101" s="510">
        <v>105640.87180216327</v>
      </c>
      <c r="D101" s="312">
        <f>VLOOKUP(B101,Synthèse!$B$6:$O$314,5,FALSE)</f>
        <v>111900.11122831932</v>
      </c>
      <c r="E101" s="317">
        <f t="shared" si="3"/>
        <v>6259.2394261560548</v>
      </c>
      <c r="F101" s="509">
        <v>-56371.319110083794</v>
      </c>
      <c r="G101" s="233">
        <f>VLOOKUP(B101,Synthèse!$B$6:$O$314,14,FALSE)</f>
        <v>-10453.492824436787</v>
      </c>
      <c r="H101" s="317">
        <f t="shared" si="4"/>
        <v>45917.82628564701</v>
      </c>
      <c r="I101" s="510">
        <v>17076.911509552789</v>
      </c>
      <c r="J101" s="233">
        <f>VLOOKUP(B101,Synthèse!$B$6:$O$314,12,FALSE)</f>
        <v>17541.399770599637</v>
      </c>
      <c r="K101" s="317">
        <f t="shared" si="5"/>
        <v>464.48826104684849</v>
      </c>
    </row>
    <row r="102" spans="1:11" s="514" customFormat="1" ht="15" x14ac:dyDescent="0.25">
      <c r="A102" s="151">
        <v>5559</v>
      </c>
      <c r="B102" s="508" t="s">
        <v>40</v>
      </c>
      <c r="C102" s="510">
        <v>420879.45642216172</v>
      </c>
      <c r="D102" s="312">
        <f>VLOOKUP(B102,Synthèse!$B$6:$O$314,5,FALSE)</f>
        <v>288310.3121703472</v>
      </c>
      <c r="E102" s="317">
        <f t="shared" si="3"/>
        <v>-132569.14425181452</v>
      </c>
      <c r="F102" s="509">
        <v>322212.16882433905</v>
      </c>
      <c r="G102" s="233">
        <f>VLOOKUP(B102,Synthèse!$B$6:$O$314,14,FALSE)</f>
        <v>206711.65704375194</v>
      </c>
      <c r="H102" s="317">
        <f t="shared" si="4"/>
        <v>-115500.51178058711</v>
      </c>
      <c r="I102" s="510">
        <v>59547.887884442702</v>
      </c>
      <c r="J102" s="233">
        <f>VLOOKUP(B102,Synthèse!$B$6:$O$314,12,FALSE)</f>
        <v>50822.687610215347</v>
      </c>
      <c r="K102" s="317">
        <f t="shared" si="5"/>
        <v>-8725.2002742273544</v>
      </c>
    </row>
    <row r="103" spans="1:11" s="514" customFormat="1" ht="15" x14ac:dyDescent="0.25">
      <c r="A103" s="151">
        <v>5560</v>
      </c>
      <c r="B103" s="508" t="s">
        <v>41</v>
      </c>
      <c r="C103" s="510">
        <v>136210.75979641112</v>
      </c>
      <c r="D103" s="312">
        <f>VLOOKUP(B103,Synthèse!$B$6:$O$314,5,FALSE)</f>
        <v>97393.130952909181</v>
      </c>
      <c r="E103" s="317">
        <f t="shared" si="3"/>
        <v>-38817.628843501938</v>
      </c>
      <c r="F103" s="509">
        <v>33153.871275216719</v>
      </c>
      <c r="G103" s="233">
        <f>VLOOKUP(B103,Synthèse!$B$6:$O$314,14,FALSE)</f>
        <v>-6737.9449718357973</v>
      </c>
      <c r="H103" s="317">
        <f t="shared" si="4"/>
        <v>-39891.816247052513</v>
      </c>
      <c r="I103" s="510">
        <v>23522.016611900246</v>
      </c>
      <c r="J103" s="233">
        <f>VLOOKUP(B103,Synthèse!$B$6:$O$314,12,FALSE)</f>
        <v>18305.85799765549</v>
      </c>
      <c r="K103" s="317">
        <f t="shared" si="5"/>
        <v>-5216.1586142447559</v>
      </c>
    </row>
    <row r="104" spans="1:11" s="514" customFormat="1" ht="15" x14ac:dyDescent="0.25">
      <c r="A104" s="151">
        <v>5561</v>
      </c>
      <c r="B104" s="508" t="s">
        <v>42</v>
      </c>
      <c r="C104" s="510">
        <v>2360178.7634896985</v>
      </c>
      <c r="D104" s="312">
        <f>VLOOKUP(B104,Synthèse!$B$6:$O$314,5,FALSE)</f>
        <v>2005411.8275763905</v>
      </c>
      <c r="E104" s="317">
        <f t="shared" si="3"/>
        <v>-354766.93591330806</v>
      </c>
      <c r="F104" s="509">
        <v>119199.73703678616</v>
      </c>
      <c r="G104" s="233">
        <f>VLOOKUP(B104,Synthèse!$B$6:$O$314,14,FALSE)</f>
        <v>-708503.2605478412</v>
      </c>
      <c r="H104" s="317">
        <f t="shared" si="4"/>
        <v>-827702.99758462736</v>
      </c>
      <c r="I104" s="510">
        <v>387505.35722942004</v>
      </c>
      <c r="J104" s="233">
        <f>VLOOKUP(B104,Synthèse!$B$6:$O$314,12,FALSE)</f>
        <v>345020.8211810675</v>
      </c>
      <c r="K104" s="317">
        <f t="shared" si="5"/>
        <v>-42484.536048352544</v>
      </c>
    </row>
    <row r="105" spans="1:11" s="514" customFormat="1" ht="15" x14ac:dyDescent="0.25">
      <c r="A105" s="151">
        <v>5562</v>
      </c>
      <c r="B105" s="508" t="s">
        <v>43</v>
      </c>
      <c r="C105" s="510">
        <v>98641.978442553227</v>
      </c>
      <c r="D105" s="312">
        <f>VLOOKUP(B105,Synthèse!$B$6:$O$314,5,FALSE)</f>
        <v>94257.011713431872</v>
      </c>
      <c r="E105" s="317">
        <f t="shared" si="3"/>
        <v>-4384.9667291213555</v>
      </c>
      <c r="F105" s="509">
        <v>73078.906797055941</v>
      </c>
      <c r="G105" s="233">
        <f>VLOOKUP(B105,Synthèse!$B$6:$O$314,14,FALSE)</f>
        <v>91715.109155236685</v>
      </c>
      <c r="H105" s="317">
        <f t="shared" si="4"/>
        <v>18636.202358180744</v>
      </c>
      <c r="I105" s="510">
        <v>16714.063465576408</v>
      </c>
      <c r="J105" s="233">
        <f>VLOOKUP(B105,Synthèse!$B$6:$O$314,12,FALSE)</f>
        <v>18214.052590186457</v>
      </c>
      <c r="K105" s="317">
        <f t="shared" si="5"/>
        <v>1499.9891246100487</v>
      </c>
    </row>
    <row r="106" spans="1:11" s="514" customFormat="1" ht="15" x14ac:dyDescent="0.25">
      <c r="A106" s="151">
        <v>5563</v>
      </c>
      <c r="B106" s="508" t="s">
        <v>284</v>
      </c>
      <c r="C106" s="510">
        <v>56158.012360125525</v>
      </c>
      <c r="D106" s="312">
        <f>VLOOKUP(B106,Synthèse!$B$6:$O$314,5,FALSE)</f>
        <v>66849.467838452983</v>
      </c>
      <c r="E106" s="317">
        <f t="shared" si="3"/>
        <v>10691.455478327458</v>
      </c>
      <c r="F106" s="509">
        <v>-76126.393919181937</v>
      </c>
      <c r="G106" s="233">
        <f>VLOOKUP(B106,Synthèse!$B$6:$O$314,14,FALSE)</f>
        <v>-67838.089896605015</v>
      </c>
      <c r="H106" s="317">
        <f t="shared" si="4"/>
        <v>8288.3040225769219</v>
      </c>
      <c r="I106" s="510">
        <v>10400.51138523294</v>
      </c>
      <c r="J106" s="233">
        <f>VLOOKUP(B106,Synthèse!$B$6:$O$314,12,FALSE)</f>
        <v>12373.238337940831</v>
      </c>
      <c r="K106" s="317">
        <f t="shared" si="5"/>
        <v>1972.7269527078915</v>
      </c>
    </row>
    <row r="107" spans="1:11" s="514" customFormat="1" ht="15" x14ac:dyDescent="0.25">
      <c r="A107" s="151">
        <v>5564</v>
      </c>
      <c r="B107" s="508" t="s">
        <v>285</v>
      </c>
      <c r="C107" s="510">
        <v>58038.870099978303</v>
      </c>
      <c r="D107" s="312">
        <f>VLOOKUP(B107,Synthèse!$B$6:$O$314,5,FALSE)</f>
        <v>41678.590340022987</v>
      </c>
      <c r="E107" s="317">
        <f t="shared" si="3"/>
        <v>-16360.279759955316</v>
      </c>
      <c r="F107" s="509">
        <v>-4064.1359570393943</v>
      </c>
      <c r="G107" s="233">
        <f>VLOOKUP(B107,Synthèse!$B$6:$O$314,14,FALSE)</f>
        <v>-37325.035773723539</v>
      </c>
      <c r="H107" s="317">
        <f t="shared" si="4"/>
        <v>-33260.899816684148</v>
      </c>
      <c r="I107" s="510">
        <v>9225.5653371051321</v>
      </c>
      <c r="J107" s="233">
        <f>VLOOKUP(B107,Synthèse!$B$6:$O$314,12,FALSE)</f>
        <v>6279.7321760974974</v>
      </c>
      <c r="K107" s="317">
        <f t="shared" si="5"/>
        <v>-2945.8331610076348</v>
      </c>
    </row>
    <row r="108" spans="1:11" s="514" customFormat="1" ht="15" x14ac:dyDescent="0.25">
      <c r="A108" s="151">
        <v>5565</v>
      </c>
      <c r="B108" s="508" t="s">
        <v>286</v>
      </c>
      <c r="C108" s="510">
        <v>392942.0755701171</v>
      </c>
      <c r="D108" s="312">
        <f>VLOOKUP(B108,Synthèse!$B$6:$O$314,5,FALSE)</f>
        <v>298806.96311218344</v>
      </c>
      <c r="E108" s="317">
        <f t="shared" si="3"/>
        <v>-94135.112457933661</v>
      </c>
      <c r="F108" s="509">
        <v>310649.64293201669</v>
      </c>
      <c r="G108" s="233">
        <f>VLOOKUP(B108,Synthèse!$B$6:$O$314,14,FALSE)</f>
        <v>195231.12073652408</v>
      </c>
      <c r="H108" s="317">
        <f t="shared" si="4"/>
        <v>-115418.52219549261</v>
      </c>
      <c r="I108" s="510">
        <v>69714.471835006596</v>
      </c>
      <c r="J108" s="233">
        <f>VLOOKUP(B108,Synthèse!$B$6:$O$314,12,FALSE)</f>
        <v>57583.684956538171</v>
      </c>
      <c r="K108" s="317">
        <f t="shared" si="5"/>
        <v>-12130.786878468425</v>
      </c>
    </row>
    <row r="109" spans="1:11" s="514" customFormat="1" ht="15" x14ac:dyDescent="0.25">
      <c r="A109" s="151">
        <v>5566</v>
      </c>
      <c r="B109" s="508" t="s">
        <v>287</v>
      </c>
      <c r="C109" s="510">
        <v>172518.88628978247</v>
      </c>
      <c r="D109" s="312">
        <f>VLOOKUP(B109,Synthèse!$B$6:$O$314,5,FALSE)</f>
        <v>180201.27519057295</v>
      </c>
      <c r="E109" s="317">
        <f t="shared" si="3"/>
        <v>7682.38890079048</v>
      </c>
      <c r="F109" s="509">
        <v>-225019.62805764022</v>
      </c>
      <c r="G109" s="233">
        <f>VLOOKUP(B109,Synthèse!$B$6:$O$314,14,FALSE)</f>
        <v>-525367.58147174679</v>
      </c>
      <c r="H109" s="317">
        <f t="shared" si="4"/>
        <v>-300347.95341410657</v>
      </c>
      <c r="I109" s="510">
        <v>26022.017567095878</v>
      </c>
      <c r="J109" s="233">
        <f>VLOOKUP(B109,Synthèse!$B$6:$O$314,12,FALSE)</f>
        <v>22714.503995694595</v>
      </c>
      <c r="K109" s="317">
        <f t="shared" si="5"/>
        <v>-3307.5135714012831</v>
      </c>
    </row>
    <row r="110" spans="1:11" s="514" customFormat="1" ht="15" x14ac:dyDescent="0.25">
      <c r="A110" s="151">
        <v>5568</v>
      </c>
      <c r="B110" s="508" t="s">
        <v>119</v>
      </c>
      <c r="C110" s="510">
        <v>2376017.2821776848</v>
      </c>
      <c r="D110" s="312">
        <f>VLOOKUP(B110,Synthèse!$B$6:$O$314,5,FALSE)</f>
        <v>2494518.6654816028</v>
      </c>
      <c r="E110" s="317">
        <f t="shared" si="3"/>
        <v>118501.38330391794</v>
      </c>
      <c r="F110" s="509">
        <v>-2999599.9906072207</v>
      </c>
      <c r="G110" s="233">
        <f>VLOOKUP(B110,Synthèse!$B$6:$O$314,14,FALSE)</f>
        <v>-3770852.9726400198</v>
      </c>
      <c r="H110" s="317">
        <f t="shared" si="4"/>
        <v>-771252.98203279916</v>
      </c>
      <c r="I110" s="510">
        <v>320848.3809295246</v>
      </c>
      <c r="J110" s="233">
        <f>VLOOKUP(B110,Synthèse!$B$6:$O$314,12,FALSE)</f>
        <v>318706.91294888326</v>
      </c>
      <c r="K110" s="317">
        <f t="shared" si="5"/>
        <v>-2141.4679806413478</v>
      </c>
    </row>
    <row r="111" spans="1:11" s="514" customFormat="1" ht="15" x14ac:dyDescent="0.25">
      <c r="A111" s="151">
        <v>5571</v>
      </c>
      <c r="B111" s="508" t="s">
        <v>427</v>
      </c>
      <c r="C111" s="510">
        <v>431132.87631471688</v>
      </c>
      <c r="D111" s="312">
        <f>VLOOKUP(B111,Synthèse!$B$6:$O$314,5,FALSE)</f>
        <v>364138.83593013941</v>
      </c>
      <c r="E111" s="317">
        <f t="shared" si="3"/>
        <v>-66994.040384577471</v>
      </c>
      <c r="F111" s="509">
        <v>-127645.80205396333</v>
      </c>
      <c r="G111" s="233">
        <f>VLOOKUP(B111,Synthèse!$B$6:$O$314,14,FALSE)</f>
        <v>-304676.9435559751</v>
      </c>
      <c r="H111" s="317">
        <f t="shared" si="4"/>
        <v>-177031.14150201177</v>
      </c>
      <c r="I111" s="510">
        <v>70433.460678368254</v>
      </c>
      <c r="J111" s="233">
        <f>VLOOKUP(B111,Synthèse!$B$6:$O$314,12,FALSE)</f>
        <v>62972.511313620125</v>
      </c>
      <c r="K111" s="317">
        <f t="shared" si="5"/>
        <v>-7460.9493647481286</v>
      </c>
    </row>
    <row r="112" spans="1:11" s="514" customFormat="1" ht="15" x14ac:dyDescent="0.25">
      <c r="A112" s="151">
        <v>5581</v>
      </c>
      <c r="B112" s="508" t="s">
        <v>387</v>
      </c>
      <c r="C112" s="510">
        <v>3760439.026456852</v>
      </c>
      <c r="D112" s="312">
        <f>VLOOKUP(B112,Synthèse!$B$6:$O$314,5,FALSE)</f>
        <v>4139273.2512621372</v>
      </c>
      <c r="E112" s="317">
        <f t="shared" si="3"/>
        <v>378834.22480528522</v>
      </c>
      <c r="F112" s="509">
        <v>1789643.9940280013</v>
      </c>
      <c r="G112" s="233">
        <f>VLOOKUP(B112,Synthèse!$B$6:$O$314,14,FALSE)</f>
        <v>2151887.4428003272</v>
      </c>
      <c r="H112" s="317">
        <f t="shared" si="4"/>
        <v>362243.44877232588</v>
      </c>
      <c r="I112" s="510">
        <v>245756.30439519614</v>
      </c>
      <c r="J112" s="233">
        <f>VLOOKUP(B112,Synthèse!$B$6:$O$314,12,FALSE)</f>
        <v>249549.4611302556</v>
      </c>
      <c r="K112" s="317">
        <f t="shared" si="5"/>
        <v>3793.156735059456</v>
      </c>
    </row>
    <row r="113" spans="1:11" s="514" customFormat="1" ht="15" x14ac:dyDescent="0.25">
      <c r="A113" s="151">
        <v>5582</v>
      </c>
      <c r="B113" s="508" t="s">
        <v>388</v>
      </c>
      <c r="C113" s="510">
        <v>3069286.9313248331</v>
      </c>
      <c r="D113" s="312">
        <f>VLOOKUP(B113,Synthèse!$B$6:$O$314,5,FALSE)</f>
        <v>2653387.5565293743</v>
      </c>
      <c r="E113" s="317">
        <f t="shared" si="3"/>
        <v>-415899.37479545875</v>
      </c>
      <c r="F113" s="509">
        <v>1264153.9354371382</v>
      </c>
      <c r="G113" s="233">
        <f>VLOOKUP(B113,Synthèse!$B$6:$O$314,14,FALSE)</f>
        <v>235533.59439431457</v>
      </c>
      <c r="H113" s="317">
        <f t="shared" si="4"/>
        <v>-1028620.3410428236</v>
      </c>
      <c r="I113" s="510">
        <v>548165.50045072311</v>
      </c>
      <c r="J113" s="233">
        <f>VLOOKUP(B113,Synthèse!$B$6:$O$314,12,FALSE)</f>
        <v>492461.87409461371</v>
      </c>
      <c r="K113" s="317">
        <f t="shared" si="5"/>
        <v>-55703.626356109395</v>
      </c>
    </row>
    <row r="114" spans="1:11" s="514" customFormat="1" ht="15" x14ac:dyDescent="0.25">
      <c r="A114" s="151">
        <v>5583</v>
      </c>
      <c r="B114" s="508" t="s">
        <v>389</v>
      </c>
      <c r="C114" s="510">
        <v>6918631.2641988415</v>
      </c>
      <c r="D114" s="312">
        <f>VLOOKUP(B114,Synthèse!$B$6:$O$314,5,FALSE)</f>
        <v>6417084.6823815387</v>
      </c>
      <c r="E114" s="317">
        <f t="shared" si="3"/>
        <v>-501546.58181730285</v>
      </c>
      <c r="F114" s="509">
        <v>-284500.04552117782</v>
      </c>
      <c r="G114" s="233">
        <f>VLOOKUP(B114,Synthèse!$B$6:$O$314,14,FALSE)</f>
        <v>-512166.50610816246</v>
      </c>
      <c r="H114" s="317">
        <f t="shared" si="4"/>
        <v>-227666.46058698464</v>
      </c>
      <c r="I114" s="510">
        <v>412769.90473075304</v>
      </c>
      <c r="J114" s="233">
        <f>VLOOKUP(B114,Synthèse!$B$6:$O$314,12,FALSE)</f>
        <v>432383.46323334647</v>
      </c>
      <c r="K114" s="317">
        <f t="shared" si="5"/>
        <v>19613.558502593427</v>
      </c>
    </row>
    <row r="115" spans="1:11" s="514" customFormat="1" ht="15" x14ac:dyDescent="0.25">
      <c r="A115" s="151">
        <v>5584</v>
      </c>
      <c r="B115" s="508" t="s">
        <v>390</v>
      </c>
      <c r="C115" s="510">
        <v>11376171.513539258</v>
      </c>
      <c r="D115" s="312">
        <f>VLOOKUP(B115,Synthèse!$B$6:$O$314,5,FALSE)</f>
        <v>8533969.7987963576</v>
      </c>
      <c r="E115" s="317">
        <f t="shared" si="3"/>
        <v>-2842201.7147429008</v>
      </c>
      <c r="F115" s="509">
        <v>1235458.20392616</v>
      </c>
      <c r="G115" s="233">
        <f>VLOOKUP(B115,Synthèse!$B$6:$O$314,14,FALSE)</f>
        <v>1034197.9454416502</v>
      </c>
      <c r="H115" s="317">
        <f t="shared" si="4"/>
        <v>-201260.25848450977</v>
      </c>
      <c r="I115" s="510">
        <v>1410809.6697109831</v>
      </c>
      <c r="J115" s="233">
        <f>VLOOKUP(B115,Synthèse!$B$6:$O$314,12,FALSE)</f>
        <v>1434709.8075301531</v>
      </c>
      <c r="K115" s="317">
        <f t="shared" si="5"/>
        <v>23900.137819170021</v>
      </c>
    </row>
    <row r="116" spans="1:11" s="514" customFormat="1" ht="15" x14ac:dyDescent="0.25">
      <c r="A116" s="151">
        <v>5585</v>
      </c>
      <c r="B116" s="508" t="s">
        <v>391</v>
      </c>
      <c r="C116" s="510">
        <v>7215605.836335877</v>
      </c>
      <c r="D116" s="312">
        <f>VLOOKUP(B116,Synthèse!$B$6:$O$314,5,FALSE)</f>
        <v>6571005.0075512184</v>
      </c>
      <c r="E116" s="317">
        <f t="shared" si="3"/>
        <v>-644600.82878465857</v>
      </c>
      <c r="F116" s="509">
        <v>3564705.1821905901</v>
      </c>
      <c r="G116" s="233">
        <f>VLOOKUP(B116,Synthèse!$B$6:$O$314,14,FALSE)</f>
        <v>3613802.0785479639</v>
      </c>
      <c r="H116" s="317">
        <f t="shared" si="4"/>
        <v>49096.8963573738</v>
      </c>
      <c r="I116" s="510">
        <v>412817.20469369926</v>
      </c>
      <c r="J116" s="233">
        <f>VLOOKUP(B116,Synthèse!$B$6:$O$314,12,FALSE)</f>
        <v>363460.15122318239</v>
      </c>
      <c r="K116" s="317">
        <f t="shared" si="5"/>
        <v>-49357.053470516868</v>
      </c>
    </row>
    <row r="117" spans="1:11" s="514" customFormat="1" ht="15" x14ac:dyDescent="0.25">
      <c r="A117" s="151">
        <v>5586</v>
      </c>
      <c r="B117" s="508" t="s">
        <v>120</v>
      </c>
      <c r="C117" s="510">
        <v>109463235.27782373</v>
      </c>
      <c r="D117" s="312">
        <f>VLOOKUP(B117,Synthèse!$B$6:$O$314,5,FALSE)</f>
        <v>107364096.49879466</v>
      </c>
      <c r="E117" s="317">
        <f t="shared" si="3"/>
        <v>-2099138.7790290713</v>
      </c>
      <c r="F117" s="509">
        <v>-95497204.210579216</v>
      </c>
      <c r="G117" s="233">
        <f>VLOOKUP(B117,Synthèse!$B$6:$O$314,14,FALSE)</f>
        <v>-77172734.140098378</v>
      </c>
      <c r="H117" s="317">
        <f t="shared" si="4"/>
        <v>18324470.070480838</v>
      </c>
      <c r="I117" s="510">
        <v>7464214.5081104329</v>
      </c>
      <c r="J117" s="233">
        <f>VLOOKUP(B117,Synthèse!$B$6:$O$314,12,FALSE)</f>
        <v>7367837.9434519028</v>
      </c>
      <c r="K117" s="317">
        <f t="shared" si="5"/>
        <v>-96376.564658530056</v>
      </c>
    </row>
    <row r="118" spans="1:11" s="514" customFormat="1" ht="15" x14ac:dyDescent="0.25">
      <c r="A118" s="151">
        <v>5587</v>
      </c>
      <c r="B118" s="508" t="s">
        <v>121</v>
      </c>
      <c r="C118" s="510">
        <v>8009040.2713324111</v>
      </c>
      <c r="D118" s="312">
        <f>VLOOKUP(B118,Synthèse!$B$6:$O$314,5,FALSE)</f>
        <v>7766573.4011063259</v>
      </c>
      <c r="E118" s="317">
        <f t="shared" si="3"/>
        <v>-242466.87022608519</v>
      </c>
      <c r="F118" s="509">
        <v>2170241.770827489</v>
      </c>
      <c r="G118" s="233">
        <f>VLOOKUP(B118,Synthèse!$B$6:$O$314,14,FALSE)</f>
        <v>2023064.0956375478</v>
      </c>
      <c r="H118" s="317">
        <f t="shared" si="4"/>
        <v>-147177.67518994119</v>
      </c>
      <c r="I118" s="510">
        <v>1261047.0958841708</v>
      </c>
      <c r="J118" s="233">
        <f>VLOOKUP(B118,Synthèse!$B$6:$O$314,12,FALSE)</f>
        <v>1327619.0895224386</v>
      </c>
      <c r="K118" s="317">
        <f t="shared" si="5"/>
        <v>66571.993638267741</v>
      </c>
    </row>
    <row r="119" spans="1:11" s="514" customFormat="1" ht="15" x14ac:dyDescent="0.25">
      <c r="A119" s="151">
        <v>5588</v>
      </c>
      <c r="B119" s="508" t="s">
        <v>122</v>
      </c>
      <c r="C119" s="510">
        <v>3424218.6779864561</v>
      </c>
      <c r="D119" s="312">
        <f>VLOOKUP(B119,Synthèse!$B$6:$O$314,5,FALSE)</f>
        <v>3390338.4250188731</v>
      </c>
      <c r="E119" s="317">
        <f t="shared" si="3"/>
        <v>-33880.252967583016</v>
      </c>
      <c r="F119" s="509">
        <v>2302615.607984574</v>
      </c>
      <c r="G119" s="233">
        <f>VLOOKUP(B119,Synthèse!$B$6:$O$314,14,FALSE)</f>
        <v>2284964.15709583</v>
      </c>
      <c r="H119" s="317">
        <f t="shared" si="4"/>
        <v>-17651.45088874409</v>
      </c>
      <c r="I119" s="510">
        <v>170210.91674372662</v>
      </c>
      <c r="J119" s="233">
        <f>VLOOKUP(B119,Synthèse!$B$6:$O$314,12,FALSE)</f>
        <v>159104.79662503881</v>
      </c>
      <c r="K119" s="317">
        <f t="shared" si="5"/>
        <v>-11106.120118687802</v>
      </c>
    </row>
    <row r="120" spans="1:11" s="514" customFormat="1" ht="15" x14ac:dyDescent="0.25">
      <c r="A120" s="151">
        <v>5589</v>
      </c>
      <c r="B120" s="508" t="s">
        <v>123</v>
      </c>
      <c r="C120" s="510">
        <v>7109536.4148298251</v>
      </c>
      <c r="D120" s="312">
        <f>VLOOKUP(B120,Synthèse!$B$6:$O$314,5,FALSE)</f>
        <v>7469125.6772778761</v>
      </c>
      <c r="E120" s="317">
        <f t="shared" si="3"/>
        <v>359589.26244805101</v>
      </c>
      <c r="F120" s="509">
        <v>-5847238.1617736295</v>
      </c>
      <c r="G120" s="233">
        <f>VLOOKUP(B120,Synthèse!$B$6:$O$314,14,FALSE)</f>
        <v>-3963974.2974767736</v>
      </c>
      <c r="H120" s="317">
        <f t="shared" si="4"/>
        <v>1883263.8642968559</v>
      </c>
      <c r="I120" s="510">
        <v>505110.25124827877</v>
      </c>
      <c r="J120" s="233">
        <f>VLOOKUP(B120,Synthèse!$B$6:$O$314,12,FALSE)</f>
        <v>534486.36322969699</v>
      </c>
      <c r="K120" s="317">
        <f t="shared" si="5"/>
        <v>29376.111981418217</v>
      </c>
    </row>
    <row r="121" spans="1:11" s="514" customFormat="1" ht="15" x14ac:dyDescent="0.25">
      <c r="A121" s="151">
        <v>5590</v>
      </c>
      <c r="B121" s="508" t="s">
        <v>124</v>
      </c>
      <c r="C121" s="510">
        <v>39138923.956659891</v>
      </c>
      <c r="D121" s="312">
        <f>VLOOKUP(B121,Synthèse!$B$6:$O$314,5,FALSE)</f>
        <v>34786079.014439844</v>
      </c>
      <c r="E121" s="317">
        <f t="shared" si="3"/>
        <v>-4352844.9422200471</v>
      </c>
      <c r="F121" s="509">
        <v>12916148.017476326</v>
      </c>
      <c r="G121" s="233">
        <f>VLOOKUP(B121,Synthèse!$B$6:$O$314,14,FALSE)</f>
        <v>12463471.121403638</v>
      </c>
      <c r="H121" s="317">
        <f t="shared" si="4"/>
        <v>-452676.89607268758</v>
      </c>
      <c r="I121" s="510">
        <v>1856524.767755195</v>
      </c>
      <c r="J121" s="233">
        <f>VLOOKUP(B121,Synthèse!$B$6:$O$314,12,FALSE)</f>
        <v>1737284.6053330053</v>
      </c>
      <c r="K121" s="317">
        <f t="shared" si="5"/>
        <v>-119240.16242218972</v>
      </c>
    </row>
    <row r="122" spans="1:11" s="514" customFormat="1" ht="15" x14ac:dyDescent="0.25">
      <c r="A122" s="151">
        <v>5591</v>
      </c>
      <c r="B122" s="508" t="s">
        <v>394</v>
      </c>
      <c r="C122" s="510">
        <v>11350086.974473739</v>
      </c>
      <c r="D122" s="312">
        <f>VLOOKUP(B122,Synthèse!$B$6:$O$314,5,FALSE)</f>
        <v>10966024.251762632</v>
      </c>
      <c r="E122" s="317">
        <f t="shared" si="3"/>
        <v>-384062.72271110676</v>
      </c>
      <c r="F122" s="509">
        <v>-20666782.512663491</v>
      </c>
      <c r="G122" s="233">
        <f>VLOOKUP(B122,Synthèse!$B$6:$O$314,14,FALSE)</f>
        <v>-19817511.300661344</v>
      </c>
      <c r="H122" s="317">
        <f t="shared" si="4"/>
        <v>849271.21200214699</v>
      </c>
      <c r="I122" s="510">
        <v>719504.66153628123</v>
      </c>
      <c r="J122" s="233">
        <f>VLOOKUP(B122,Synthèse!$B$6:$O$314,12,FALSE)</f>
        <v>700971.24503051699</v>
      </c>
      <c r="K122" s="317">
        <f t="shared" si="5"/>
        <v>-18533.416505764239</v>
      </c>
    </row>
    <row r="123" spans="1:11" s="514" customFormat="1" ht="15" x14ac:dyDescent="0.25">
      <c r="A123" s="151">
        <v>5592</v>
      </c>
      <c r="B123" s="508" t="s">
        <v>215</v>
      </c>
      <c r="C123" s="510">
        <v>2005976.8376847163</v>
      </c>
      <c r="D123" s="312">
        <f>VLOOKUP(B123,Synthèse!$B$6:$O$314,5,FALSE)</f>
        <v>1911741.5611728155</v>
      </c>
      <c r="E123" s="317">
        <f t="shared" si="3"/>
        <v>-94235.276511900825</v>
      </c>
      <c r="F123" s="509">
        <v>411884.18044963945</v>
      </c>
      <c r="G123" s="233">
        <f>VLOOKUP(B123,Synthèse!$B$6:$O$314,14,FALSE)</f>
        <v>480525.61543207616</v>
      </c>
      <c r="H123" s="317">
        <f t="shared" si="4"/>
        <v>68641.434982436709</v>
      </c>
      <c r="I123" s="510">
        <v>355215.6775138661</v>
      </c>
      <c r="J123" s="233">
        <f>VLOOKUP(B123,Synthèse!$B$6:$O$314,12,FALSE)</f>
        <v>361846.90165619517</v>
      </c>
      <c r="K123" s="317">
        <f t="shared" si="5"/>
        <v>6631.2241423290689</v>
      </c>
    </row>
    <row r="124" spans="1:11" s="514" customFormat="1" ht="15" x14ac:dyDescent="0.25">
      <c r="A124" s="151">
        <v>5601</v>
      </c>
      <c r="B124" s="508" t="s">
        <v>297</v>
      </c>
      <c r="C124" s="510">
        <v>1974085.6185889894</v>
      </c>
      <c r="D124" s="312">
        <f>VLOOKUP(B124,Synthèse!$B$6:$O$314,5,FALSE)</f>
        <v>2171734.0412939899</v>
      </c>
      <c r="E124" s="317">
        <f t="shared" si="3"/>
        <v>197648.4227050005</v>
      </c>
      <c r="F124" s="509">
        <v>1290692.7732413081</v>
      </c>
      <c r="G124" s="233">
        <f>VLOOKUP(B124,Synthèse!$B$6:$O$314,14,FALSE)</f>
        <v>769482.17532347306</v>
      </c>
      <c r="H124" s="317">
        <f t="shared" si="4"/>
        <v>-521210.597917835</v>
      </c>
      <c r="I124" s="510">
        <v>135753.31009409981</v>
      </c>
      <c r="J124" s="233">
        <f>VLOOKUP(B124,Synthèse!$B$6:$O$314,12,FALSE)</f>
        <v>115200.39138976946</v>
      </c>
      <c r="K124" s="317">
        <f t="shared" si="5"/>
        <v>-20552.918704330354</v>
      </c>
    </row>
    <row r="125" spans="1:11" s="514" customFormat="1" ht="15" x14ac:dyDescent="0.25">
      <c r="A125" s="151">
        <v>5604</v>
      </c>
      <c r="B125" s="508" t="s">
        <v>143</v>
      </c>
      <c r="C125" s="510">
        <v>1326682.3243002489</v>
      </c>
      <c r="D125" s="312">
        <f>VLOOKUP(B125,Synthèse!$B$6:$O$314,5,FALSE)</f>
        <v>1152458.5534235996</v>
      </c>
      <c r="E125" s="317">
        <f t="shared" si="3"/>
        <v>-174223.7708766493</v>
      </c>
      <c r="F125" s="509">
        <v>264691.82377306279</v>
      </c>
      <c r="G125" s="233">
        <f>VLOOKUP(B125,Synthèse!$B$6:$O$314,14,FALSE)</f>
        <v>-7988.377706260304</v>
      </c>
      <c r="H125" s="317">
        <f t="shared" si="4"/>
        <v>-272680.20147932309</v>
      </c>
      <c r="I125" s="510">
        <v>231194.1181946104</v>
      </c>
      <c r="J125" s="233">
        <f>VLOOKUP(B125,Synthèse!$B$6:$O$314,12,FALSE)</f>
        <v>214046.71823986538</v>
      </c>
      <c r="K125" s="317">
        <f t="shared" si="5"/>
        <v>-17147.399954745022</v>
      </c>
    </row>
    <row r="126" spans="1:11" s="514" customFormat="1" ht="15" x14ac:dyDescent="0.25">
      <c r="A126" s="151">
        <v>5606</v>
      </c>
      <c r="B126" s="508" t="s">
        <v>144</v>
      </c>
      <c r="C126" s="510">
        <v>22269933.152881712</v>
      </c>
      <c r="D126" s="312">
        <f>VLOOKUP(B126,Synthèse!$B$6:$O$314,5,FALSE)</f>
        <v>20758556.112360306</v>
      </c>
      <c r="E126" s="317">
        <f t="shared" si="3"/>
        <v>-1511377.0405214056</v>
      </c>
      <c r="F126" s="509">
        <v>9026567.0865237825</v>
      </c>
      <c r="G126" s="233">
        <f>VLOOKUP(B126,Synthèse!$B$6:$O$314,14,FALSE)</f>
        <v>9210819.9359613508</v>
      </c>
      <c r="H126" s="317">
        <f t="shared" si="4"/>
        <v>184252.84943756834</v>
      </c>
      <c r="I126" s="510">
        <v>1075470.6577079643</v>
      </c>
      <c r="J126" s="233">
        <f>VLOOKUP(B126,Synthèse!$B$6:$O$314,12,FALSE)</f>
        <v>1028090.0886629901</v>
      </c>
      <c r="K126" s="317">
        <f t="shared" si="5"/>
        <v>-47380.569044974167</v>
      </c>
    </row>
    <row r="127" spans="1:11" s="514" customFormat="1" ht="15" x14ac:dyDescent="0.25">
      <c r="A127" s="151">
        <v>5607</v>
      </c>
      <c r="B127" s="508" t="s">
        <v>299</v>
      </c>
      <c r="C127" s="510">
        <v>2068218.6772442833</v>
      </c>
      <c r="D127" s="312">
        <f>VLOOKUP(B127,Synthèse!$B$6:$O$314,5,FALSE)</f>
        <v>2036400.0670641251</v>
      </c>
      <c r="E127" s="317">
        <f t="shared" si="3"/>
        <v>-31818.610180158168</v>
      </c>
      <c r="F127" s="509">
        <v>165482.49749001442</v>
      </c>
      <c r="G127" s="233">
        <f>VLOOKUP(B127,Synthèse!$B$6:$O$314,14,FALSE)</f>
        <v>-349672.43668651639</v>
      </c>
      <c r="H127" s="317">
        <f t="shared" si="4"/>
        <v>-515154.93417653081</v>
      </c>
      <c r="I127" s="510">
        <v>141394.32606359196</v>
      </c>
      <c r="J127" s="233">
        <f>VLOOKUP(B127,Synthèse!$B$6:$O$314,12,FALSE)</f>
        <v>120924.40092849277</v>
      </c>
      <c r="K127" s="317">
        <f t="shared" si="5"/>
        <v>-20469.925135099184</v>
      </c>
    </row>
    <row r="128" spans="1:11" s="514" customFormat="1" ht="15" x14ac:dyDescent="0.25">
      <c r="A128" s="151">
        <v>5609</v>
      </c>
      <c r="B128" s="508" t="s">
        <v>128</v>
      </c>
      <c r="C128" s="510">
        <v>217334.49714702842</v>
      </c>
      <c r="D128" s="312">
        <f>VLOOKUP(B128,Synthèse!$B$6:$O$314,5,FALSE)</f>
        <v>249547.53413099426</v>
      </c>
      <c r="E128" s="317">
        <f t="shared" si="3"/>
        <v>32213.036983965838</v>
      </c>
      <c r="F128" s="509">
        <v>157716.69716313461</v>
      </c>
      <c r="G128" s="233">
        <f>VLOOKUP(B128,Synthèse!$B$6:$O$314,14,FALSE)</f>
        <v>238696.52260199963</v>
      </c>
      <c r="H128" s="317">
        <f t="shared" si="4"/>
        <v>80979.825438865024</v>
      </c>
      <c r="I128" s="510">
        <v>17857.889441575771</v>
      </c>
      <c r="J128" s="233">
        <f>VLOOKUP(B128,Synthèse!$B$6:$O$314,12,FALSE)</f>
        <v>18851.795632993744</v>
      </c>
      <c r="K128" s="317">
        <f t="shared" si="5"/>
        <v>993.90619141797288</v>
      </c>
    </row>
    <row r="129" spans="1:11" s="514" customFormat="1" ht="15" x14ac:dyDescent="0.25">
      <c r="A129" s="151">
        <v>5610</v>
      </c>
      <c r="B129" s="508" t="s">
        <v>129</v>
      </c>
      <c r="C129" s="510">
        <v>410425.99691273214</v>
      </c>
      <c r="D129" s="312">
        <f>VLOOKUP(B129,Synthèse!$B$6:$O$314,5,FALSE)</f>
        <v>331053.79376717017</v>
      </c>
      <c r="E129" s="317">
        <f t="shared" si="3"/>
        <v>-79372.203145561973</v>
      </c>
      <c r="F129" s="509">
        <v>363567.2561646981</v>
      </c>
      <c r="G129" s="233">
        <f>VLOOKUP(B129,Synthèse!$B$6:$O$314,14,FALSE)</f>
        <v>314109.57156198029</v>
      </c>
      <c r="H129" s="317">
        <f t="shared" si="4"/>
        <v>-49457.684602717811</v>
      </c>
      <c r="I129" s="510">
        <v>28546.16595082554</v>
      </c>
      <c r="J129" s="233">
        <f>VLOOKUP(B129,Synthèse!$B$6:$O$314,12,FALSE)</f>
        <v>22569.416605572635</v>
      </c>
      <c r="K129" s="317">
        <f t="shared" si="5"/>
        <v>-5976.7493452529052</v>
      </c>
    </row>
    <row r="130" spans="1:11" s="514" customFormat="1" ht="15" x14ac:dyDescent="0.25">
      <c r="A130" s="151">
        <v>5611</v>
      </c>
      <c r="B130" s="508" t="s">
        <v>296</v>
      </c>
      <c r="C130" s="510">
        <v>2921687.7195289372</v>
      </c>
      <c r="D130" s="312">
        <f>VLOOKUP(B130,Synthèse!$B$6:$O$314,5,FALSE)</f>
        <v>2374044.3780054618</v>
      </c>
      <c r="E130" s="317">
        <f t="shared" si="3"/>
        <v>-547643.34152347548</v>
      </c>
      <c r="F130" s="509">
        <v>1014163.7961799838</v>
      </c>
      <c r="G130" s="233">
        <f>VLOOKUP(B130,Synthèse!$B$6:$O$314,14,FALSE)</f>
        <v>647806.82827389752</v>
      </c>
      <c r="H130" s="317">
        <f t="shared" si="4"/>
        <v>-366356.96790608624</v>
      </c>
      <c r="I130" s="510">
        <v>179003.06801234256</v>
      </c>
      <c r="J130" s="233">
        <f>VLOOKUP(B130,Synthèse!$B$6:$O$314,12,FALSE)</f>
        <v>160592.78705123861</v>
      </c>
      <c r="K130" s="317">
        <f t="shared" si="5"/>
        <v>-18410.280961103941</v>
      </c>
    </row>
    <row r="131" spans="1:11" s="514" customFormat="1" ht="15" x14ac:dyDescent="0.25">
      <c r="A131" s="151">
        <v>5613</v>
      </c>
      <c r="B131" s="508" t="s">
        <v>426</v>
      </c>
      <c r="C131" s="510">
        <v>6270603.6776411925</v>
      </c>
      <c r="D131" s="312">
        <f>VLOOKUP(B131,Synthèse!$B$6:$O$314,5,FALSE)</f>
        <v>6755591.6653184881</v>
      </c>
      <c r="E131" s="317">
        <f t="shared" si="3"/>
        <v>484987.98767729569</v>
      </c>
      <c r="F131" s="509">
        <v>3820736.3669700618</v>
      </c>
      <c r="G131" s="233">
        <f>VLOOKUP(B131,Synthèse!$B$6:$O$314,14,FALSE)</f>
        <v>4547304.734862607</v>
      </c>
      <c r="H131" s="317">
        <f t="shared" si="4"/>
        <v>726568.36789254518</v>
      </c>
      <c r="I131" s="510">
        <v>388354.36183988815</v>
      </c>
      <c r="J131" s="233">
        <f>VLOOKUP(B131,Synthèse!$B$6:$O$314,12,FALSE)</f>
        <v>403878.05465343082</v>
      </c>
      <c r="K131" s="317">
        <f t="shared" si="5"/>
        <v>15523.692813542672</v>
      </c>
    </row>
    <row r="132" spans="1:11" s="514" customFormat="1" ht="15" x14ac:dyDescent="0.25">
      <c r="A132" s="151">
        <v>5621</v>
      </c>
      <c r="B132" s="508" t="s">
        <v>403</v>
      </c>
      <c r="C132" s="510">
        <v>921111.17347536446</v>
      </c>
      <c r="D132" s="312">
        <f>VLOOKUP(B132,Synthèse!$B$6:$O$314,5,FALSE)</f>
        <v>682249.82172647421</v>
      </c>
      <c r="E132" s="317">
        <f t="shared" si="3"/>
        <v>-238861.35174889024</v>
      </c>
      <c r="F132" s="509">
        <v>557144.58396359626</v>
      </c>
      <c r="G132" s="233">
        <f>VLOOKUP(B132,Synthèse!$B$6:$O$314,14,FALSE)</f>
        <v>516856.96447429468</v>
      </c>
      <c r="H132" s="317">
        <f t="shared" si="4"/>
        <v>-40287.619489301578</v>
      </c>
      <c r="I132" s="510">
        <v>89003.880760387576</v>
      </c>
      <c r="J132" s="233">
        <f>VLOOKUP(B132,Synthèse!$B$6:$O$314,12,FALSE)</f>
        <v>85075.339836935658</v>
      </c>
      <c r="K132" s="317">
        <f t="shared" si="5"/>
        <v>-3928.5409234519175</v>
      </c>
    </row>
    <row r="133" spans="1:11" s="514" customFormat="1" ht="15" x14ac:dyDescent="0.25">
      <c r="A133" s="151">
        <v>5622</v>
      </c>
      <c r="B133" s="508" t="s">
        <v>147</v>
      </c>
      <c r="C133" s="510">
        <v>545181.5583436474</v>
      </c>
      <c r="D133" s="312">
        <f>VLOOKUP(B133,Synthèse!$B$6:$O$314,5,FALSE)</f>
        <v>430724.91719349334</v>
      </c>
      <c r="E133" s="317">
        <f t="shared" si="3"/>
        <v>-114456.64115015406</v>
      </c>
      <c r="F133" s="509">
        <v>448718.89481456595</v>
      </c>
      <c r="G133" s="233">
        <f>VLOOKUP(B133,Synthèse!$B$6:$O$314,14,FALSE)</f>
        <v>455347.51351743046</v>
      </c>
      <c r="H133" s="317">
        <f t="shared" si="4"/>
        <v>6628.6187028645072</v>
      </c>
      <c r="I133" s="510">
        <v>79540.976376855469</v>
      </c>
      <c r="J133" s="233">
        <f>VLOOKUP(B133,Synthèse!$B$6:$O$314,12,FALSE)</f>
        <v>83713.814066829131</v>
      </c>
      <c r="K133" s="317">
        <f t="shared" si="5"/>
        <v>4172.8376899736613</v>
      </c>
    </row>
    <row r="134" spans="1:11" s="514" customFormat="1" ht="15" x14ac:dyDescent="0.25">
      <c r="A134" s="151">
        <v>5623</v>
      </c>
      <c r="B134" s="508" t="s">
        <v>148</v>
      </c>
      <c r="C134" s="510">
        <v>4257494.0701486804</v>
      </c>
      <c r="D134" s="312">
        <f>VLOOKUP(B134,Synthèse!$B$6:$O$314,5,FALSE)</f>
        <v>2703523.9792142785</v>
      </c>
      <c r="E134" s="317">
        <f t="shared" si="3"/>
        <v>-1553970.0909344018</v>
      </c>
      <c r="F134" s="509">
        <v>1592715.7253531022</v>
      </c>
      <c r="G134" s="233">
        <f>VLOOKUP(B134,Synthèse!$B$6:$O$314,14,FALSE)</f>
        <v>1723911.1009749363</v>
      </c>
      <c r="H134" s="317">
        <f t="shared" si="4"/>
        <v>131195.37562183407</v>
      </c>
      <c r="I134" s="510">
        <v>157784.30547055762</v>
      </c>
      <c r="J134" s="233">
        <f>VLOOKUP(B134,Synthèse!$B$6:$O$314,12,FALSE)</f>
        <v>110880.00544283833</v>
      </c>
      <c r="K134" s="317">
        <f t="shared" si="5"/>
        <v>-46904.300027719291</v>
      </c>
    </row>
    <row r="135" spans="1:11" s="514" customFormat="1" ht="15" x14ac:dyDescent="0.25">
      <c r="A135" s="151">
        <v>5624</v>
      </c>
      <c r="B135" s="508" t="s">
        <v>439</v>
      </c>
      <c r="C135" s="510">
        <v>7128532.5904031461</v>
      </c>
      <c r="D135" s="312">
        <f>VLOOKUP(B135,Synthèse!$B$6:$O$314,5,FALSE)</f>
        <v>6454225.0695142252</v>
      </c>
      <c r="E135" s="317">
        <f t="shared" ref="E135:E198" si="6">D135-C135</f>
        <v>-674307.52088892087</v>
      </c>
      <c r="F135" s="509">
        <v>1258572.0402140357</v>
      </c>
      <c r="G135" s="233">
        <f>VLOOKUP(B135,Synthèse!$B$6:$O$314,14,FALSE)</f>
        <v>-1048344.1067021582</v>
      </c>
      <c r="H135" s="317">
        <f t="shared" ref="H135:H198" si="7">G135-F135</f>
        <v>-2306916.1469161939</v>
      </c>
      <c r="I135" s="510">
        <v>472475.27356721525</v>
      </c>
      <c r="J135" s="233">
        <f>VLOOKUP(B135,Synthèse!$B$6:$O$314,12,FALSE)</f>
        <v>413331.54609646363</v>
      </c>
      <c r="K135" s="317">
        <f t="shared" ref="K135:K198" si="8">J135-I135</f>
        <v>-59143.727470751619</v>
      </c>
    </row>
    <row r="136" spans="1:11" s="514" customFormat="1" ht="15" x14ac:dyDescent="0.25">
      <c r="A136" s="151">
        <v>5625</v>
      </c>
      <c r="B136" s="508" t="s">
        <v>300</v>
      </c>
      <c r="C136" s="510">
        <v>271766.40286096832</v>
      </c>
      <c r="D136" s="312">
        <f>VLOOKUP(B136,Synthèse!$B$6:$O$314,5,FALSE)</f>
        <v>333797.10993771115</v>
      </c>
      <c r="E136" s="317">
        <f t="shared" si="6"/>
        <v>62030.707076742838</v>
      </c>
      <c r="F136" s="509">
        <v>71523.954004489831</v>
      </c>
      <c r="G136" s="233">
        <f>VLOOKUP(B136,Synthèse!$B$6:$O$314,14,FALSE)</f>
        <v>232746.04621096386</v>
      </c>
      <c r="H136" s="317">
        <f t="shared" si="7"/>
        <v>161222.09220647404</v>
      </c>
      <c r="I136" s="510">
        <v>41912.806848513057</v>
      </c>
      <c r="J136" s="233">
        <f>VLOOKUP(B136,Synthèse!$B$6:$O$314,12,FALSE)</f>
        <v>53560.952931661785</v>
      </c>
      <c r="K136" s="317">
        <f t="shared" si="8"/>
        <v>11648.146083148727</v>
      </c>
    </row>
    <row r="137" spans="1:11" s="514" customFormat="1" ht="15" x14ac:dyDescent="0.25">
      <c r="A137" s="151">
        <v>5627</v>
      </c>
      <c r="B137" s="508" t="s">
        <v>254</v>
      </c>
      <c r="C137" s="510">
        <v>3316067.4023920922</v>
      </c>
      <c r="D137" s="312">
        <f>VLOOKUP(B137,Synthèse!$B$6:$O$314,5,FALSE)</f>
        <v>2702170.6701104902</v>
      </c>
      <c r="E137" s="317">
        <f t="shared" si="6"/>
        <v>-613896.73228160199</v>
      </c>
      <c r="F137" s="509">
        <v>-5673679.4480524687</v>
      </c>
      <c r="G137" s="233">
        <f>VLOOKUP(B137,Synthèse!$B$6:$O$314,14,FALSE)</f>
        <v>-5487651.0736373719</v>
      </c>
      <c r="H137" s="317">
        <f t="shared" si="7"/>
        <v>186028.37441509683</v>
      </c>
      <c r="I137" s="510">
        <v>229808.83346841513</v>
      </c>
      <c r="J137" s="233">
        <f>VLOOKUP(B137,Synthèse!$B$6:$O$314,12,FALSE)</f>
        <v>190177.96927858959</v>
      </c>
      <c r="K137" s="317">
        <f t="shared" si="8"/>
        <v>-39630.864189825545</v>
      </c>
    </row>
    <row r="138" spans="1:11" s="514" customFormat="1" ht="15" x14ac:dyDescent="0.25">
      <c r="A138" s="151">
        <v>5628</v>
      </c>
      <c r="B138" s="508" t="s">
        <v>255</v>
      </c>
      <c r="C138" s="510">
        <v>464632.67111887527</v>
      </c>
      <c r="D138" s="312">
        <f>VLOOKUP(B138,Synthèse!$B$6:$O$314,5,FALSE)</f>
        <v>477016.25190432847</v>
      </c>
      <c r="E138" s="317">
        <f t="shared" si="6"/>
        <v>12383.580785453203</v>
      </c>
      <c r="F138" s="509">
        <v>399367.5932823898</v>
      </c>
      <c r="G138" s="233">
        <f>VLOOKUP(B138,Synthèse!$B$6:$O$314,14,FALSE)</f>
        <v>422803.95807461668</v>
      </c>
      <c r="H138" s="317">
        <f t="shared" si="7"/>
        <v>23436.364792226872</v>
      </c>
      <c r="I138" s="510">
        <v>58676.608613539516</v>
      </c>
      <c r="J138" s="233">
        <f>VLOOKUP(B138,Synthèse!$B$6:$O$314,12,FALSE)</f>
        <v>64177.219712436286</v>
      </c>
      <c r="K138" s="317">
        <f t="shared" si="8"/>
        <v>5500.6110988967703</v>
      </c>
    </row>
    <row r="139" spans="1:11" s="514" customFormat="1" ht="15" x14ac:dyDescent="0.25">
      <c r="A139" s="151">
        <v>5629</v>
      </c>
      <c r="B139" s="508" t="s">
        <v>151</v>
      </c>
      <c r="C139" s="510">
        <v>136516.82546011946</v>
      </c>
      <c r="D139" s="312">
        <f>VLOOKUP(B139,Synthèse!$B$6:$O$314,5,FALSE)</f>
        <v>117158.06023827582</v>
      </c>
      <c r="E139" s="317">
        <f t="shared" si="6"/>
        <v>-19358.765221843641</v>
      </c>
      <c r="F139" s="509">
        <v>38846.368142454579</v>
      </c>
      <c r="G139" s="233">
        <f>VLOOKUP(B139,Synthèse!$B$6:$O$314,14,FALSE)</f>
        <v>76543.733535842039</v>
      </c>
      <c r="H139" s="317">
        <f t="shared" si="7"/>
        <v>37697.365393387459</v>
      </c>
      <c r="I139" s="510">
        <v>22160.762845757705</v>
      </c>
      <c r="J139" s="233">
        <f>VLOOKUP(B139,Synthèse!$B$6:$O$314,12,FALSE)</f>
        <v>26010.805700720626</v>
      </c>
      <c r="K139" s="317">
        <f t="shared" si="8"/>
        <v>3850.0428549629214</v>
      </c>
    </row>
    <row r="140" spans="1:11" s="514" customFormat="1" ht="15" x14ac:dyDescent="0.25">
      <c r="A140" s="151">
        <v>5631</v>
      </c>
      <c r="B140" s="508" t="s">
        <v>152</v>
      </c>
      <c r="C140" s="510">
        <v>955185.09814901021</v>
      </c>
      <c r="D140" s="312">
        <f>VLOOKUP(B140,Synthèse!$B$6:$O$314,5,FALSE)</f>
        <v>886394.91332080564</v>
      </c>
      <c r="E140" s="317">
        <f t="shared" si="6"/>
        <v>-68790.184828204568</v>
      </c>
      <c r="F140" s="509">
        <v>795417.00636214821</v>
      </c>
      <c r="G140" s="233">
        <f>VLOOKUP(B140,Synthèse!$B$6:$O$314,14,FALSE)</f>
        <v>740772.71820228873</v>
      </c>
      <c r="H140" s="317">
        <f t="shared" si="7"/>
        <v>-54644.288159859483</v>
      </c>
      <c r="I140" s="510">
        <v>119957.51758542386</v>
      </c>
      <c r="J140" s="233">
        <f>VLOOKUP(B140,Synthèse!$B$6:$O$314,12,FALSE)</f>
        <v>117097.59939795472</v>
      </c>
      <c r="K140" s="317">
        <f t="shared" si="8"/>
        <v>-2859.9181874691421</v>
      </c>
    </row>
    <row r="141" spans="1:11" s="514" customFormat="1" ht="15" x14ac:dyDescent="0.25">
      <c r="A141" s="151">
        <v>5632</v>
      </c>
      <c r="B141" s="508" t="s">
        <v>153</v>
      </c>
      <c r="C141" s="510">
        <v>1299188.740080622</v>
      </c>
      <c r="D141" s="312">
        <f>VLOOKUP(B141,Synthèse!$B$6:$O$314,5,FALSE)</f>
        <v>1245757.0991123724</v>
      </c>
      <c r="E141" s="317">
        <f t="shared" si="6"/>
        <v>-53431.640968249645</v>
      </c>
      <c r="F141" s="509">
        <v>870643.79999840318</v>
      </c>
      <c r="G141" s="233">
        <f>VLOOKUP(B141,Synthèse!$B$6:$O$314,14,FALSE)</f>
        <v>886293.06992188608</v>
      </c>
      <c r="H141" s="317">
        <f t="shared" si="7"/>
        <v>15649.269923482905</v>
      </c>
      <c r="I141" s="510">
        <v>216616.3189988659</v>
      </c>
      <c r="J141" s="233">
        <f>VLOOKUP(B141,Synthèse!$B$6:$O$314,12,FALSE)</f>
        <v>230777.23236991628</v>
      </c>
      <c r="K141" s="317">
        <f t="shared" si="8"/>
        <v>14160.913371050381</v>
      </c>
    </row>
    <row r="142" spans="1:11" s="514" customFormat="1" ht="15" x14ac:dyDescent="0.25">
      <c r="A142" s="151">
        <v>5633</v>
      </c>
      <c r="B142" s="508" t="s">
        <v>154</v>
      </c>
      <c r="C142" s="510">
        <v>2471363.9349582908</v>
      </c>
      <c r="D142" s="312">
        <f>VLOOKUP(B142,Synthèse!$B$6:$O$314,5,FALSE)</f>
        <v>2988302.4791140342</v>
      </c>
      <c r="E142" s="317">
        <f t="shared" si="6"/>
        <v>516938.54415574344</v>
      </c>
      <c r="F142" s="509">
        <v>1497031.3918139338</v>
      </c>
      <c r="G142" s="233">
        <f>VLOOKUP(B142,Synthèse!$B$6:$O$314,14,FALSE)</f>
        <v>1487141.635722724</v>
      </c>
      <c r="H142" s="317">
        <f t="shared" si="7"/>
        <v>-9889.756091209827</v>
      </c>
      <c r="I142" s="510">
        <v>413211.50852980377</v>
      </c>
      <c r="J142" s="233">
        <f>VLOOKUP(B142,Synthèse!$B$6:$O$314,12,FALSE)</f>
        <v>418606.25339296786</v>
      </c>
      <c r="K142" s="317">
        <f t="shared" si="8"/>
        <v>5394.7448631640873</v>
      </c>
    </row>
    <row r="143" spans="1:11" s="514" customFormat="1" ht="15" x14ac:dyDescent="0.25">
      <c r="A143" s="151">
        <v>5634</v>
      </c>
      <c r="B143" s="508" t="s">
        <v>155</v>
      </c>
      <c r="C143" s="510">
        <v>3708959.8704315969</v>
      </c>
      <c r="D143" s="312">
        <f>VLOOKUP(B143,Synthèse!$B$6:$O$314,5,FALSE)</f>
        <v>2822825.6311324951</v>
      </c>
      <c r="E143" s="317">
        <f t="shared" si="6"/>
        <v>-886134.23929910176</v>
      </c>
      <c r="F143" s="509">
        <v>2653795.227617221</v>
      </c>
      <c r="G143" s="233">
        <f>VLOOKUP(B143,Synthèse!$B$6:$O$314,14,FALSE)</f>
        <v>2264957.5424116943</v>
      </c>
      <c r="H143" s="317">
        <f t="shared" si="7"/>
        <v>-388837.68520552665</v>
      </c>
      <c r="I143" s="510">
        <v>481578.0727708948</v>
      </c>
      <c r="J143" s="233">
        <f>VLOOKUP(B143,Synthèse!$B$6:$O$314,12,FALSE)</f>
        <v>471217.48340302659</v>
      </c>
      <c r="K143" s="317">
        <f t="shared" si="8"/>
        <v>-10360.589367868204</v>
      </c>
    </row>
    <row r="144" spans="1:11" s="514" customFormat="1" ht="15" x14ac:dyDescent="0.25">
      <c r="A144" s="151">
        <v>5635</v>
      </c>
      <c r="B144" s="508" t="s">
        <v>156</v>
      </c>
      <c r="C144" s="510">
        <v>7932836.9168787543</v>
      </c>
      <c r="D144" s="312">
        <f>VLOOKUP(B144,Synthèse!$B$6:$O$314,5,FALSE)</f>
        <v>12008536.787417224</v>
      </c>
      <c r="E144" s="317">
        <f t="shared" si="6"/>
        <v>4075699.8705384694</v>
      </c>
      <c r="F144" s="509">
        <v>-4646237.8891604524</v>
      </c>
      <c r="G144" s="233">
        <f>VLOOKUP(B144,Synthèse!$B$6:$O$314,14,FALSE)</f>
        <v>3145690.6310501425</v>
      </c>
      <c r="H144" s="317">
        <f t="shared" si="7"/>
        <v>7791928.5202105949</v>
      </c>
      <c r="I144" s="510">
        <v>564353.62202833127</v>
      </c>
      <c r="J144" s="233">
        <f>VLOOKUP(B144,Synthèse!$B$6:$O$314,12,FALSE)</f>
        <v>800805.74783053342</v>
      </c>
      <c r="K144" s="317">
        <f t="shared" si="8"/>
        <v>236452.12580220215</v>
      </c>
    </row>
    <row r="145" spans="1:11" s="514" customFormat="1" ht="15" x14ac:dyDescent="0.25">
      <c r="A145" s="151">
        <v>5636</v>
      </c>
      <c r="B145" s="508" t="s">
        <v>157</v>
      </c>
      <c r="C145" s="510">
        <v>4020954.7993508605</v>
      </c>
      <c r="D145" s="312">
        <f>VLOOKUP(B145,Synthèse!$B$6:$O$314,5,FALSE)</f>
        <v>3363910.1128994189</v>
      </c>
      <c r="E145" s="317">
        <f t="shared" si="6"/>
        <v>-657044.68645144161</v>
      </c>
      <c r="F145" s="509">
        <v>2525400.9854429429</v>
      </c>
      <c r="G145" s="233">
        <f>VLOOKUP(B145,Synthèse!$B$6:$O$314,14,FALSE)</f>
        <v>2484832.0255770329</v>
      </c>
      <c r="H145" s="317">
        <f t="shared" si="7"/>
        <v>-40568.959865910001</v>
      </c>
      <c r="I145" s="510">
        <v>457373.0304780422</v>
      </c>
      <c r="J145" s="233">
        <f>VLOOKUP(B145,Synthèse!$B$6:$O$314,12,FALSE)</f>
        <v>459490.78825957514</v>
      </c>
      <c r="K145" s="317">
        <f t="shared" si="8"/>
        <v>2117.7577815329423</v>
      </c>
    </row>
    <row r="146" spans="1:11" s="514" customFormat="1" ht="15" x14ac:dyDescent="0.25">
      <c r="A146" s="151">
        <v>5637</v>
      </c>
      <c r="B146" s="508" t="s">
        <v>158</v>
      </c>
      <c r="C146" s="510">
        <v>683348.97952851024</v>
      </c>
      <c r="D146" s="312">
        <f>VLOOKUP(B146,Synthèse!$B$6:$O$314,5,FALSE)</f>
        <v>735403.05191350612</v>
      </c>
      <c r="E146" s="317">
        <f t="shared" si="6"/>
        <v>52054.072384995874</v>
      </c>
      <c r="F146" s="509">
        <v>176493.40408633466</v>
      </c>
      <c r="G146" s="233">
        <f>VLOOKUP(B146,Synthèse!$B$6:$O$314,14,FALSE)</f>
        <v>357499.27422593348</v>
      </c>
      <c r="H146" s="317">
        <f t="shared" si="7"/>
        <v>181005.87013959882</v>
      </c>
      <c r="I146" s="510">
        <v>112963.39869874991</v>
      </c>
      <c r="J146" s="233">
        <f>VLOOKUP(B146,Synthèse!$B$6:$O$314,12,FALSE)</f>
        <v>125325.20071708134</v>
      </c>
      <c r="K146" s="317">
        <f t="shared" si="8"/>
        <v>12361.802018331437</v>
      </c>
    </row>
    <row r="147" spans="1:11" s="514" customFormat="1" ht="15" x14ac:dyDescent="0.25">
      <c r="A147" s="151">
        <v>5638</v>
      </c>
      <c r="B147" s="508" t="s">
        <v>159</v>
      </c>
      <c r="C147" s="510">
        <v>4202342.1010028943</v>
      </c>
      <c r="D147" s="312">
        <f>VLOOKUP(B147,Synthèse!$B$6:$O$314,5,FALSE)</f>
        <v>3294376.0662645623</v>
      </c>
      <c r="E147" s="317">
        <f t="shared" si="6"/>
        <v>-907966.03473833203</v>
      </c>
      <c r="F147" s="509">
        <v>2111030.9284986667</v>
      </c>
      <c r="G147" s="233">
        <f>VLOOKUP(B147,Synthèse!$B$6:$O$314,14,FALSE)</f>
        <v>1614610.5544790584</v>
      </c>
      <c r="H147" s="317">
        <f t="shared" si="7"/>
        <v>-496420.37401960837</v>
      </c>
      <c r="I147" s="510">
        <v>422636.37763192179</v>
      </c>
      <c r="J147" s="233">
        <f>VLOOKUP(B147,Synthèse!$B$6:$O$314,12,FALSE)</f>
        <v>409385.0592617027</v>
      </c>
      <c r="K147" s="317">
        <f t="shared" si="8"/>
        <v>-13251.318370219087</v>
      </c>
    </row>
    <row r="148" spans="1:11" s="514" customFormat="1" ht="15" x14ac:dyDescent="0.25">
      <c r="A148" s="151">
        <v>5639</v>
      </c>
      <c r="B148" s="508" t="s">
        <v>160</v>
      </c>
      <c r="C148" s="510">
        <v>919673.89108547242</v>
      </c>
      <c r="D148" s="312">
        <f>VLOOKUP(B148,Synthèse!$B$6:$O$314,5,FALSE)</f>
        <v>768982.02563257376</v>
      </c>
      <c r="E148" s="317">
        <f t="shared" si="6"/>
        <v>-150691.86545289867</v>
      </c>
      <c r="F148" s="509">
        <v>808660.13541051687</v>
      </c>
      <c r="G148" s="233">
        <f>VLOOKUP(B148,Synthèse!$B$6:$O$314,14,FALSE)</f>
        <v>772027.94395391282</v>
      </c>
      <c r="H148" s="317">
        <f t="shared" si="7"/>
        <v>-36632.19145660405</v>
      </c>
      <c r="I148" s="510">
        <v>124736.08489518455</v>
      </c>
      <c r="J148" s="233">
        <f>VLOOKUP(B148,Synthèse!$B$6:$O$314,12,FALSE)</f>
        <v>127032.86159355272</v>
      </c>
      <c r="K148" s="317">
        <f t="shared" si="8"/>
        <v>2296.7766983681649</v>
      </c>
    </row>
    <row r="149" spans="1:11" s="514" customFormat="1" ht="15" x14ac:dyDescent="0.25">
      <c r="A149" s="151">
        <v>5640</v>
      </c>
      <c r="B149" s="508" t="s">
        <v>161</v>
      </c>
      <c r="C149" s="510">
        <v>1437475.5599930577</v>
      </c>
      <c r="D149" s="312">
        <f>VLOOKUP(B149,Synthèse!$B$6:$O$314,5,FALSE)</f>
        <v>1373333.9867743717</v>
      </c>
      <c r="E149" s="317">
        <f t="shared" si="6"/>
        <v>-64141.57321868604</v>
      </c>
      <c r="F149" s="509">
        <v>993528.82671797858</v>
      </c>
      <c r="G149" s="233">
        <f>VLOOKUP(B149,Synthèse!$B$6:$O$314,14,FALSE)</f>
        <v>1003431.1276830628</v>
      </c>
      <c r="H149" s="317">
        <f t="shared" si="7"/>
        <v>9902.3009650842287</v>
      </c>
      <c r="I149" s="510">
        <v>70529.152713174437</v>
      </c>
      <c r="J149" s="233">
        <f>VLOOKUP(B149,Synthèse!$B$6:$O$314,12,FALSE)</f>
        <v>66992.137223709113</v>
      </c>
      <c r="K149" s="317">
        <f t="shared" si="8"/>
        <v>-3537.0154894653242</v>
      </c>
    </row>
    <row r="150" spans="1:11" s="514" customFormat="1" ht="15" x14ac:dyDescent="0.25">
      <c r="A150" s="151">
        <v>5642</v>
      </c>
      <c r="B150" s="508" t="s">
        <v>162</v>
      </c>
      <c r="C150" s="510">
        <v>15274369.391250851</v>
      </c>
      <c r="D150" s="312">
        <f>VLOOKUP(B150,Synthèse!$B$6:$O$314,5,FALSE)</f>
        <v>13917012.989499314</v>
      </c>
      <c r="E150" s="317">
        <f t="shared" si="6"/>
        <v>-1357356.4017515369</v>
      </c>
      <c r="F150" s="509">
        <v>2721227.3586645508</v>
      </c>
      <c r="G150" s="233">
        <f>VLOOKUP(B150,Synthèse!$B$6:$O$314,14,FALSE)</f>
        <v>3063016.8293220298</v>
      </c>
      <c r="H150" s="317">
        <f t="shared" si="7"/>
        <v>341789.47065747902</v>
      </c>
      <c r="I150" s="510">
        <v>966589.42455338803</v>
      </c>
      <c r="J150" s="233">
        <f>VLOOKUP(B150,Synthèse!$B$6:$O$314,12,FALSE)</f>
        <v>925052.93752430787</v>
      </c>
      <c r="K150" s="317">
        <f t="shared" si="8"/>
        <v>-41536.487029080163</v>
      </c>
    </row>
    <row r="151" spans="1:11" s="514" customFormat="1" ht="15" x14ac:dyDescent="0.25">
      <c r="A151" s="151">
        <v>5643</v>
      </c>
      <c r="B151" s="508" t="s">
        <v>163</v>
      </c>
      <c r="C151" s="510">
        <v>4469239.1626944421</v>
      </c>
      <c r="D151" s="312">
        <f>VLOOKUP(B151,Synthèse!$B$6:$O$314,5,FALSE)</f>
        <v>4136413.5929758837</v>
      </c>
      <c r="E151" s="317">
        <f t="shared" si="6"/>
        <v>-332825.56971855834</v>
      </c>
      <c r="F151" s="509">
        <v>3205072.2066733767</v>
      </c>
      <c r="G151" s="233">
        <f>VLOOKUP(B151,Synthèse!$B$6:$O$314,14,FALSE)</f>
        <v>3073696.7199277328</v>
      </c>
      <c r="H151" s="317">
        <f t="shared" si="7"/>
        <v>-131375.4867456439</v>
      </c>
      <c r="I151" s="510">
        <v>340247.59777373844</v>
      </c>
      <c r="J151" s="233">
        <f>VLOOKUP(B151,Synthèse!$B$6:$O$314,12,FALSE)</f>
        <v>308154.81288073055</v>
      </c>
      <c r="K151" s="317">
        <f t="shared" si="8"/>
        <v>-32092.784893007891</v>
      </c>
    </row>
    <row r="152" spans="1:11" s="514" customFormat="1" ht="15" x14ac:dyDescent="0.25">
      <c r="A152" s="151">
        <v>5644</v>
      </c>
      <c r="B152" s="508" t="s">
        <v>311</v>
      </c>
      <c r="C152" s="510">
        <v>249968.21732384383</v>
      </c>
      <c r="D152" s="312">
        <f>VLOOKUP(B152,Synthèse!$B$6:$O$314,5,FALSE)</f>
        <v>230874.04181697263</v>
      </c>
      <c r="E152" s="317">
        <f t="shared" si="6"/>
        <v>-19094.175506871194</v>
      </c>
      <c r="F152" s="509">
        <v>63134.33740554555</v>
      </c>
      <c r="G152" s="233">
        <f>VLOOKUP(B152,Synthèse!$B$6:$O$314,14,FALSE)</f>
        <v>117346.69132022743</v>
      </c>
      <c r="H152" s="317">
        <f t="shared" si="7"/>
        <v>54212.35391468188</v>
      </c>
      <c r="I152" s="510">
        <v>42620.284032609576</v>
      </c>
      <c r="J152" s="233">
        <f>VLOOKUP(B152,Synthèse!$B$6:$O$314,12,FALSE)</f>
        <v>48630.344154196064</v>
      </c>
      <c r="K152" s="317">
        <f t="shared" si="8"/>
        <v>6010.0601215864881</v>
      </c>
    </row>
    <row r="153" spans="1:11" s="514" customFormat="1" ht="15" x14ac:dyDescent="0.25">
      <c r="A153" s="151">
        <v>5645</v>
      </c>
      <c r="B153" s="508" t="s">
        <v>312</v>
      </c>
      <c r="C153" s="510">
        <v>488615.67268868425</v>
      </c>
      <c r="D153" s="312">
        <f>VLOOKUP(B153,Synthèse!$B$6:$O$314,5,FALSE)</f>
        <v>527711.09225883393</v>
      </c>
      <c r="E153" s="317">
        <f t="shared" si="6"/>
        <v>39095.419570149679</v>
      </c>
      <c r="F153" s="509">
        <v>430249.73212453467</v>
      </c>
      <c r="G153" s="233">
        <f>VLOOKUP(B153,Synthèse!$B$6:$O$314,14,FALSE)</f>
        <v>396976.49753615039</v>
      </c>
      <c r="H153" s="317">
        <f t="shared" si="7"/>
        <v>-33273.234588384279</v>
      </c>
      <c r="I153" s="510">
        <v>70056.448804935411</v>
      </c>
      <c r="J153" s="233">
        <f>VLOOKUP(B153,Synthèse!$B$6:$O$314,12,FALSE)</f>
        <v>73627.886065907631</v>
      </c>
      <c r="K153" s="317">
        <f t="shared" si="8"/>
        <v>3571.4372609722195</v>
      </c>
    </row>
    <row r="154" spans="1:11" s="514" customFormat="1" ht="15" x14ac:dyDescent="0.25">
      <c r="A154" s="151">
        <v>5646</v>
      </c>
      <c r="B154" s="508" t="s">
        <v>313</v>
      </c>
      <c r="C154" s="510">
        <v>11539181.732813671</v>
      </c>
      <c r="D154" s="312">
        <f>VLOOKUP(B154,Synthèse!$B$6:$O$314,5,FALSE)</f>
        <v>13375686.068332639</v>
      </c>
      <c r="E154" s="317">
        <f t="shared" si="6"/>
        <v>1836504.3355189674</v>
      </c>
      <c r="F154" s="509">
        <v>7130966.0201632278</v>
      </c>
      <c r="G154" s="233">
        <f>VLOOKUP(B154,Synthèse!$B$6:$O$314,14,FALSE)</f>
        <v>8044388.8778055096</v>
      </c>
      <c r="H154" s="317">
        <f t="shared" si="7"/>
        <v>913422.8576422818</v>
      </c>
      <c r="I154" s="510">
        <v>611908.25465096906</v>
      </c>
      <c r="J154" s="233">
        <f>VLOOKUP(B154,Synthèse!$B$6:$O$314,12,FALSE)</f>
        <v>635594.96982406371</v>
      </c>
      <c r="K154" s="317">
        <f t="shared" si="8"/>
        <v>23686.71517309465</v>
      </c>
    </row>
    <row r="155" spans="1:11" s="514" customFormat="1" ht="15" x14ac:dyDescent="0.25">
      <c r="A155" s="151">
        <v>5648</v>
      </c>
      <c r="B155" s="508" t="s">
        <v>314</v>
      </c>
      <c r="C155" s="510">
        <v>9322564.7148221787</v>
      </c>
      <c r="D155" s="312">
        <f>VLOOKUP(B155,Synthèse!$B$6:$O$314,5,FALSE)</f>
        <v>8827102.0457805265</v>
      </c>
      <c r="E155" s="317">
        <f t="shared" si="6"/>
        <v>-495462.66904165223</v>
      </c>
      <c r="F155" s="509">
        <v>5636892.6649623057</v>
      </c>
      <c r="G155" s="233">
        <f>VLOOKUP(B155,Synthèse!$B$6:$O$314,14,FALSE)</f>
        <v>5832991.1409827136</v>
      </c>
      <c r="H155" s="317">
        <f t="shared" si="7"/>
        <v>196098.47602040786</v>
      </c>
      <c r="I155" s="510">
        <v>477116.49243640818</v>
      </c>
      <c r="J155" s="233">
        <f>VLOOKUP(B155,Synthèse!$B$6:$O$314,12,FALSE)</f>
        <v>465726.12930869829</v>
      </c>
      <c r="K155" s="317">
        <f t="shared" si="8"/>
        <v>-11390.36312770989</v>
      </c>
    </row>
    <row r="156" spans="1:11" s="514" customFormat="1" ht="15" x14ac:dyDescent="0.25">
      <c r="A156" s="151">
        <v>5649</v>
      </c>
      <c r="B156" s="508" t="s">
        <v>315</v>
      </c>
      <c r="C156" s="510">
        <v>2334052.0018999754</v>
      </c>
      <c r="D156" s="312">
        <f>VLOOKUP(B156,Synthèse!$B$6:$O$314,5,FALSE)</f>
        <v>6311179.0340569997</v>
      </c>
      <c r="E156" s="317">
        <f t="shared" si="6"/>
        <v>3977127.0321570244</v>
      </c>
      <c r="F156" s="509">
        <v>1796487.8549454142</v>
      </c>
      <c r="G156" s="233">
        <f>VLOOKUP(B156,Synthèse!$B$6:$O$314,14,FALSE)</f>
        <v>3698138.1396239004</v>
      </c>
      <c r="H156" s="317">
        <f t="shared" si="7"/>
        <v>1901650.2846784862</v>
      </c>
      <c r="I156" s="510">
        <v>151091.81994899511</v>
      </c>
      <c r="J156" s="233">
        <f>VLOOKUP(B156,Synthèse!$B$6:$O$314,12,FALSE)</f>
        <v>253194.04440243533</v>
      </c>
      <c r="K156" s="317">
        <f t="shared" si="8"/>
        <v>102102.22445344023</v>
      </c>
    </row>
    <row r="157" spans="1:11" s="514" customFormat="1" ht="15" x14ac:dyDescent="0.25">
      <c r="A157" s="151">
        <v>5650</v>
      </c>
      <c r="B157" s="508" t="s">
        <v>316</v>
      </c>
      <c r="C157" s="510">
        <v>8622754.8746545333</v>
      </c>
      <c r="D157" s="312">
        <f>VLOOKUP(B157,Synthèse!$B$6:$O$314,5,FALSE)</f>
        <v>12989857.617240502</v>
      </c>
      <c r="E157" s="317">
        <f t="shared" si="6"/>
        <v>4367102.7425859682</v>
      </c>
      <c r="F157" s="509">
        <v>262252.75518798688</v>
      </c>
      <c r="G157" s="233">
        <f>VLOOKUP(B157,Synthèse!$B$6:$O$314,14,FALSE)</f>
        <v>563663.11347378395</v>
      </c>
      <c r="H157" s="317">
        <f t="shared" si="7"/>
        <v>301410.35828579706</v>
      </c>
      <c r="I157" s="510">
        <v>260577.34872544286</v>
      </c>
      <c r="J157" s="233">
        <f>VLOOKUP(B157,Synthèse!$B$6:$O$314,12,FALSE)</f>
        <v>91275.772846408538</v>
      </c>
      <c r="K157" s="317">
        <f t="shared" si="8"/>
        <v>-169301.57587903432</v>
      </c>
    </row>
    <row r="158" spans="1:11" s="514" customFormat="1" ht="15" x14ac:dyDescent="0.25">
      <c r="A158" s="151">
        <v>5651</v>
      </c>
      <c r="B158" s="508" t="s">
        <v>317</v>
      </c>
      <c r="C158" s="510">
        <v>989468.35427143727</v>
      </c>
      <c r="D158" s="312">
        <f>VLOOKUP(B158,Synthèse!$B$6:$O$314,5,FALSE)</f>
        <v>1079431.7399279783</v>
      </c>
      <c r="E158" s="317">
        <f t="shared" si="6"/>
        <v>89963.385656540981</v>
      </c>
      <c r="F158" s="509">
        <v>900504.33566534787</v>
      </c>
      <c r="G158" s="233">
        <f>VLOOKUP(B158,Synthèse!$B$6:$O$314,14,FALSE)</f>
        <v>956230.19922465575</v>
      </c>
      <c r="H158" s="317">
        <f t="shared" si="7"/>
        <v>55725.86355930788</v>
      </c>
      <c r="I158" s="510">
        <v>66702.539167711817</v>
      </c>
      <c r="J158" s="233">
        <f>VLOOKUP(B158,Synthèse!$B$6:$O$314,12,FALSE)</f>
        <v>65892.614499052594</v>
      </c>
      <c r="K158" s="317">
        <f t="shared" si="8"/>
        <v>-809.92466865922324</v>
      </c>
    </row>
    <row r="159" spans="1:11" s="514" customFormat="1" ht="15" x14ac:dyDescent="0.25">
      <c r="A159" s="151">
        <v>5652</v>
      </c>
      <c r="B159" s="508" t="s">
        <v>198</v>
      </c>
      <c r="C159" s="510">
        <v>525349.52115889383</v>
      </c>
      <c r="D159" s="312">
        <f>VLOOKUP(B159,Synthèse!$B$6:$O$314,5,FALSE)</f>
        <v>431278.66688005638</v>
      </c>
      <c r="E159" s="317">
        <f t="shared" si="6"/>
        <v>-94070.854278837447</v>
      </c>
      <c r="F159" s="509">
        <v>525764.2173453205</v>
      </c>
      <c r="G159" s="233">
        <f>VLOOKUP(B159,Synthèse!$B$6:$O$314,14,FALSE)</f>
        <v>309794.29475091037</v>
      </c>
      <c r="H159" s="317">
        <f t="shared" si="7"/>
        <v>-215969.92259441013</v>
      </c>
      <c r="I159" s="510">
        <v>89687.182845764415</v>
      </c>
      <c r="J159" s="233">
        <f>VLOOKUP(B159,Synthèse!$B$6:$O$314,12,FALSE)</f>
        <v>78558.918097524744</v>
      </c>
      <c r="K159" s="317">
        <f t="shared" si="8"/>
        <v>-11128.264748239671</v>
      </c>
    </row>
    <row r="160" spans="1:11" s="514" customFormat="1" ht="15" x14ac:dyDescent="0.25">
      <c r="A160" s="151">
        <v>5653</v>
      </c>
      <c r="B160" s="508" t="s">
        <v>199</v>
      </c>
      <c r="C160" s="510">
        <v>1412242.1400244189</v>
      </c>
      <c r="D160" s="312">
        <f>VLOOKUP(B160,Synthèse!$B$6:$O$314,5,FALSE)</f>
        <v>1566833.4273874885</v>
      </c>
      <c r="E160" s="317">
        <f t="shared" si="6"/>
        <v>154591.2873630696</v>
      </c>
      <c r="F160" s="509">
        <v>1139346.9615264318</v>
      </c>
      <c r="G160" s="233">
        <f>VLOOKUP(B160,Synthèse!$B$6:$O$314,14,FALSE)</f>
        <v>1210343.8109818723</v>
      </c>
      <c r="H160" s="317">
        <f t="shared" si="7"/>
        <v>70996.849455440417</v>
      </c>
      <c r="I160" s="510">
        <v>155081.57323461949</v>
      </c>
      <c r="J160" s="233">
        <f>VLOOKUP(B160,Synthèse!$B$6:$O$314,12,FALSE)</f>
        <v>158247.13723399537</v>
      </c>
      <c r="K160" s="317">
        <f t="shared" si="8"/>
        <v>3165.5639993758814</v>
      </c>
    </row>
    <row r="161" spans="1:11" s="514" customFormat="1" ht="15" x14ac:dyDescent="0.25">
      <c r="A161" s="151">
        <v>5654</v>
      </c>
      <c r="B161" s="508" t="s">
        <v>200</v>
      </c>
      <c r="C161" s="510">
        <v>351828.03986292146</v>
      </c>
      <c r="D161" s="312">
        <f>VLOOKUP(B161,Synthèse!$B$6:$O$314,5,FALSE)</f>
        <v>341293.38951403101</v>
      </c>
      <c r="E161" s="317">
        <f t="shared" si="6"/>
        <v>-10534.650348890456</v>
      </c>
      <c r="F161" s="509">
        <v>242850.77685960883</v>
      </c>
      <c r="G161" s="233">
        <f>VLOOKUP(B161,Synthèse!$B$6:$O$314,14,FALSE)</f>
        <v>118257.64736011825</v>
      </c>
      <c r="H161" s="317">
        <f t="shared" si="7"/>
        <v>-124593.12949949058</v>
      </c>
      <c r="I161" s="510">
        <v>61136.305339714891</v>
      </c>
      <c r="J161" s="233">
        <f>VLOOKUP(B161,Synthèse!$B$6:$O$314,12,FALSE)</f>
        <v>58314.800815456081</v>
      </c>
      <c r="K161" s="317">
        <f t="shared" si="8"/>
        <v>-2821.5045242588094</v>
      </c>
    </row>
    <row r="162" spans="1:11" s="514" customFormat="1" ht="15" x14ac:dyDescent="0.25">
      <c r="A162" s="151">
        <v>5655</v>
      </c>
      <c r="B162" s="508" t="s">
        <v>201</v>
      </c>
      <c r="C162" s="510">
        <v>1862282.6326480231</v>
      </c>
      <c r="D162" s="312">
        <f>VLOOKUP(B162,Synthèse!$B$6:$O$314,5,FALSE)</f>
        <v>1782540.5577110946</v>
      </c>
      <c r="E162" s="317">
        <f t="shared" si="6"/>
        <v>-79742.07493692846</v>
      </c>
      <c r="F162" s="509">
        <v>1471399.519067945</v>
      </c>
      <c r="G162" s="233">
        <f>VLOOKUP(B162,Synthèse!$B$6:$O$314,14,FALSE)</f>
        <v>1452042.7865031902</v>
      </c>
      <c r="H162" s="317">
        <f t="shared" si="7"/>
        <v>-19356.732564754784</v>
      </c>
      <c r="I162" s="510">
        <v>232496.37078016269</v>
      </c>
      <c r="J162" s="233">
        <f>VLOOKUP(B162,Synthèse!$B$6:$O$314,12,FALSE)</f>
        <v>238566.89664667507</v>
      </c>
      <c r="K162" s="317">
        <f t="shared" si="8"/>
        <v>6070.5258665123838</v>
      </c>
    </row>
    <row r="163" spans="1:11" s="514" customFormat="1" ht="15" x14ac:dyDescent="0.25">
      <c r="A163" s="151">
        <v>5661</v>
      </c>
      <c r="B163" s="508" t="s">
        <v>202</v>
      </c>
      <c r="C163" s="510">
        <v>172529.7539144317</v>
      </c>
      <c r="D163" s="312">
        <f>VLOOKUP(B163,Synthèse!$B$6:$O$314,5,FALSE)</f>
        <v>154515.82421717723</v>
      </c>
      <c r="E163" s="317">
        <f t="shared" si="6"/>
        <v>-18013.929697254469</v>
      </c>
      <c r="F163" s="509">
        <v>-27949.808643965735</v>
      </c>
      <c r="G163" s="233">
        <f>VLOOKUP(B163,Synthèse!$B$6:$O$314,14,FALSE)</f>
        <v>-20577.539730624358</v>
      </c>
      <c r="H163" s="317">
        <f t="shared" si="7"/>
        <v>7372.2689133413769</v>
      </c>
      <c r="I163" s="510">
        <v>32754.738088948256</v>
      </c>
      <c r="J163" s="233">
        <f>VLOOKUP(B163,Synthèse!$B$6:$O$314,12,FALSE)</f>
        <v>30648.821829394474</v>
      </c>
      <c r="K163" s="317">
        <f t="shared" si="8"/>
        <v>-2105.9162595537819</v>
      </c>
    </row>
    <row r="164" spans="1:11" s="514" customFormat="1" ht="15" x14ac:dyDescent="0.25">
      <c r="A164" s="151">
        <v>5663</v>
      </c>
      <c r="B164" s="508" t="s">
        <v>203</v>
      </c>
      <c r="C164" s="510">
        <v>88517.365356569033</v>
      </c>
      <c r="D164" s="312">
        <f>VLOOKUP(B164,Synthèse!$B$6:$O$314,5,FALSE)</f>
        <v>83667.040745368722</v>
      </c>
      <c r="E164" s="317">
        <f t="shared" si="6"/>
        <v>-4850.3246112003108</v>
      </c>
      <c r="F164" s="509">
        <v>-99236.472091728559</v>
      </c>
      <c r="G164" s="233">
        <f>VLOOKUP(B164,Synthèse!$B$6:$O$314,14,FALSE)</f>
        <v>-55517.963668418568</v>
      </c>
      <c r="H164" s="317">
        <f t="shared" si="7"/>
        <v>43718.508423309991</v>
      </c>
      <c r="I164" s="510">
        <v>16774.452173681959</v>
      </c>
      <c r="J164" s="233">
        <f>VLOOKUP(B164,Synthèse!$B$6:$O$314,12,FALSE)</f>
        <v>16324.020912128437</v>
      </c>
      <c r="K164" s="317">
        <f t="shared" si="8"/>
        <v>-450.43126155352184</v>
      </c>
    </row>
    <row r="165" spans="1:11" s="514" customFormat="1" ht="15" x14ac:dyDescent="0.25">
      <c r="A165" s="151">
        <v>5665</v>
      </c>
      <c r="B165" s="508" t="s">
        <v>97</v>
      </c>
      <c r="C165" s="510">
        <v>80580.348754171515</v>
      </c>
      <c r="D165" s="312">
        <f>VLOOKUP(B165,Synthèse!$B$6:$O$314,5,FALSE)</f>
        <v>118809.73548497618</v>
      </c>
      <c r="E165" s="317">
        <f t="shared" si="6"/>
        <v>38229.386730804661</v>
      </c>
      <c r="F165" s="509">
        <v>-51321.782527267053</v>
      </c>
      <c r="G165" s="233">
        <f>VLOOKUP(B165,Synthèse!$B$6:$O$314,14,FALSE)</f>
        <v>17499.094319115058</v>
      </c>
      <c r="H165" s="317">
        <f t="shared" si="7"/>
        <v>68820.876846382103</v>
      </c>
      <c r="I165" s="510">
        <v>14655.731102445276</v>
      </c>
      <c r="J165" s="233">
        <f>VLOOKUP(B165,Synthèse!$B$6:$O$314,12,FALSE)</f>
        <v>20996.806859748707</v>
      </c>
      <c r="K165" s="317">
        <f t="shared" si="8"/>
        <v>6341.0757573034316</v>
      </c>
    </row>
    <row r="166" spans="1:11" s="514" customFormat="1" ht="15" x14ac:dyDescent="0.25">
      <c r="A166" s="151">
        <v>5669</v>
      </c>
      <c r="B166" s="508" t="s">
        <v>98</v>
      </c>
      <c r="C166" s="510">
        <v>130193.63956479335</v>
      </c>
      <c r="D166" s="312">
        <f>VLOOKUP(B166,Synthèse!$B$6:$O$314,5,FALSE)</f>
        <v>155136.31552199807</v>
      </c>
      <c r="E166" s="317">
        <f t="shared" si="6"/>
        <v>24942.675957204716</v>
      </c>
      <c r="F166" s="509">
        <v>-42272.476263050936</v>
      </c>
      <c r="G166" s="233">
        <f>VLOOKUP(B166,Synthèse!$B$6:$O$314,14,FALSE)</f>
        <v>69759.576646810223</v>
      </c>
      <c r="H166" s="317">
        <f t="shared" si="7"/>
        <v>112032.05290986116</v>
      </c>
      <c r="I166" s="510">
        <v>24454.157367461328</v>
      </c>
      <c r="J166" s="233">
        <f>VLOOKUP(B166,Synthèse!$B$6:$O$314,12,FALSE)</f>
        <v>31324.98873898726</v>
      </c>
      <c r="K166" s="317">
        <f t="shared" si="8"/>
        <v>6870.8313715259319</v>
      </c>
    </row>
    <row r="167" spans="1:11" s="514" customFormat="1" ht="15" x14ac:dyDescent="0.25">
      <c r="A167" s="151">
        <v>5671</v>
      </c>
      <c r="B167" s="508" t="s">
        <v>99</v>
      </c>
      <c r="C167" s="510">
        <v>111320.32264062784</v>
      </c>
      <c r="D167" s="312">
        <f>VLOOKUP(B167,Synthèse!$B$6:$O$314,5,FALSE)</f>
        <v>110672.61733831752</v>
      </c>
      <c r="E167" s="317">
        <f t="shared" si="6"/>
        <v>-647.70530231032171</v>
      </c>
      <c r="F167" s="509">
        <v>-92817.534212933679</v>
      </c>
      <c r="G167" s="233">
        <f>VLOOKUP(B167,Synthèse!$B$6:$O$314,14,FALSE)</f>
        <v>-102442.76631566035</v>
      </c>
      <c r="H167" s="317">
        <f t="shared" si="7"/>
        <v>-9625.2321027266735</v>
      </c>
      <c r="I167" s="510">
        <v>19488.327977831843</v>
      </c>
      <c r="J167" s="233">
        <f>VLOOKUP(B167,Synthèse!$B$6:$O$314,12,FALSE)</f>
        <v>18329.169885709147</v>
      </c>
      <c r="K167" s="317">
        <f t="shared" si="8"/>
        <v>-1159.158092122696</v>
      </c>
    </row>
    <row r="168" spans="1:11" s="514" customFormat="1" ht="15" x14ac:dyDescent="0.25">
      <c r="A168" s="151">
        <v>5673</v>
      </c>
      <c r="B168" s="508" t="s">
        <v>100</v>
      </c>
      <c r="C168" s="510">
        <v>155769.09022446431</v>
      </c>
      <c r="D168" s="312">
        <f>VLOOKUP(B168,Synthèse!$B$6:$O$314,5,FALSE)</f>
        <v>157821.18486359189</v>
      </c>
      <c r="E168" s="317">
        <f t="shared" si="6"/>
        <v>2052.0946391275793</v>
      </c>
      <c r="F168" s="509">
        <v>-199348.53845896185</v>
      </c>
      <c r="G168" s="233">
        <f>VLOOKUP(B168,Synthèse!$B$6:$O$314,14,FALSE)</f>
        <v>-68518.646913664707</v>
      </c>
      <c r="H168" s="317">
        <f t="shared" si="7"/>
        <v>130829.89154529714</v>
      </c>
      <c r="I168" s="510">
        <v>29595.766827399406</v>
      </c>
      <c r="J168" s="233">
        <f>VLOOKUP(B168,Synthèse!$B$6:$O$314,12,FALSE)</f>
        <v>32418.248118205804</v>
      </c>
      <c r="K168" s="317">
        <f t="shared" si="8"/>
        <v>2822.4812908063977</v>
      </c>
    </row>
    <row r="169" spans="1:11" s="514" customFormat="1" ht="15" x14ac:dyDescent="0.25">
      <c r="A169" s="151">
        <v>5674</v>
      </c>
      <c r="B169" s="508" t="s">
        <v>101</v>
      </c>
      <c r="C169" s="510">
        <v>63962.829548243259</v>
      </c>
      <c r="D169" s="312">
        <f>VLOOKUP(B169,Synthèse!$B$6:$O$314,5,FALSE)</f>
        <v>84114.698331179039</v>
      </c>
      <c r="E169" s="317">
        <f t="shared" si="6"/>
        <v>20151.86878293578</v>
      </c>
      <c r="F169" s="509">
        <v>-43544.624584013072</v>
      </c>
      <c r="G169" s="233">
        <f>VLOOKUP(B169,Synthèse!$B$6:$O$314,14,FALSE)</f>
        <v>-58582.439582353021</v>
      </c>
      <c r="H169" s="317">
        <f t="shared" si="7"/>
        <v>-15037.814998339949</v>
      </c>
      <c r="I169" s="510">
        <v>10398.978488419158</v>
      </c>
      <c r="J169" s="233">
        <f>VLOOKUP(B169,Synthèse!$B$6:$O$314,12,FALSE)</f>
        <v>10381.814935472345</v>
      </c>
      <c r="K169" s="317">
        <f t="shared" si="8"/>
        <v>-17.16355294681307</v>
      </c>
    </row>
    <row r="170" spans="1:11" s="514" customFormat="1" ht="15" x14ac:dyDescent="0.25">
      <c r="A170" s="151">
        <v>5675</v>
      </c>
      <c r="B170" s="508" t="s">
        <v>102</v>
      </c>
      <c r="C170" s="510">
        <v>1733695.0063004743</v>
      </c>
      <c r="D170" s="312">
        <f>VLOOKUP(B170,Synthèse!$B$6:$O$314,5,FALSE)</f>
        <v>1572416.1674650915</v>
      </c>
      <c r="E170" s="317">
        <f t="shared" si="6"/>
        <v>-161278.83883538283</v>
      </c>
      <c r="F170" s="509">
        <v>-1921736.9959584398</v>
      </c>
      <c r="G170" s="233">
        <f>VLOOKUP(B170,Synthèse!$B$6:$O$314,14,FALSE)</f>
        <v>-2204676.0802837159</v>
      </c>
      <c r="H170" s="317">
        <f t="shared" si="7"/>
        <v>-282939.08432527608</v>
      </c>
      <c r="I170" s="510">
        <v>280066.51529478299</v>
      </c>
      <c r="J170" s="233">
        <f>VLOOKUP(B170,Synthèse!$B$6:$O$314,12,FALSE)</f>
        <v>290449.41249421524</v>
      </c>
      <c r="K170" s="317">
        <f t="shared" si="8"/>
        <v>10382.897199432249</v>
      </c>
    </row>
    <row r="171" spans="1:11" s="514" customFormat="1" ht="15" x14ac:dyDescent="0.25">
      <c r="A171" s="151">
        <v>5678</v>
      </c>
      <c r="B171" s="508" t="s">
        <v>103</v>
      </c>
      <c r="C171" s="510">
        <v>2198491.0695902724</v>
      </c>
      <c r="D171" s="312">
        <f>VLOOKUP(B171,Synthèse!$B$6:$O$314,5,FALSE)</f>
        <v>2346705.2817523354</v>
      </c>
      <c r="E171" s="317">
        <f t="shared" si="6"/>
        <v>148214.21216206299</v>
      </c>
      <c r="F171" s="509">
        <v>-4431731.7185770003</v>
      </c>
      <c r="G171" s="233">
        <f>VLOOKUP(B171,Synthèse!$B$6:$O$314,14,FALSE)</f>
        <v>-4569583.1189937145</v>
      </c>
      <c r="H171" s="317">
        <f t="shared" si="7"/>
        <v>-137851.40041671414</v>
      </c>
      <c r="I171" s="510">
        <v>360921.7130662839</v>
      </c>
      <c r="J171" s="233">
        <f>VLOOKUP(B171,Synthèse!$B$6:$O$314,12,FALSE)</f>
        <v>371378.52927916602</v>
      </c>
      <c r="K171" s="317">
        <f t="shared" si="8"/>
        <v>10456.816212882113</v>
      </c>
    </row>
    <row r="172" spans="1:11" s="514" customFormat="1" ht="15" x14ac:dyDescent="0.25">
      <c r="A172" s="151">
        <v>5680</v>
      </c>
      <c r="B172" s="508" t="s">
        <v>104</v>
      </c>
      <c r="C172" s="510">
        <v>127893.09698395421</v>
      </c>
      <c r="D172" s="312">
        <f>VLOOKUP(B172,Synthèse!$B$6:$O$314,5,FALSE)</f>
        <v>168656.99811826195</v>
      </c>
      <c r="E172" s="317">
        <f t="shared" si="6"/>
        <v>40763.901134307744</v>
      </c>
      <c r="F172" s="509">
        <v>-91300.912231910566</v>
      </c>
      <c r="G172" s="233">
        <f>VLOOKUP(B172,Synthèse!$B$6:$O$314,14,FALSE)</f>
        <v>-19399.038189524967</v>
      </c>
      <c r="H172" s="317">
        <f t="shared" si="7"/>
        <v>71901.874042385607</v>
      </c>
      <c r="I172" s="510">
        <v>20227.628320461528</v>
      </c>
      <c r="J172" s="233">
        <f>VLOOKUP(B172,Synthèse!$B$6:$O$314,12,FALSE)</f>
        <v>26216.088500480328</v>
      </c>
      <c r="K172" s="317">
        <f t="shared" si="8"/>
        <v>5988.4601800187993</v>
      </c>
    </row>
    <row r="173" spans="1:11" s="514" customFormat="1" ht="15" x14ac:dyDescent="0.25">
      <c r="A173" s="151">
        <v>5683</v>
      </c>
      <c r="B173" s="508" t="s">
        <v>105</v>
      </c>
      <c r="C173" s="510">
        <v>71811.515724973113</v>
      </c>
      <c r="D173" s="312">
        <f>VLOOKUP(B173,Synthèse!$B$6:$O$314,5,FALSE)</f>
        <v>69816.704189291631</v>
      </c>
      <c r="E173" s="317">
        <f t="shared" si="6"/>
        <v>-1994.8115356814815</v>
      </c>
      <c r="F173" s="509">
        <v>-61037.693963658901</v>
      </c>
      <c r="G173" s="233">
        <f>VLOOKUP(B173,Synthèse!$B$6:$O$314,14,FALSE)</f>
        <v>-28736.051951591973</v>
      </c>
      <c r="H173" s="317">
        <f t="shared" si="7"/>
        <v>32301.642012066928</v>
      </c>
      <c r="I173" s="510">
        <v>11824.373094211544</v>
      </c>
      <c r="J173" s="233">
        <f>VLOOKUP(B173,Synthèse!$B$6:$O$314,12,FALSE)</f>
        <v>15043.171159876363</v>
      </c>
      <c r="K173" s="317">
        <f t="shared" si="8"/>
        <v>3218.7980656648197</v>
      </c>
    </row>
    <row r="174" spans="1:11" s="514" customFormat="1" ht="15" x14ac:dyDescent="0.25">
      <c r="A174" s="151">
        <v>5684</v>
      </c>
      <c r="B174" s="508" t="s">
        <v>106</v>
      </c>
      <c r="C174" s="510">
        <v>36152.044962176049</v>
      </c>
      <c r="D174" s="312">
        <f>VLOOKUP(B174,Synthèse!$B$6:$O$314,5,FALSE)</f>
        <v>62908.167625324408</v>
      </c>
      <c r="E174" s="317">
        <f t="shared" si="6"/>
        <v>26756.122663148359</v>
      </c>
      <c r="F174" s="509">
        <v>10306.544960470579</v>
      </c>
      <c r="G174" s="233">
        <f>VLOOKUP(B174,Synthèse!$B$6:$O$314,14,FALSE)</f>
        <v>72666.833364051185</v>
      </c>
      <c r="H174" s="317">
        <f t="shared" si="7"/>
        <v>62360.288403580606</v>
      </c>
      <c r="I174" s="510">
        <v>6302.3710319972161</v>
      </c>
      <c r="J174" s="233">
        <f>VLOOKUP(B174,Synthèse!$B$6:$O$314,12,FALSE)</f>
        <v>12570.18711720741</v>
      </c>
      <c r="K174" s="317">
        <f t="shared" si="8"/>
        <v>6267.8160852101937</v>
      </c>
    </row>
    <row r="175" spans="1:11" s="514" customFormat="1" ht="15" x14ac:dyDescent="0.25">
      <c r="A175" s="151">
        <v>5688</v>
      </c>
      <c r="B175" s="508" t="s">
        <v>107</v>
      </c>
      <c r="C175" s="510">
        <v>75715.126077520807</v>
      </c>
      <c r="D175" s="312">
        <f>VLOOKUP(B175,Synthèse!$B$6:$O$314,5,FALSE)</f>
        <v>68843.040204403122</v>
      </c>
      <c r="E175" s="317">
        <f t="shared" si="6"/>
        <v>-6872.085873117685</v>
      </c>
      <c r="F175" s="509">
        <v>-55547.084237167801</v>
      </c>
      <c r="G175" s="233">
        <f>VLOOKUP(B175,Synthèse!$B$6:$O$314,14,FALSE)</f>
        <v>-16445.859633559638</v>
      </c>
      <c r="H175" s="317">
        <f t="shared" si="7"/>
        <v>39101.224603608163</v>
      </c>
      <c r="I175" s="510">
        <v>11891.701886166102</v>
      </c>
      <c r="J175" s="233">
        <f>VLOOKUP(B175,Synthèse!$B$6:$O$314,12,FALSE)</f>
        <v>15540.488149172186</v>
      </c>
      <c r="K175" s="317">
        <f t="shared" si="8"/>
        <v>3648.7862630060845</v>
      </c>
    </row>
    <row r="176" spans="1:11" s="514" customFormat="1" ht="15" x14ac:dyDescent="0.25">
      <c r="A176" s="151">
        <v>5690</v>
      </c>
      <c r="B176" s="508" t="s">
        <v>108</v>
      </c>
      <c r="C176" s="510">
        <v>67757.919052899626</v>
      </c>
      <c r="D176" s="312">
        <f>VLOOKUP(B176,Synthèse!$B$6:$O$314,5,FALSE)</f>
        <v>64844.243896383501</v>
      </c>
      <c r="E176" s="317">
        <f t="shared" si="6"/>
        <v>-2913.6751565161248</v>
      </c>
      <c r="F176" s="509">
        <v>29955.323473566561</v>
      </c>
      <c r="G176" s="233">
        <f>VLOOKUP(B176,Synthèse!$B$6:$O$314,14,FALSE)</f>
        <v>-2973.8650675418685</v>
      </c>
      <c r="H176" s="317">
        <f t="shared" si="7"/>
        <v>-32929.188541108429</v>
      </c>
      <c r="I176" s="510">
        <v>12921.296576144072</v>
      </c>
      <c r="J176" s="233">
        <f>VLOOKUP(B176,Synthèse!$B$6:$O$314,12,FALSE)</f>
        <v>10441.235745956465</v>
      </c>
      <c r="K176" s="317">
        <f t="shared" si="8"/>
        <v>-2480.0608301876073</v>
      </c>
    </row>
    <row r="177" spans="1:11" s="514" customFormat="1" ht="15" x14ac:dyDescent="0.25">
      <c r="A177" s="151">
        <v>5692</v>
      </c>
      <c r="B177" s="508" t="s">
        <v>109</v>
      </c>
      <c r="C177" s="510">
        <v>328128.6166088896</v>
      </c>
      <c r="D177" s="312">
        <f>VLOOKUP(B177,Synthèse!$B$6:$O$314,5,FALSE)</f>
        <v>298488.78182712855</v>
      </c>
      <c r="E177" s="317">
        <f t="shared" si="6"/>
        <v>-29639.834781761048</v>
      </c>
      <c r="F177" s="509">
        <v>-62107.716980842873</v>
      </c>
      <c r="G177" s="233">
        <f>VLOOKUP(B177,Synthèse!$B$6:$O$314,14,FALSE)</f>
        <v>-86526.300637325476</v>
      </c>
      <c r="H177" s="317">
        <f t="shared" si="7"/>
        <v>-24418.583656482602</v>
      </c>
      <c r="I177" s="510">
        <v>51520.538695115087</v>
      </c>
      <c r="J177" s="233">
        <f>VLOOKUP(B177,Synthèse!$B$6:$O$314,12,FALSE)</f>
        <v>54786.37145370325</v>
      </c>
      <c r="K177" s="317">
        <f t="shared" si="8"/>
        <v>3265.8327585881634</v>
      </c>
    </row>
    <row r="178" spans="1:11" s="514" customFormat="1" ht="15" x14ac:dyDescent="0.25">
      <c r="A178" s="151">
        <v>5693</v>
      </c>
      <c r="B178" s="508" t="s">
        <v>441</v>
      </c>
      <c r="C178" s="510">
        <v>1235604.3279965213</v>
      </c>
      <c r="D178" s="312">
        <f>VLOOKUP(B178,Synthèse!$B$6:$O$314,5,FALSE)</f>
        <v>1218889.6696645399</v>
      </c>
      <c r="E178" s="317">
        <f t="shared" si="6"/>
        <v>-16714.658331981394</v>
      </c>
      <c r="F178" s="509">
        <v>-984577.44487946981</v>
      </c>
      <c r="G178" s="233">
        <f>VLOOKUP(B178,Synthèse!$B$6:$O$314,14,FALSE)</f>
        <v>-1120553.3930108789</v>
      </c>
      <c r="H178" s="317">
        <f t="shared" si="7"/>
        <v>-135975.94813140912</v>
      </c>
      <c r="I178" s="510">
        <v>219572.36057002121</v>
      </c>
      <c r="J178" s="233">
        <f>VLOOKUP(B178,Synthèse!$B$6:$O$314,12,FALSE)</f>
        <v>213747.64687006082</v>
      </c>
      <c r="K178" s="317">
        <f t="shared" si="8"/>
        <v>-5824.7136999603827</v>
      </c>
    </row>
    <row r="179" spans="1:11" s="514" customFormat="1" ht="15" x14ac:dyDescent="0.25">
      <c r="A179" s="151">
        <v>5701</v>
      </c>
      <c r="B179" s="508" t="s">
        <v>110</v>
      </c>
      <c r="C179" s="510">
        <v>330111.07368018973</v>
      </c>
      <c r="D179" s="312">
        <f>VLOOKUP(B179,Synthèse!$B$6:$O$314,5,FALSE)</f>
        <v>261697.76606511991</v>
      </c>
      <c r="E179" s="317">
        <f t="shared" si="6"/>
        <v>-68413.307615069818</v>
      </c>
      <c r="F179" s="509">
        <v>244349.84173070182</v>
      </c>
      <c r="G179" s="233">
        <f>VLOOKUP(B179,Synthèse!$B$6:$O$314,14,FALSE)</f>
        <v>211313.4589915468</v>
      </c>
      <c r="H179" s="317">
        <f t="shared" si="7"/>
        <v>-33036.382739155029</v>
      </c>
      <c r="I179" s="510">
        <v>37353.290374059157</v>
      </c>
      <c r="J179" s="233">
        <f>VLOOKUP(B179,Synthèse!$B$6:$O$314,12,FALSE)</f>
        <v>36141.238310834866</v>
      </c>
      <c r="K179" s="317">
        <f t="shared" si="8"/>
        <v>-1212.0520632242915</v>
      </c>
    </row>
    <row r="180" spans="1:11" s="514" customFormat="1" ht="15" x14ac:dyDescent="0.25">
      <c r="A180" s="151">
        <v>5702</v>
      </c>
      <c r="B180" s="508" t="s">
        <v>440</v>
      </c>
      <c r="C180" s="510">
        <v>4295653.5206382824</v>
      </c>
      <c r="D180" s="312">
        <f>VLOOKUP(B180,Synthèse!$B$6:$O$314,5,FALSE)</f>
        <v>3111629.4105793475</v>
      </c>
      <c r="E180" s="317">
        <f t="shared" si="6"/>
        <v>-1184024.1100589349</v>
      </c>
      <c r="F180" s="509">
        <v>2585547.1325453119</v>
      </c>
      <c r="G180" s="233">
        <f>VLOOKUP(B180,Synthèse!$B$6:$O$314,14,FALSE)</f>
        <v>1987643.7492962321</v>
      </c>
      <c r="H180" s="317">
        <f t="shared" si="7"/>
        <v>-597903.38324907981</v>
      </c>
      <c r="I180" s="510">
        <v>456946.33149527811</v>
      </c>
      <c r="J180" s="233">
        <f>VLOOKUP(B180,Synthèse!$B$6:$O$314,12,FALSE)</f>
        <v>456275.77982823574</v>
      </c>
      <c r="K180" s="317">
        <f t="shared" si="8"/>
        <v>-670.55166704236763</v>
      </c>
    </row>
    <row r="181" spans="1:11" s="514" customFormat="1" ht="15" x14ac:dyDescent="0.25">
      <c r="A181" s="151">
        <v>5703</v>
      </c>
      <c r="B181" s="508" t="s">
        <v>111</v>
      </c>
      <c r="C181" s="510">
        <v>1048759.294302532</v>
      </c>
      <c r="D181" s="312">
        <f>VLOOKUP(B181,Synthèse!$B$6:$O$314,5,FALSE)</f>
        <v>1167079.7700135177</v>
      </c>
      <c r="E181" s="317">
        <f t="shared" si="6"/>
        <v>118320.47571098572</v>
      </c>
      <c r="F181" s="509">
        <v>560334.82442233816</v>
      </c>
      <c r="G181" s="233">
        <f>VLOOKUP(B181,Synthèse!$B$6:$O$314,14,FALSE)</f>
        <v>629069.55151287792</v>
      </c>
      <c r="H181" s="317">
        <f t="shared" si="7"/>
        <v>68734.72709053976</v>
      </c>
      <c r="I181" s="510">
        <v>175577.9758489735</v>
      </c>
      <c r="J181" s="233">
        <f>VLOOKUP(B181,Synthèse!$B$6:$O$314,12,FALSE)</f>
        <v>203346.25407314475</v>
      </c>
      <c r="K181" s="317">
        <f t="shared" si="8"/>
        <v>27768.278224171256</v>
      </c>
    </row>
    <row r="182" spans="1:11" s="514" customFormat="1" ht="15" x14ac:dyDescent="0.25">
      <c r="A182" s="151">
        <v>5704</v>
      </c>
      <c r="B182" s="508" t="s">
        <v>220</v>
      </c>
      <c r="C182" s="510">
        <v>3063555.8849390666</v>
      </c>
      <c r="D182" s="312">
        <f>VLOOKUP(B182,Synthèse!$B$6:$O$314,5,FALSE)</f>
        <v>2938556.8511514338</v>
      </c>
      <c r="E182" s="317">
        <f t="shared" si="6"/>
        <v>-124999.03378763283</v>
      </c>
      <c r="F182" s="509">
        <v>2025559.1915091174</v>
      </c>
      <c r="G182" s="233">
        <f>VLOOKUP(B182,Synthèse!$B$6:$O$314,14,FALSE)</f>
        <v>2266275.7438854752</v>
      </c>
      <c r="H182" s="317">
        <f t="shared" si="7"/>
        <v>240716.55237635784</v>
      </c>
      <c r="I182" s="510">
        <v>323985.59028274356</v>
      </c>
      <c r="J182" s="233">
        <f>VLOOKUP(B182,Synthèse!$B$6:$O$314,12,FALSE)</f>
        <v>337889.58764380845</v>
      </c>
      <c r="K182" s="317">
        <f t="shared" si="8"/>
        <v>13903.997361064889</v>
      </c>
    </row>
    <row r="183" spans="1:11" s="514" customFormat="1" ht="15" x14ac:dyDescent="0.25">
      <c r="A183" s="151">
        <v>5705</v>
      </c>
      <c r="B183" s="508" t="s">
        <v>221</v>
      </c>
      <c r="C183" s="510">
        <v>1102075.7806925485</v>
      </c>
      <c r="D183" s="312">
        <f>VLOOKUP(B183,Synthèse!$B$6:$O$314,5,FALSE)</f>
        <v>1261174.8148226461</v>
      </c>
      <c r="E183" s="317">
        <f t="shared" si="6"/>
        <v>159099.0341300976</v>
      </c>
      <c r="F183" s="509">
        <v>892819.12413311761</v>
      </c>
      <c r="G183" s="233">
        <f>VLOOKUP(B183,Synthèse!$B$6:$O$314,14,FALSE)</f>
        <v>972505.92448608042</v>
      </c>
      <c r="H183" s="317">
        <f t="shared" si="7"/>
        <v>79686.800352962804</v>
      </c>
      <c r="I183" s="510">
        <v>137242.86795935826</v>
      </c>
      <c r="J183" s="233">
        <f>VLOOKUP(B183,Synthèse!$B$6:$O$314,12,FALSE)</f>
        <v>140287.26643450573</v>
      </c>
      <c r="K183" s="317">
        <f t="shared" si="8"/>
        <v>3044.3984751474636</v>
      </c>
    </row>
    <row r="184" spans="1:11" s="514" customFormat="1" ht="15" x14ac:dyDescent="0.25">
      <c r="A184" s="151">
        <v>5706</v>
      </c>
      <c r="B184" s="508" t="s">
        <v>222</v>
      </c>
      <c r="C184" s="510">
        <v>1512148.2758560157</v>
      </c>
      <c r="D184" s="312">
        <f>VLOOKUP(B184,Synthèse!$B$6:$O$314,5,FALSE)</f>
        <v>1690158.331890923</v>
      </c>
      <c r="E184" s="317">
        <f t="shared" si="6"/>
        <v>178010.05603490723</v>
      </c>
      <c r="F184" s="509">
        <v>1262476.9067244253</v>
      </c>
      <c r="G184" s="233">
        <f>VLOOKUP(B184,Synthèse!$B$6:$O$314,14,FALSE)</f>
        <v>1432383.8420637292</v>
      </c>
      <c r="H184" s="317">
        <f t="shared" si="7"/>
        <v>169906.93533930392</v>
      </c>
      <c r="I184" s="510">
        <v>188299.03004922095</v>
      </c>
      <c r="J184" s="233">
        <f>VLOOKUP(B184,Synthèse!$B$6:$O$314,12,FALSE)</f>
        <v>201734.81407447215</v>
      </c>
      <c r="K184" s="317">
        <f t="shared" si="8"/>
        <v>13435.784025251196</v>
      </c>
    </row>
    <row r="185" spans="1:11" s="514" customFormat="1" ht="15" x14ac:dyDescent="0.25">
      <c r="A185" s="151">
        <v>5707</v>
      </c>
      <c r="B185" s="508" t="s">
        <v>223</v>
      </c>
      <c r="C185" s="510">
        <v>1838180.6925183372</v>
      </c>
      <c r="D185" s="312">
        <f>VLOOKUP(B185,Synthèse!$B$6:$O$314,5,FALSE)</f>
        <v>1762136.8882629981</v>
      </c>
      <c r="E185" s="317">
        <f t="shared" si="6"/>
        <v>-76043.804255339084</v>
      </c>
      <c r="F185" s="509">
        <v>1297612.254642514</v>
      </c>
      <c r="G185" s="233">
        <f>VLOOKUP(B185,Synthèse!$B$6:$O$314,14,FALSE)</f>
        <v>1330078.439751057</v>
      </c>
      <c r="H185" s="317">
        <f t="shared" si="7"/>
        <v>32466.185108542908</v>
      </c>
      <c r="I185" s="510">
        <v>205497.59850194212</v>
      </c>
      <c r="J185" s="233">
        <f>VLOOKUP(B185,Synthèse!$B$6:$O$314,12,FALSE)</f>
        <v>214435.75853323747</v>
      </c>
      <c r="K185" s="317">
        <f t="shared" si="8"/>
        <v>8938.1600312953524</v>
      </c>
    </row>
    <row r="186" spans="1:11" s="514" customFormat="1" ht="15" x14ac:dyDescent="0.25">
      <c r="A186" s="151">
        <v>5708</v>
      </c>
      <c r="B186" s="508" t="s">
        <v>224</v>
      </c>
      <c r="C186" s="510">
        <v>1257181.331445985</v>
      </c>
      <c r="D186" s="312">
        <f>VLOOKUP(B186,Synthèse!$B$6:$O$314,5,FALSE)</f>
        <v>1373029.8512153095</v>
      </c>
      <c r="E186" s="317">
        <f t="shared" si="6"/>
        <v>115848.51976932446</v>
      </c>
      <c r="F186" s="509">
        <v>1036616.0248376749</v>
      </c>
      <c r="G186" s="233">
        <f>VLOOKUP(B186,Synthèse!$B$6:$O$314,14,FALSE)</f>
        <v>1160391.7286775715</v>
      </c>
      <c r="H186" s="317">
        <f t="shared" si="7"/>
        <v>123775.7038398966</v>
      </c>
      <c r="I186" s="510">
        <v>155466.83832901085</v>
      </c>
      <c r="J186" s="233">
        <f>VLOOKUP(B186,Synthèse!$B$6:$O$314,12,FALSE)</f>
        <v>169179.90039222836</v>
      </c>
      <c r="K186" s="317">
        <f t="shared" si="8"/>
        <v>13713.062063217512</v>
      </c>
    </row>
    <row r="187" spans="1:11" s="514" customFormat="1" ht="15" x14ac:dyDescent="0.25">
      <c r="A187" s="151">
        <v>5709</v>
      </c>
      <c r="B187" s="508" t="s">
        <v>225</v>
      </c>
      <c r="C187" s="510">
        <v>2772775.5696272999</v>
      </c>
      <c r="D187" s="312">
        <f>VLOOKUP(B187,Synthèse!$B$6:$O$314,5,FALSE)</f>
        <v>2162117.3568649846</v>
      </c>
      <c r="E187" s="317">
        <f t="shared" si="6"/>
        <v>-610658.21276231529</v>
      </c>
      <c r="F187" s="509">
        <v>1948052.814265006</v>
      </c>
      <c r="G187" s="233">
        <f>VLOOKUP(B187,Synthèse!$B$6:$O$314,14,FALSE)</f>
        <v>1655870.4883459634</v>
      </c>
      <c r="H187" s="317">
        <f t="shared" si="7"/>
        <v>-292182.32591904257</v>
      </c>
      <c r="I187" s="510">
        <v>242293.94979463797</v>
      </c>
      <c r="J187" s="233">
        <f>VLOOKUP(B187,Synthèse!$B$6:$O$314,12,FALSE)</f>
        <v>225470.67613798281</v>
      </c>
      <c r="K187" s="317">
        <f t="shared" si="8"/>
        <v>-16823.273656655161</v>
      </c>
    </row>
    <row r="188" spans="1:11" s="514" customFormat="1" ht="15" x14ac:dyDescent="0.25">
      <c r="A188" s="151">
        <v>5710</v>
      </c>
      <c r="B188" s="508" t="s">
        <v>226</v>
      </c>
      <c r="C188" s="510">
        <v>5215431.9216773305</v>
      </c>
      <c r="D188" s="312">
        <f>VLOOKUP(B188,Synthèse!$B$6:$O$314,5,FALSE)</f>
        <v>850424.65817788569</v>
      </c>
      <c r="E188" s="317">
        <f t="shared" si="6"/>
        <v>-4365007.2634994444</v>
      </c>
      <c r="F188" s="509">
        <v>1378268.0065783998</v>
      </c>
      <c r="G188" s="233">
        <f>VLOOKUP(B188,Synthèse!$B$6:$O$314,14,FALSE)</f>
        <v>724701.07249682595</v>
      </c>
      <c r="H188" s="317">
        <f t="shared" si="7"/>
        <v>-653566.93408157385</v>
      </c>
      <c r="I188" s="510">
        <v>221737.69621105865</v>
      </c>
      <c r="J188" s="233">
        <f>VLOOKUP(B188,Synthèse!$B$6:$O$314,12,FALSE)</f>
        <v>93599.956555975557</v>
      </c>
      <c r="K188" s="317">
        <f t="shared" si="8"/>
        <v>-128137.73965508309</v>
      </c>
    </row>
    <row r="189" spans="1:11" s="514" customFormat="1" ht="15" x14ac:dyDescent="0.25">
      <c r="A189" s="151">
        <v>5711</v>
      </c>
      <c r="B189" s="508" t="s">
        <v>227</v>
      </c>
      <c r="C189" s="510">
        <v>7937434.5220791828</v>
      </c>
      <c r="D189" s="312">
        <f>VLOOKUP(B189,Synthèse!$B$6:$O$314,5,FALSE)</f>
        <v>5902899.3225434162</v>
      </c>
      <c r="E189" s="317">
        <f t="shared" si="6"/>
        <v>-2034535.1995357666</v>
      </c>
      <c r="F189" s="509">
        <v>4851471.3230298124</v>
      </c>
      <c r="G189" s="233">
        <f>VLOOKUP(B189,Synthèse!$B$6:$O$314,14,FALSE)</f>
        <v>4026827.8942220341</v>
      </c>
      <c r="H189" s="317">
        <f t="shared" si="7"/>
        <v>-824643.42880777828</v>
      </c>
      <c r="I189" s="510">
        <v>606413.20207686129</v>
      </c>
      <c r="J189" s="233">
        <f>VLOOKUP(B189,Synthèse!$B$6:$O$314,12,FALSE)</f>
        <v>563713.13748071413</v>
      </c>
      <c r="K189" s="317">
        <f t="shared" si="8"/>
        <v>-42700.06459614716</v>
      </c>
    </row>
    <row r="190" spans="1:11" s="514" customFormat="1" ht="15" x14ac:dyDescent="0.25">
      <c r="A190" s="151">
        <v>5712</v>
      </c>
      <c r="B190" s="508" t="s">
        <v>228</v>
      </c>
      <c r="C190" s="510">
        <v>11133747.013915241</v>
      </c>
      <c r="D190" s="312">
        <f>VLOOKUP(B190,Synthèse!$B$6:$O$314,5,FALSE)</f>
        <v>10575797.966616083</v>
      </c>
      <c r="E190" s="317">
        <f t="shared" si="6"/>
        <v>-557949.04729915783</v>
      </c>
      <c r="F190" s="509">
        <v>5958944.7370666452</v>
      </c>
      <c r="G190" s="233">
        <f>VLOOKUP(B190,Synthèse!$B$6:$O$314,14,FALSE)</f>
        <v>6379876.6840076772</v>
      </c>
      <c r="H190" s="317">
        <f t="shared" si="7"/>
        <v>420931.94694103207</v>
      </c>
      <c r="I190" s="510">
        <v>706333.41353989556</v>
      </c>
      <c r="J190" s="233">
        <f>VLOOKUP(B190,Synthèse!$B$6:$O$314,12,FALSE)</f>
        <v>737769.96903331915</v>
      </c>
      <c r="K190" s="317">
        <f t="shared" si="8"/>
        <v>31436.555493423599</v>
      </c>
    </row>
    <row r="191" spans="1:11" s="514" customFormat="1" ht="15" x14ac:dyDescent="0.25">
      <c r="A191" s="151">
        <v>5713</v>
      </c>
      <c r="B191" s="508" t="s">
        <v>229</v>
      </c>
      <c r="C191" s="510">
        <v>8642364.8211535383</v>
      </c>
      <c r="D191" s="312">
        <f>VLOOKUP(B191,Synthèse!$B$6:$O$314,5,FALSE)</f>
        <v>9570225.205622267</v>
      </c>
      <c r="E191" s="317">
        <f t="shared" si="6"/>
        <v>927860.38446872868</v>
      </c>
      <c r="F191" s="509">
        <v>4998341.8421862973</v>
      </c>
      <c r="G191" s="233">
        <f>VLOOKUP(B191,Synthèse!$B$6:$O$314,14,FALSE)</f>
        <v>5326123.579691981</v>
      </c>
      <c r="H191" s="317">
        <f t="shared" si="7"/>
        <v>327781.73750568368</v>
      </c>
      <c r="I191" s="510">
        <v>362039.83949174633</v>
      </c>
      <c r="J191" s="233">
        <f>VLOOKUP(B191,Synthèse!$B$6:$O$314,12,FALSE)</f>
        <v>362578.09932553821</v>
      </c>
      <c r="K191" s="317">
        <f t="shared" si="8"/>
        <v>538.25983379187528</v>
      </c>
    </row>
    <row r="192" spans="1:11" s="514" customFormat="1" ht="15" x14ac:dyDescent="0.25">
      <c r="A192" s="151">
        <v>5714</v>
      </c>
      <c r="B192" s="508" t="s">
        <v>230</v>
      </c>
      <c r="C192" s="510">
        <v>1661543.5901391152</v>
      </c>
      <c r="D192" s="312">
        <f>VLOOKUP(B192,Synthèse!$B$6:$O$314,5,FALSE)</f>
        <v>885237.3179974485</v>
      </c>
      <c r="E192" s="317">
        <f t="shared" si="6"/>
        <v>-776306.27214166673</v>
      </c>
      <c r="F192" s="509">
        <v>1324257.3264026793</v>
      </c>
      <c r="G192" s="233">
        <f>VLOOKUP(B192,Synthèse!$B$6:$O$314,14,FALSE)</f>
        <v>781622.8637622993</v>
      </c>
      <c r="H192" s="317">
        <f t="shared" si="7"/>
        <v>-542634.46264038002</v>
      </c>
      <c r="I192" s="510">
        <v>196035.3675029751</v>
      </c>
      <c r="J192" s="233">
        <f>VLOOKUP(B192,Synthèse!$B$6:$O$314,12,FALSE)</f>
        <v>160898.18720428087</v>
      </c>
      <c r="K192" s="317">
        <f t="shared" si="8"/>
        <v>-35137.180298694235</v>
      </c>
    </row>
    <row r="193" spans="1:11" s="514" customFormat="1" ht="15" x14ac:dyDescent="0.25">
      <c r="A193" s="151">
        <v>5715</v>
      </c>
      <c r="B193" s="508" t="s">
        <v>231</v>
      </c>
      <c r="C193" s="510">
        <v>2029319.2632123353</v>
      </c>
      <c r="D193" s="312">
        <f>VLOOKUP(B193,Synthèse!$B$6:$O$314,5,FALSE)</f>
        <v>1165456.2676095408</v>
      </c>
      <c r="E193" s="317">
        <f t="shared" si="6"/>
        <v>-863862.99560279446</v>
      </c>
      <c r="F193" s="509">
        <v>1418448.0902158164</v>
      </c>
      <c r="G193" s="233">
        <f>VLOOKUP(B193,Synthèse!$B$6:$O$314,14,FALSE)</f>
        <v>1011567.9391825885</v>
      </c>
      <c r="H193" s="317">
        <f t="shared" si="7"/>
        <v>-406880.15103322791</v>
      </c>
      <c r="I193" s="510">
        <v>192678.05852230449</v>
      </c>
      <c r="J193" s="233">
        <f>VLOOKUP(B193,Synthèse!$B$6:$O$314,12,FALSE)</f>
        <v>172742.38790097245</v>
      </c>
      <c r="K193" s="317">
        <f t="shared" si="8"/>
        <v>-19935.670621332043</v>
      </c>
    </row>
    <row r="194" spans="1:11" s="514" customFormat="1" ht="15" x14ac:dyDescent="0.25">
      <c r="A194" s="151">
        <v>5716</v>
      </c>
      <c r="B194" s="508" t="s">
        <v>232</v>
      </c>
      <c r="C194" s="510">
        <v>5651650.3294260614</v>
      </c>
      <c r="D194" s="312">
        <f>VLOOKUP(B194,Synthèse!$B$6:$O$314,5,FALSE)</f>
        <v>11332849.905141495</v>
      </c>
      <c r="E194" s="317">
        <f t="shared" si="6"/>
        <v>5681199.5757154338</v>
      </c>
      <c r="F194" s="509">
        <v>3268962.5995541429</v>
      </c>
      <c r="G194" s="233">
        <f>VLOOKUP(B194,Synthèse!$B$6:$O$314,14,FALSE)</f>
        <v>4460343.1256568246</v>
      </c>
      <c r="H194" s="317">
        <f t="shared" si="7"/>
        <v>1191380.5261026816</v>
      </c>
      <c r="I194" s="510">
        <v>369935.89493915037</v>
      </c>
      <c r="J194" s="233">
        <f>VLOOKUP(B194,Synthèse!$B$6:$O$314,12,FALSE)</f>
        <v>520798.18200966821</v>
      </c>
      <c r="K194" s="317">
        <f t="shared" si="8"/>
        <v>150862.28707051784</v>
      </c>
    </row>
    <row r="195" spans="1:11" s="514" customFormat="1" ht="15" x14ac:dyDescent="0.25">
      <c r="A195" s="151">
        <v>5717</v>
      </c>
      <c r="B195" s="508" t="s">
        <v>233</v>
      </c>
      <c r="C195" s="510">
        <v>10485582.721433911</v>
      </c>
      <c r="D195" s="312">
        <f>VLOOKUP(B195,Synthèse!$B$6:$O$314,5,FALSE)</f>
        <v>10352672.843415614</v>
      </c>
      <c r="E195" s="317">
        <f t="shared" si="6"/>
        <v>-132909.87801829726</v>
      </c>
      <c r="F195" s="509">
        <v>6341056.6980560226</v>
      </c>
      <c r="G195" s="233">
        <f>VLOOKUP(B195,Synthèse!$B$6:$O$314,14,FALSE)</f>
        <v>6180678.7165428149</v>
      </c>
      <c r="H195" s="317">
        <f t="shared" si="7"/>
        <v>-160377.98151320778</v>
      </c>
      <c r="I195" s="510">
        <v>807984.5235956579</v>
      </c>
      <c r="J195" s="233">
        <f>VLOOKUP(B195,Synthèse!$B$6:$O$314,12,FALSE)</f>
        <v>795660.22937396937</v>
      </c>
      <c r="K195" s="317">
        <f t="shared" si="8"/>
        <v>-12324.294221688528</v>
      </c>
    </row>
    <row r="196" spans="1:11" s="514" customFormat="1" ht="15" x14ac:dyDescent="0.25">
      <c r="A196" s="151">
        <v>5718</v>
      </c>
      <c r="B196" s="508" t="s">
        <v>234</v>
      </c>
      <c r="C196" s="510">
        <v>4854360.8350675534</v>
      </c>
      <c r="D196" s="312">
        <f>VLOOKUP(B196,Synthèse!$B$6:$O$314,5,FALSE)</f>
        <v>7000968.9285618495</v>
      </c>
      <c r="E196" s="317">
        <f t="shared" si="6"/>
        <v>2146608.0934942961</v>
      </c>
      <c r="F196" s="509">
        <v>3000657.7735125595</v>
      </c>
      <c r="G196" s="233">
        <f>VLOOKUP(B196,Synthèse!$B$6:$O$314,14,FALSE)</f>
        <v>4226979.1366009703</v>
      </c>
      <c r="H196" s="317">
        <f t="shared" si="7"/>
        <v>1226321.3630884108</v>
      </c>
      <c r="I196" s="510">
        <v>388655.68114849157</v>
      </c>
      <c r="J196" s="233">
        <f>VLOOKUP(B196,Synthèse!$B$6:$O$314,12,FALSE)</f>
        <v>465570.40108383907</v>
      </c>
      <c r="K196" s="317">
        <f t="shared" si="8"/>
        <v>76914.719935347501</v>
      </c>
    </row>
    <row r="197" spans="1:11" s="514" customFormat="1" ht="15" x14ac:dyDescent="0.25">
      <c r="A197" s="151">
        <v>5719</v>
      </c>
      <c r="B197" s="508" t="s">
        <v>235</v>
      </c>
      <c r="C197" s="510">
        <v>3210032.9964697403</v>
      </c>
      <c r="D197" s="312">
        <f>VLOOKUP(B197,Synthèse!$B$6:$O$314,5,FALSE)</f>
        <v>4033313.1245107539</v>
      </c>
      <c r="E197" s="317">
        <f t="shared" si="6"/>
        <v>823280.12804101361</v>
      </c>
      <c r="F197" s="509">
        <v>2037437.5448854787</v>
      </c>
      <c r="G197" s="233">
        <f>VLOOKUP(B197,Synthèse!$B$6:$O$314,14,FALSE)</f>
        <v>2580158.1004556417</v>
      </c>
      <c r="H197" s="317">
        <f t="shared" si="7"/>
        <v>542720.55557016307</v>
      </c>
      <c r="I197" s="510">
        <v>248029.19839156102</v>
      </c>
      <c r="J197" s="233">
        <f>VLOOKUP(B197,Synthèse!$B$6:$O$314,12,FALSE)</f>
        <v>283117.1465141495</v>
      </c>
      <c r="K197" s="317">
        <f t="shared" si="8"/>
        <v>35087.948122588481</v>
      </c>
    </row>
    <row r="198" spans="1:11" s="514" customFormat="1" ht="15" x14ac:dyDescent="0.25">
      <c r="A198" s="151">
        <v>5720</v>
      </c>
      <c r="B198" s="508" t="s">
        <v>236</v>
      </c>
      <c r="C198" s="510">
        <v>1548191.6432160537</v>
      </c>
      <c r="D198" s="312">
        <f>VLOOKUP(B198,Synthèse!$B$6:$O$314,5,FALSE)</f>
        <v>2112238.3496926464</v>
      </c>
      <c r="E198" s="317">
        <f t="shared" si="6"/>
        <v>564046.70647659269</v>
      </c>
      <c r="F198" s="509">
        <v>1193853.804429383</v>
      </c>
      <c r="G198" s="233">
        <f>VLOOKUP(B198,Synthèse!$B$6:$O$314,14,FALSE)</f>
        <v>1423983.0505377231</v>
      </c>
      <c r="H198" s="317">
        <f t="shared" si="7"/>
        <v>230129.2461083401</v>
      </c>
      <c r="I198" s="510">
        <v>174352.50980572664</v>
      </c>
      <c r="J198" s="233">
        <f>VLOOKUP(B198,Synthèse!$B$6:$O$314,12,FALSE)</f>
        <v>190652.82383465377</v>
      </c>
      <c r="K198" s="317">
        <f t="shared" si="8"/>
        <v>16300.314028927125</v>
      </c>
    </row>
    <row r="199" spans="1:11" s="514" customFormat="1" ht="15" x14ac:dyDescent="0.25">
      <c r="A199" s="151">
        <v>5721</v>
      </c>
      <c r="B199" s="508" t="s">
        <v>237</v>
      </c>
      <c r="C199" s="510">
        <v>12494548.330151677</v>
      </c>
      <c r="D199" s="312">
        <f>VLOOKUP(B199,Synthèse!$B$6:$O$314,5,FALSE)</f>
        <v>11163542.999764217</v>
      </c>
      <c r="E199" s="317">
        <f t="shared" ref="E199:E262" si="9">D199-C199</f>
        <v>-1331005.3303874601</v>
      </c>
      <c r="F199" s="509">
        <v>5034043.388465873</v>
      </c>
      <c r="G199" s="233">
        <f>VLOOKUP(B199,Synthèse!$B$6:$O$314,14,FALSE)</f>
        <v>4524374.8489265889</v>
      </c>
      <c r="H199" s="317">
        <f t="shared" ref="H199:H262" si="10">G199-F199</f>
        <v>-509668.53953928407</v>
      </c>
      <c r="I199" s="510">
        <v>1928444.2352410201</v>
      </c>
      <c r="J199" s="233">
        <f>VLOOKUP(B199,Synthèse!$B$6:$O$314,12,FALSE)</f>
        <v>1943717.7900214626</v>
      </c>
      <c r="K199" s="317">
        <f t="shared" ref="K199:K262" si="11">J199-I199</f>
        <v>15273.5547804425</v>
      </c>
    </row>
    <row r="200" spans="1:11" s="514" customFormat="1" ht="15" x14ac:dyDescent="0.25">
      <c r="A200" s="151">
        <v>5722</v>
      </c>
      <c r="B200" s="508" t="s">
        <v>238</v>
      </c>
      <c r="C200" s="510">
        <v>417851.2177416177</v>
      </c>
      <c r="D200" s="312">
        <f>VLOOKUP(B200,Synthèse!$B$6:$O$314,5,FALSE)</f>
        <v>446518.73501746339</v>
      </c>
      <c r="E200" s="317">
        <f t="shared" si="9"/>
        <v>28667.51727584569</v>
      </c>
      <c r="F200" s="509">
        <v>398644.59310801059</v>
      </c>
      <c r="G200" s="233">
        <f>VLOOKUP(B200,Synthèse!$B$6:$O$314,14,FALSE)</f>
        <v>438956.19109813147</v>
      </c>
      <c r="H200" s="317">
        <f t="shared" si="10"/>
        <v>40311.597990120878</v>
      </c>
      <c r="I200" s="510">
        <v>61632.502200616596</v>
      </c>
      <c r="J200" s="233">
        <f>VLOOKUP(B200,Synthèse!$B$6:$O$314,12,FALSE)</f>
        <v>66036.846124560267</v>
      </c>
      <c r="K200" s="317">
        <f t="shared" si="11"/>
        <v>4404.3439239436702</v>
      </c>
    </row>
    <row r="201" spans="1:11" s="514" customFormat="1" ht="15" x14ac:dyDescent="0.25">
      <c r="A201" s="151">
        <v>5723</v>
      </c>
      <c r="B201" s="508" t="s">
        <v>239</v>
      </c>
      <c r="C201" s="510">
        <v>19220534.83791947</v>
      </c>
      <c r="D201" s="312">
        <f>VLOOKUP(B201,Synthèse!$B$6:$O$314,5,FALSE)</f>
        <v>4875071.0828816518</v>
      </c>
      <c r="E201" s="317">
        <f t="shared" si="9"/>
        <v>-14345463.755037818</v>
      </c>
      <c r="F201" s="509">
        <v>6047065.7230328107</v>
      </c>
      <c r="G201" s="233">
        <f>VLOOKUP(B201,Synthèse!$B$6:$O$314,14,FALSE)</f>
        <v>3259854.4310330073</v>
      </c>
      <c r="H201" s="317">
        <f t="shared" si="10"/>
        <v>-2787211.2919998034</v>
      </c>
      <c r="I201" s="510">
        <v>846194.19282963395</v>
      </c>
      <c r="J201" s="233">
        <f>VLOOKUP(B201,Synthèse!$B$6:$O$314,12,FALSE)</f>
        <v>425703.86450141796</v>
      </c>
      <c r="K201" s="317">
        <f t="shared" si="11"/>
        <v>-420490.32832821598</v>
      </c>
    </row>
    <row r="202" spans="1:11" s="514" customFormat="1" ht="15" x14ac:dyDescent="0.25">
      <c r="A202" s="151">
        <v>5724</v>
      </c>
      <c r="B202" s="508" t="s">
        <v>69</v>
      </c>
      <c r="C202" s="510">
        <v>30511517.456958987</v>
      </c>
      <c r="D202" s="312">
        <f>VLOOKUP(B202,Synthèse!$B$6:$O$314,5,FALSE)</f>
        <v>32603159.754050858</v>
      </c>
      <c r="E202" s="317">
        <f t="shared" si="9"/>
        <v>2091642.2970918715</v>
      </c>
      <c r="F202" s="509">
        <v>8958757.6087841317</v>
      </c>
      <c r="G202" s="233">
        <f>VLOOKUP(B202,Synthèse!$B$6:$O$314,14,FALSE)</f>
        <v>9272737.4808399826</v>
      </c>
      <c r="H202" s="317">
        <f t="shared" si="10"/>
        <v>313979.87205585092</v>
      </c>
      <c r="I202" s="510">
        <v>1702651.1552630132</v>
      </c>
      <c r="J202" s="233">
        <f>VLOOKUP(B202,Synthèse!$B$6:$O$314,12,FALSE)</f>
        <v>1662989.2218387118</v>
      </c>
      <c r="K202" s="317">
        <f t="shared" si="11"/>
        <v>-39661.933424301445</v>
      </c>
    </row>
    <row r="203" spans="1:11" s="514" customFormat="1" ht="15" x14ac:dyDescent="0.25">
      <c r="A203" s="151">
        <v>5725</v>
      </c>
      <c r="B203" s="508" t="s">
        <v>70</v>
      </c>
      <c r="C203" s="510">
        <v>9197121.0916265324</v>
      </c>
      <c r="D203" s="312">
        <f>VLOOKUP(B203,Synthèse!$B$6:$O$314,5,FALSE)</f>
        <v>6904413.7253820188</v>
      </c>
      <c r="E203" s="317">
        <f t="shared" si="9"/>
        <v>-2292707.3662445135</v>
      </c>
      <c r="F203" s="509">
        <v>5378477.1056851875</v>
      </c>
      <c r="G203" s="233">
        <f>VLOOKUP(B203,Synthèse!$B$6:$O$314,14,FALSE)</f>
        <v>4630177.7922678497</v>
      </c>
      <c r="H203" s="317">
        <f t="shared" si="10"/>
        <v>-748299.31341733783</v>
      </c>
      <c r="I203" s="510">
        <v>439264.38560260815</v>
      </c>
      <c r="J203" s="233">
        <f>VLOOKUP(B203,Synthèse!$B$6:$O$314,12,FALSE)</f>
        <v>367436.57716645498</v>
      </c>
      <c r="K203" s="317">
        <f t="shared" si="11"/>
        <v>-71827.808436153166</v>
      </c>
    </row>
    <row r="204" spans="1:11" s="514" customFormat="1" ht="15" x14ac:dyDescent="0.25">
      <c r="A204" s="151">
        <v>5726</v>
      </c>
      <c r="B204" s="508" t="s">
        <v>318</v>
      </c>
      <c r="C204" s="510">
        <v>1079600.3584288137</v>
      </c>
      <c r="D204" s="312">
        <f>VLOOKUP(B204,Synthèse!$B$6:$O$314,5,FALSE)</f>
        <v>1332233.8243394583</v>
      </c>
      <c r="E204" s="317">
        <f t="shared" si="9"/>
        <v>252633.4659106445</v>
      </c>
      <c r="F204" s="509">
        <v>1005811.4698716475</v>
      </c>
      <c r="G204" s="233">
        <f>VLOOKUP(B204,Synthèse!$B$6:$O$314,14,FALSE)</f>
        <v>1101575.7171669663</v>
      </c>
      <c r="H204" s="317">
        <f t="shared" si="10"/>
        <v>95764.247295318753</v>
      </c>
      <c r="I204" s="510">
        <v>175407.67773728038</v>
      </c>
      <c r="J204" s="233">
        <f>VLOOKUP(B204,Synthèse!$B$6:$O$314,12,FALSE)</f>
        <v>178590.2732164156</v>
      </c>
      <c r="K204" s="317">
        <f t="shared" si="11"/>
        <v>3182.5954791352269</v>
      </c>
    </row>
    <row r="205" spans="1:11" s="514" customFormat="1" ht="15" x14ac:dyDescent="0.25">
      <c r="A205" s="151">
        <v>5727</v>
      </c>
      <c r="B205" s="508" t="s">
        <v>319</v>
      </c>
      <c r="C205" s="510">
        <v>1617738.3226378025</v>
      </c>
      <c r="D205" s="312">
        <f>VLOOKUP(B205,Synthèse!$B$6:$O$314,5,FALSE)</f>
        <v>1802560.094907816</v>
      </c>
      <c r="E205" s="317">
        <f t="shared" si="9"/>
        <v>184821.77227001358</v>
      </c>
      <c r="F205" s="509">
        <v>219208.87817504857</v>
      </c>
      <c r="G205" s="233">
        <f>VLOOKUP(B205,Synthèse!$B$6:$O$314,14,FALSE)</f>
        <v>689613.83806012094</v>
      </c>
      <c r="H205" s="317">
        <f t="shared" si="10"/>
        <v>470404.95988507237</v>
      </c>
      <c r="I205" s="510">
        <v>266717.20098083321</v>
      </c>
      <c r="J205" s="233">
        <f>VLOOKUP(B205,Synthèse!$B$6:$O$314,12,FALSE)</f>
        <v>317420.39646691555</v>
      </c>
      <c r="K205" s="317">
        <f t="shared" si="11"/>
        <v>50703.195486082346</v>
      </c>
    </row>
    <row r="206" spans="1:11" s="514" customFormat="1" ht="15" x14ac:dyDescent="0.25">
      <c r="A206" s="151">
        <v>5728</v>
      </c>
      <c r="B206" s="508" t="s">
        <v>320</v>
      </c>
      <c r="C206" s="510">
        <v>1127173.9707162634</v>
      </c>
      <c r="D206" s="312">
        <f>VLOOKUP(B206,Synthèse!$B$6:$O$314,5,FALSE)</f>
        <v>1167437.521693934</v>
      </c>
      <c r="E206" s="317">
        <f t="shared" si="9"/>
        <v>40263.550977670588</v>
      </c>
      <c r="F206" s="509">
        <v>811246.45976685162</v>
      </c>
      <c r="G206" s="233">
        <f>VLOOKUP(B206,Synthèse!$B$6:$O$314,14,FALSE)</f>
        <v>872494.28712957015</v>
      </c>
      <c r="H206" s="317">
        <f t="shared" si="10"/>
        <v>61247.827362718526</v>
      </c>
      <c r="I206" s="510">
        <v>106886.25818486299</v>
      </c>
      <c r="J206" s="233">
        <f>VLOOKUP(B206,Synthèse!$B$6:$O$314,12,FALSE)</f>
        <v>109615.53502944371</v>
      </c>
      <c r="K206" s="317">
        <f t="shared" si="11"/>
        <v>2729.276844580716</v>
      </c>
    </row>
    <row r="207" spans="1:11" s="514" customFormat="1" ht="15" x14ac:dyDescent="0.25">
      <c r="A207" s="151">
        <v>5729</v>
      </c>
      <c r="B207" s="508" t="s">
        <v>321</v>
      </c>
      <c r="C207" s="510">
        <v>3826233.2666256139</v>
      </c>
      <c r="D207" s="312">
        <f>VLOOKUP(B207,Synthèse!$B$6:$O$314,5,FALSE)</f>
        <v>3258612.012721655</v>
      </c>
      <c r="E207" s="317">
        <f t="shared" si="9"/>
        <v>-567621.25390395895</v>
      </c>
      <c r="F207" s="509">
        <v>2523337.3928781794</v>
      </c>
      <c r="G207" s="233">
        <f>VLOOKUP(B207,Synthèse!$B$6:$O$314,14,FALSE)</f>
        <v>2162365.5574305686</v>
      </c>
      <c r="H207" s="317">
        <f t="shared" si="10"/>
        <v>-360971.83544761082</v>
      </c>
      <c r="I207" s="510">
        <v>318569.91086772172</v>
      </c>
      <c r="J207" s="233">
        <f>VLOOKUP(B207,Synthèse!$B$6:$O$314,12,FALSE)</f>
        <v>299312.68460048613</v>
      </c>
      <c r="K207" s="317">
        <f t="shared" si="11"/>
        <v>-19257.226267235586</v>
      </c>
    </row>
    <row r="208" spans="1:11" s="514" customFormat="1" ht="15" x14ac:dyDescent="0.25">
      <c r="A208" s="151">
        <v>5730</v>
      </c>
      <c r="B208" s="508" t="s">
        <v>322</v>
      </c>
      <c r="C208" s="510">
        <v>4862243.238494698</v>
      </c>
      <c r="D208" s="312">
        <f>VLOOKUP(B208,Synthèse!$B$6:$O$314,5,FALSE)</f>
        <v>2578342.1614541695</v>
      </c>
      <c r="E208" s="317">
        <f t="shared" si="9"/>
        <v>-2283901.0770405284</v>
      </c>
      <c r="F208" s="509">
        <v>2965200.7231824696</v>
      </c>
      <c r="G208" s="233">
        <f>VLOOKUP(B208,Synthèse!$B$6:$O$314,14,FALSE)</f>
        <v>1860714.8413331609</v>
      </c>
      <c r="H208" s="317">
        <f t="shared" si="10"/>
        <v>-1104485.8818493087</v>
      </c>
      <c r="I208" s="510">
        <v>327890.87116342556</v>
      </c>
      <c r="J208" s="233">
        <f>VLOOKUP(B208,Synthèse!$B$6:$O$314,12,FALSE)</f>
        <v>259755.73245278068</v>
      </c>
      <c r="K208" s="317">
        <f t="shared" si="11"/>
        <v>-68135.138710644882</v>
      </c>
    </row>
    <row r="209" spans="1:11" s="514" customFormat="1" ht="15" x14ac:dyDescent="0.25">
      <c r="A209" s="151">
        <v>5731</v>
      </c>
      <c r="B209" s="508" t="s">
        <v>323</v>
      </c>
      <c r="C209" s="510">
        <v>1184998.3431915683</v>
      </c>
      <c r="D209" s="312">
        <f>VLOOKUP(B209,Synthèse!$B$6:$O$314,5,FALSE)</f>
        <v>1016097.8406262205</v>
      </c>
      <c r="E209" s="317">
        <f t="shared" si="9"/>
        <v>-168900.50256534782</v>
      </c>
      <c r="F209" s="509">
        <v>574516.29855215969</v>
      </c>
      <c r="G209" s="233">
        <f>VLOOKUP(B209,Synthèse!$B$6:$O$314,14,FALSE)</f>
        <v>885674.06857183343</v>
      </c>
      <c r="H209" s="317">
        <f t="shared" si="10"/>
        <v>311157.77001967374</v>
      </c>
      <c r="I209" s="510">
        <v>168692.22395178431</v>
      </c>
      <c r="J209" s="233">
        <f>VLOOKUP(B209,Synthèse!$B$6:$O$314,12,FALSE)</f>
        <v>195654.85341906472</v>
      </c>
      <c r="K209" s="317">
        <f t="shared" si="11"/>
        <v>26962.629467280407</v>
      </c>
    </row>
    <row r="210" spans="1:11" s="514" customFormat="1" ht="15" x14ac:dyDescent="0.25">
      <c r="A210" s="151">
        <v>5732</v>
      </c>
      <c r="B210" s="508" t="s">
        <v>324</v>
      </c>
      <c r="C210" s="510">
        <v>1665162.8166529909</v>
      </c>
      <c r="D210" s="312">
        <f>VLOOKUP(B210,Synthèse!$B$6:$O$314,5,FALSE)</f>
        <v>1479969.8915689634</v>
      </c>
      <c r="E210" s="317">
        <f t="shared" si="9"/>
        <v>-185192.92508402746</v>
      </c>
      <c r="F210" s="509">
        <v>1153062.7979009841</v>
      </c>
      <c r="G210" s="233">
        <f>VLOOKUP(B210,Synthèse!$B$6:$O$314,14,FALSE)</f>
        <v>1182626.1819479405</v>
      </c>
      <c r="H210" s="317">
        <f t="shared" si="10"/>
        <v>29563.384046956431</v>
      </c>
      <c r="I210" s="510">
        <v>170474.32769366278</v>
      </c>
      <c r="J210" s="233">
        <f>VLOOKUP(B210,Synthèse!$B$6:$O$314,12,FALSE)</f>
        <v>186315.73774426919</v>
      </c>
      <c r="K210" s="317">
        <f t="shared" si="11"/>
        <v>15841.410050606413</v>
      </c>
    </row>
    <row r="211" spans="1:11" s="514" customFormat="1" ht="15" x14ac:dyDescent="0.25">
      <c r="A211" s="151">
        <v>5741</v>
      </c>
      <c r="B211" s="508" t="s">
        <v>325</v>
      </c>
      <c r="C211" s="510">
        <v>138080.13424146251</v>
      </c>
      <c r="D211" s="312">
        <f>VLOOKUP(B211,Synthèse!$B$6:$O$314,5,FALSE)</f>
        <v>124809.40103789062</v>
      </c>
      <c r="E211" s="317">
        <f t="shared" si="9"/>
        <v>-13270.733203571886</v>
      </c>
      <c r="F211" s="509">
        <v>-101862.37297312541</v>
      </c>
      <c r="G211" s="233">
        <f>VLOOKUP(B211,Synthèse!$B$6:$O$314,14,FALSE)</f>
        <v>-128675.74627646577</v>
      </c>
      <c r="H211" s="317">
        <f t="shared" si="10"/>
        <v>-26813.373303340355</v>
      </c>
      <c r="I211" s="510">
        <v>23750.670244413872</v>
      </c>
      <c r="J211" s="233">
        <f>VLOOKUP(B211,Synthèse!$B$6:$O$314,12,FALSE)</f>
        <v>22374.860209290011</v>
      </c>
      <c r="K211" s="317">
        <f t="shared" si="11"/>
        <v>-1375.8100351238609</v>
      </c>
    </row>
    <row r="212" spans="1:11" s="514" customFormat="1" ht="15" x14ac:dyDescent="0.25">
      <c r="A212" s="151">
        <v>5742</v>
      </c>
      <c r="B212" s="508" t="s">
        <v>326</v>
      </c>
      <c r="C212" s="510">
        <v>150305.81450964147</v>
      </c>
      <c r="D212" s="312">
        <f>VLOOKUP(B212,Synthèse!$B$6:$O$314,5,FALSE)</f>
        <v>137019.61154204703</v>
      </c>
      <c r="E212" s="317">
        <f t="shared" si="9"/>
        <v>-13286.202967594436</v>
      </c>
      <c r="F212" s="509">
        <v>6890.8016318786249</v>
      </c>
      <c r="G212" s="233">
        <f>VLOOKUP(B212,Synthèse!$B$6:$O$314,14,FALSE)</f>
        <v>-123170.25762269858</v>
      </c>
      <c r="H212" s="317">
        <f t="shared" si="10"/>
        <v>-130061.05925457721</v>
      </c>
      <c r="I212" s="510">
        <v>28739.316203464117</v>
      </c>
      <c r="J212" s="233">
        <f>VLOOKUP(B212,Synthèse!$B$6:$O$314,12,FALSE)</f>
        <v>27197.337075056443</v>
      </c>
      <c r="K212" s="317">
        <f t="shared" si="11"/>
        <v>-1541.9791284076746</v>
      </c>
    </row>
    <row r="213" spans="1:11" s="514" customFormat="1" ht="15" x14ac:dyDescent="0.25">
      <c r="A213" s="151">
        <v>5743</v>
      </c>
      <c r="B213" s="508" t="s">
        <v>264</v>
      </c>
      <c r="C213" s="510">
        <v>433232.00045217597</v>
      </c>
      <c r="D213" s="312">
        <f>VLOOKUP(B213,Synthèse!$B$6:$O$314,5,FALSE)</f>
        <v>310678.15609504585</v>
      </c>
      <c r="E213" s="317">
        <f t="shared" si="9"/>
        <v>-122553.84435713012</v>
      </c>
      <c r="F213" s="509">
        <v>18128.908165142988</v>
      </c>
      <c r="G213" s="233">
        <f>VLOOKUP(B213,Synthèse!$B$6:$O$314,14,FALSE)</f>
        <v>25164.223473130871</v>
      </c>
      <c r="H213" s="317">
        <f t="shared" si="10"/>
        <v>7035.315307987883</v>
      </c>
      <c r="I213" s="510">
        <v>58826.668587161381</v>
      </c>
      <c r="J213" s="233">
        <f>VLOOKUP(B213,Synthèse!$B$6:$O$314,12,FALSE)</f>
        <v>62792.505852252114</v>
      </c>
      <c r="K213" s="317">
        <f t="shared" si="11"/>
        <v>3965.8372650907331</v>
      </c>
    </row>
    <row r="214" spans="1:11" s="514" customFormat="1" ht="15" x14ac:dyDescent="0.25">
      <c r="A214" s="151">
        <v>5744</v>
      </c>
      <c r="B214" s="508" t="s">
        <v>265</v>
      </c>
      <c r="C214" s="510">
        <v>1001497.786500917</v>
      </c>
      <c r="D214" s="312">
        <f>VLOOKUP(B214,Synthèse!$B$6:$O$314,5,FALSE)</f>
        <v>1007958.9079965748</v>
      </c>
      <c r="E214" s="317">
        <f t="shared" si="9"/>
        <v>6461.1214956577169</v>
      </c>
      <c r="F214" s="509">
        <v>-128581.47457699268</v>
      </c>
      <c r="G214" s="233">
        <f>VLOOKUP(B214,Synthèse!$B$6:$O$314,14,FALSE)</f>
        <v>-19801.722853292245</v>
      </c>
      <c r="H214" s="317">
        <f t="shared" si="10"/>
        <v>108779.75172370044</v>
      </c>
      <c r="I214" s="510">
        <v>116617.37319378136</v>
      </c>
      <c r="J214" s="233">
        <f>VLOOKUP(B214,Synthèse!$B$6:$O$314,12,FALSE)</f>
        <v>122873.48768537663</v>
      </c>
      <c r="K214" s="317">
        <f t="shared" si="11"/>
        <v>6256.1144915952755</v>
      </c>
    </row>
    <row r="215" spans="1:11" s="514" customFormat="1" ht="15" x14ac:dyDescent="0.25">
      <c r="A215" s="151">
        <v>5745</v>
      </c>
      <c r="B215" s="508" t="s">
        <v>266</v>
      </c>
      <c r="C215" s="510">
        <v>621213.73741733329</v>
      </c>
      <c r="D215" s="312">
        <f>VLOOKUP(B215,Synthèse!$B$6:$O$314,5,FALSE)</f>
        <v>468319.12510337506</v>
      </c>
      <c r="E215" s="317">
        <f t="shared" si="9"/>
        <v>-152894.61231395823</v>
      </c>
      <c r="F215" s="509">
        <v>-375504.47104992205</v>
      </c>
      <c r="G215" s="233">
        <f>VLOOKUP(B215,Synthèse!$B$6:$O$314,14,FALSE)</f>
        <v>-638295.41685027978</v>
      </c>
      <c r="H215" s="317">
        <f t="shared" si="10"/>
        <v>-262790.94580035773</v>
      </c>
      <c r="I215" s="510">
        <v>84808.952915194881</v>
      </c>
      <c r="J215" s="233">
        <f>VLOOKUP(B215,Synthèse!$B$6:$O$314,12,FALSE)</f>
        <v>81604.123740888856</v>
      </c>
      <c r="K215" s="317">
        <f t="shared" si="11"/>
        <v>-3204.8291743060254</v>
      </c>
    </row>
    <row r="216" spans="1:11" s="514" customFormat="1" ht="15" x14ac:dyDescent="0.25">
      <c r="A216" s="151">
        <v>5746</v>
      </c>
      <c r="B216" s="508" t="s">
        <v>267</v>
      </c>
      <c r="C216" s="510">
        <v>480772.10537827434</v>
      </c>
      <c r="D216" s="312">
        <f>VLOOKUP(B216,Synthèse!$B$6:$O$314,5,FALSE)</f>
        <v>616652.67683811358</v>
      </c>
      <c r="E216" s="317">
        <f t="shared" si="9"/>
        <v>135880.57145983924</v>
      </c>
      <c r="F216" s="509">
        <v>-146814.0203003177</v>
      </c>
      <c r="G216" s="233">
        <f>VLOOKUP(B216,Synthèse!$B$6:$O$314,14,FALSE)</f>
        <v>-93505.443085301144</v>
      </c>
      <c r="H216" s="317">
        <f t="shared" si="10"/>
        <v>53308.577215016558</v>
      </c>
      <c r="I216" s="510">
        <v>83637.303206640849</v>
      </c>
      <c r="J216" s="233">
        <f>VLOOKUP(B216,Synthèse!$B$6:$O$314,12,FALSE)</f>
        <v>91316.658457721191</v>
      </c>
      <c r="K216" s="317">
        <f t="shared" si="11"/>
        <v>7679.355251080342</v>
      </c>
    </row>
    <row r="217" spans="1:11" s="514" customFormat="1" ht="15" x14ac:dyDescent="0.25">
      <c r="A217" s="151">
        <v>5747</v>
      </c>
      <c r="B217" s="508" t="s">
        <v>268</v>
      </c>
      <c r="C217" s="510">
        <v>96159.615041023135</v>
      </c>
      <c r="D217" s="312">
        <f>VLOOKUP(B217,Synthèse!$B$6:$O$314,5,FALSE)</f>
        <v>100160.36851583535</v>
      </c>
      <c r="E217" s="317">
        <f t="shared" si="9"/>
        <v>4000.7534748122125</v>
      </c>
      <c r="F217" s="509">
        <v>-33940.605387544427</v>
      </c>
      <c r="G217" s="233">
        <f>VLOOKUP(B217,Synthèse!$B$6:$O$314,14,FALSE)</f>
        <v>-25210.987929367999</v>
      </c>
      <c r="H217" s="317">
        <f t="shared" si="10"/>
        <v>8729.617458176428</v>
      </c>
      <c r="I217" s="510">
        <v>15706.399176642339</v>
      </c>
      <c r="J217" s="233">
        <f>VLOOKUP(B217,Synthèse!$B$6:$O$314,12,FALSE)</f>
        <v>16876.206727063298</v>
      </c>
      <c r="K217" s="317">
        <f t="shared" si="11"/>
        <v>1169.8075504209592</v>
      </c>
    </row>
    <row r="218" spans="1:11" s="514" customFormat="1" ht="15" x14ac:dyDescent="0.25">
      <c r="A218" s="151">
        <v>5748</v>
      </c>
      <c r="B218" s="508" t="s">
        <v>269</v>
      </c>
      <c r="C218" s="510">
        <v>109215.58020836918</v>
      </c>
      <c r="D218" s="312">
        <f>VLOOKUP(B218,Synthèse!$B$6:$O$314,5,FALSE)</f>
        <v>92620.248816850915</v>
      </c>
      <c r="E218" s="317">
        <f t="shared" si="9"/>
        <v>-16595.331391518266</v>
      </c>
      <c r="F218" s="509">
        <v>-106301.96807773628</v>
      </c>
      <c r="G218" s="233">
        <f>VLOOKUP(B218,Synthèse!$B$6:$O$314,14,FALSE)</f>
        <v>-114668.6097241783</v>
      </c>
      <c r="H218" s="317">
        <f t="shared" si="10"/>
        <v>-8366.6416464420181</v>
      </c>
      <c r="I218" s="510">
        <v>17397.867698175796</v>
      </c>
      <c r="J218" s="233">
        <f>VLOOKUP(B218,Synthèse!$B$6:$O$314,12,FALSE)</f>
        <v>17257.352320321661</v>
      </c>
      <c r="K218" s="317">
        <f t="shared" si="11"/>
        <v>-140.51537785413529</v>
      </c>
    </row>
    <row r="219" spans="1:11" s="514" customFormat="1" ht="15" x14ac:dyDescent="0.25">
      <c r="A219" s="151">
        <v>5749</v>
      </c>
      <c r="B219" s="508" t="s">
        <v>270</v>
      </c>
      <c r="C219" s="510">
        <v>2497620.9453546721</v>
      </c>
      <c r="D219" s="312">
        <f>VLOOKUP(B219,Synthèse!$B$6:$O$314,5,FALSE)</f>
        <v>2487733.5405925326</v>
      </c>
      <c r="E219" s="317">
        <f t="shared" si="9"/>
        <v>-9887.4047621395439</v>
      </c>
      <c r="F219" s="509">
        <v>-1347504.5393057764</v>
      </c>
      <c r="G219" s="233">
        <f>VLOOKUP(B219,Synthèse!$B$6:$O$314,14,FALSE)</f>
        <v>-2086809.6418106304</v>
      </c>
      <c r="H219" s="317">
        <f t="shared" si="10"/>
        <v>-739305.10250485409</v>
      </c>
      <c r="I219" s="510">
        <v>431288.56613412715</v>
      </c>
      <c r="J219" s="233">
        <f>VLOOKUP(B219,Synthèse!$B$6:$O$314,12,FALSE)</f>
        <v>421559.99329534313</v>
      </c>
      <c r="K219" s="317">
        <f t="shared" si="11"/>
        <v>-9728.5728387840209</v>
      </c>
    </row>
    <row r="220" spans="1:11" s="514" customFormat="1" ht="15" x14ac:dyDescent="0.25">
      <c r="A220" s="151">
        <v>5750</v>
      </c>
      <c r="B220" s="508" t="s">
        <v>271</v>
      </c>
      <c r="C220" s="510">
        <v>79591.055148962041</v>
      </c>
      <c r="D220" s="312">
        <f>VLOOKUP(B220,Synthèse!$B$6:$O$314,5,FALSE)</f>
        <v>84458.480184872766</v>
      </c>
      <c r="E220" s="317">
        <f t="shared" si="9"/>
        <v>4867.4250359107245</v>
      </c>
      <c r="F220" s="509">
        <v>-48905.119059369143</v>
      </c>
      <c r="G220" s="233">
        <f>VLOOKUP(B220,Synthèse!$B$6:$O$314,14,FALSE)</f>
        <v>-25255.742101474927</v>
      </c>
      <c r="H220" s="317">
        <f t="shared" si="10"/>
        <v>23649.376957894216</v>
      </c>
      <c r="I220" s="510">
        <v>16570.282470488248</v>
      </c>
      <c r="J220" s="233">
        <f>VLOOKUP(B220,Synthèse!$B$6:$O$314,12,FALSE)</f>
        <v>18567.84317188109</v>
      </c>
      <c r="K220" s="317">
        <f t="shared" si="11"/>
        <v>1997.560701392842</v>
      </c>
    </row>
    <row r="221" spans="1:11" s="514" customFormat="1" ht="15" x14ac:dyDescent="0.25">
      <c r="A221" s="151">
        <v>5752</v>
      </c>
      <c r="B221" s="508" t="s">
        <v>330</v>
      </c>
      <c r="C221" s="510">
        <v>192543.8482392311</v>
      </c>
      <c r="D221" s="312">
        <f>VLOOKUP(B221,Synthèse!$B$6:$O$314,5,FALSE)</f>
        <v>161349.69491089968</v>
      </c>
      <c r="E221" s="317">
        <f t="shared" si="9"/>
        <v>-31194.15332833142</v>
      </c>
      <c r="F221" s="509">
        <v>-144150.53269380331</v>
      </c>
      <c r="G221" s="233">
        <f>VLOOKUP(B221,Synthèse!$B$6:$O$314,14,FALSE)</f>
        <v>-614164.93589415285</v>
      </c>
      <c r="H221" s="317">
        <f t="shared" si="10"/>
        <v>-470014.40320034954</v>
      </c>
      <c r="I221" s="510">
        <v>34312.31786159589</v>
      </c>
      <c r="J221" s="233">
        <f>VLOOKUP(B221,Synthèse!$B$6:$O$314,12,FALSE)</f>
        <v>28235.414286526553</v>
      </c>
      <c r="K221" s="317">
        <f t="shared" si="11"/>
        <v>-6076.9035750693365</v>
      </c>
    </row>
    <row r="222" spans="1:11" s="514" customFormat="1" ht="15" x14ac:dyDescent="0.25">
      <c r="A222" s="151">
        <v>5754</v>
      </c>
      <c r="B222" s="508" t="s">
        <v>331</v>
      </c>
      <c r="C222" s="510">
        <v>128643.32207824853</v>
      </c>
      <c r="D222" s="312">
        <f>VLOOKUP(B222,Synthèse!$B$6:$O$314,5,FALSE)</f>
        <v>120879.37434472695</v>
      </c>
      <c r="E222" s="317">
        <f t="shared" si="9"/>
        <v>-7763.9477335215779</v>
      </c>
      <c r="F222" s="509">
        <v>-44025.415923534572</v>
      </c>
      <c r="G222" s="233">
        <f>VLOOKUP(B222,Synthèse!$B$6:$O$314,14,FALSE)</f>
        <v>-154618.30778488921</v>
      </c>
      <c r="H222" s="317">
        <f t="shared" si="10"/>
        <v>-110592.89186135464</v>
      </c>
      <c r="I222" s="510">
        <v>25753.808240285249</v>
      </c>
      <c r="J222" s="233">
        <f>VLOOKUP(B222,Synthèse!$B$6:$O$314,12,FALSE)</f>
        <v>24435.614318041007</v>
      </c>
      <c r="K222" s="317">
        <f t="shared" si="11"/>
        <v>-1318.1939222442415</v>
      </c>
    </row>
    <row r="223" spans="1:11" s="514" customFormat="1" ht="15" x14ac:dyDescent="0.25">
      <c r="A223" s="151">
        <v>5755</v>
      </c>
      <c r="B223" s="508" t="s">
        <v>332</v>
      </c>
      <c r="C223" s="510">
        <v>167768.69019446126</v>
      </c>
      <c r="D223" s="312">
        <f>VLOOKUP(B223,Synthèse!$B$6:$O$314,5,FALSE)</f>
        <v>265175.7398544664</v>
      </c>
      <c r="E223" s="317">
        <f t="shared" si="9"/>
        <v>97407.049660005141</v>
      </c>
      <c r="F223" s="509">
        <v>-278388.56873348891</v>
      </c>
      <c r="G223" s="233">
        <f>VLOOKUP(B223,Synthèse!$B$6:$O$314,14,FALSE)</f>
        <v>-696620.59191994497</v>
      </c>
      <c r="H223" s="317">
        <f t="shared" si="10"/>
        <v>-418232.02318645606</v>
      </c>
      <c r="I223" s="510">
        <v>30145.453597763844</v>
      </c>
      <c r="J223" s="233">
        <f>VLOOKUP(B223,Synthèse!$B$6:$O$314,12,FALSE)</f>
        <v>27087.093103457686</v>
      </c>
      <c r="K223" s="317">
        <f t="shared" si="11"/>
        <v>-3058.3604943061582</v>
      </c>
    </row>
    <row r="224" spans="1:11" s="514" customFormat="1" ht="15" x14ac:dyDescent="0.25">
      <c r="A224" s="151">
        <v>5756</v>
      </c>
      <c r="B224" s="508" t="s">
        <v>333</v>
      </c>
      <c r="C224" s="510">
        <v>268180.39736784721</v>
      </c>
      <c r="D224" s="312">
        <f>VLOOKUP(B224,Synthèse!$B$6:$O$314,5,FALSE)</f>
        <v>267238.51405768143</v>
      </c>
      <c r="E224" s="317">
        <f t="shared" si="9"/>
        <v>-941.88331016578013</v>
      </c>
      <c r="F224" s="509">
        <v>98124.707861100062</v>
      </c>
      <c r="G224" s="233">
        <f>VLOOKUP(B224,Synthèse!$B$6:$O$314,14,FALSE)</f>
        <v>-13342.016172319898</v>
      </c>
      <c r="H224" s="317">
        <f t="shared" si="10"/>
        <v>-111466.72403341996</v>
      </c>
      <c r="I224" s="510">
        <v>21827.770412485381</v>
      </c>
      <c r="J224" s="233">
        <f>VLOOKUP(B224,Synthèse!$B$6:$O$314,12,FALSE)</f>
        <v>18510.5103793489</v>
      </c>
      <c r="K224" s="317">
        <f t="shared" si="11"/>
        <v>-3317.2600331364811</v>
      </c>
    </row>
    <row r="225" spans="1:11" s="514" customFormat="1" ht="15" x14ac:dyDescent="0.25">
      <c r="A225" s="151">
        <v>5757</v>
      </c>
      <c r="B225" s="508" t="s">
        <v>334</v>
      </c>
      <c r="C225" s="510">
        <v>4577553.9374422561</v>
      </c>
      <c r="D225" s="312">
        <f>VLOOKUP(B225,Synthèse!$B$6:$O$314,5,FALSE)</f>
        <v>4230593.9084623726</v>
      </c>
      <c r="E225" s="317">
        <f t="shared" si="9"/>
        <v>-346960.02897988353</v>
      </c>
      <c r="F225" s="509">
        <v>-2882160.1104972614</v>
      </c>
      <c r="G225" s="233">
        <f>VLOOKUP(B225,Synthèse!$B$6:$O$314,14,FALSE)</f>
        <v>-4324719.4737687046</v>
      </c>
      <c r="H225" s="317">
        <f t="shared" si="10"/>
        <v>-1442559.3632714432</v>
      </c>
      <c r="I225" s="510">
        <v>271507.06719811913</v>
      </c>
      <c r="J225" s="233">
        <f>VLOOKUP(B225,Synthèse!$B$6:$O$314,12,FALSE)</f>
        <v>239374.38203123538</v>
      </c>
      <c r="K225" s="317">
        <f t="shared" si="11"/>
        <v>-32132.685166883748</v>
      </c>
    </row>
    <row r="226" spans="1:11" s="514" customFormat="1" ht="15" x14ac:dyDescent="0.25">
      <c r="A226" s="151">
        <v>5758</v>
      </c>
      <c r="B226" s="508" t="s">
        <v>216</v>
      </c>
      <c r="C226" s="510">
        <v>101219.14778899857</v>
      </c>
      <c r="D226" s="312">
        <f>VLOOKUP(B226,Synthèse!$B$6:$O$314,5,FALSE)</f>
        <v>70670.02289921882</v>
      </c>
      <c r="E226" s="317">
        <f t="shared" si="9"/>
        <v>-30549.124889779749</v>
      </c>
      <c r="F226" s="509">
        <v>-43214.221296378179</v>
      </c>
      <c r="G226" s="233">
        <f>VLOOKUP(B226,Synthèse!$B$6:$O$314,14,FALSE)</f>
        <v>-63350.974293157531</v>
      </c>
      <c r="H226" s="317">
        <f t="shared" si="10"/>
        <v>-20136.752996779353</v>
      </c>
      <c r="I226" s="510">
        <v>14209.49231879941</v>
      </c>
      <c r="J226" s="233">
        <f>VLOOKUP(B226,Synthèse!$B$6:$O$314,12,FALSE)</f>
        <v>12992.447501173414</v>
      </c>
      <c r="K226" s="317">
        <f t="shared" si="11"/>
        <v>-1217.0448176259961</v>
      </c>
    </row>
    <row r="227" spans="1:11" s="514" customFormat="1" ht="15" x14ac:dyDescent="0.25">
      <c r="A227" s="151">
        <v>5759</v>
      </c>
      <c r="B227" s="508" t="s">
        <v>217</v>
      </c>
      <c r="C227" s="510">
        <v>103694.98847397922</v>
      </c>
      <c r="D227" s="312">
        <f>VLOOKUP(B227,Synthèse!$B$6:$O$314,5,FALSE)</f>
        <v>92241.779467405417</v>
      </c>
      <c r="E227" s="317">
        <f t="shared" si="9"/>
        <v>-11453.209006573801</v>
      </c>
      <c r="F227" s="509">
        <v>-130814.5650759116</v>
      </c>
      <c r="G227" s="233">
        <f>VLOOKUP(B227,Synthèse!$B$6:$O$314,14,FALSE)</f>
        <v>-112799.17137817095</v>
      </c>
      <c r="H227" s="317">
        <f t="shared" si="10"/>
        <v>18015.393697740641</v>
      </c>
      <c r="I227" s="510">
        <v>15114.076348472239</v>
      </c>
      <c r="J227" s="233">
        <f>VLOOKUP(B227,Synthèse!$B$6:$O$314,12,FALSE)</f>
        <v>16075.480294072899</v>
      </c>
      <c r="K227" s="317">
        <f t="shared" si="11"/>
        <v>961.40394560065943</v>
      </c>
    </row>
    <row r="228" spans="1:11" s="514" customFormat="1" ht="15" x14ac:dyDescent="0.25">
      <c r="A228" s="151">
        <v>5760</v>
      </c>
      <c r="B228" s="508" t="s">
        <v>218</v>
      </c>
      <c r="C228" s="510">
        <v>219110.43101214201</v>
      </c>
      <c r="D228" s="312">
        <f>VLOOKUP(B228,Synthèse!$B$6:$O$314,5,FALSE)</f>
        <v>227755.46846837425</v>
      </c>
      <c r="E228" s="317">
        <f t="shared" si="9"/>
        <v>8645.0374562322395</v>
      </c>
      <c r="F228" s="509">
        <v>-217854.38945612428</v>
      </c>
      <c r="G228" s="233">
        <f>VLOOKUP(B228,Synthèse!$B$6:$O$314,14,FALSE)</f>
        <v>-250474.36174459214</v>
      </c>
      <c r="H228" s="317">
        <f t="shared" si="10"/>
        <v>-32619.972288467863</v>
      </c>
      <c r="I228" s="510">
        <v>36194.046940718436</v>
      </c>
      <c r="J228" s="233">
        <f>VLOOKUP(B228,Synthèse!$B$6:$O$314,12,FALSE)</f>
        <v>38744.452627377592</v>
      </c>
      <c r="K228" s="317">
        <f t="shared" si="11"/>
        <v>2550.4056866591563</v>
      </c>
    </row>
    <row r="229" spans="1:11" s="514" customFormat="1" ht="15" x14ac:dyDescent="0.25">
      <c r="A229" s="151">
        <v>5761</v>
      </c>
      <c r="B229" s="508" t="s">
        <v>135</v>
      </c>
      <c r="C229" s="510">
        <v>281741.87841426145</v>
      </c>
      <c r="D229" s="312">
        <f>VLOOKUP(B229,Synthèse!$B$6:$O$314,5,FALSE)</f>
        <v>250006.30959882331</v>
      </c>
      <c r="E229" s="317">
        <f t="shared" si="9"/>
        <v>-31735.568815438135</v>
      </c>
      <c r="F229" s="509">
        <v>-134003.23715592851</v>
      </c>
      <c r="G229" s="233">
        <f>VLOOKUP(B229,Synthèse!$B$6:$O$314,14,FALSE)</f>
        <v>-378275.22464764456</v>
      </c>
      <c r="H229" s="317">
        <f t="shared" si="10"/>
        <v>-244271.98749171605</v>
      </c>
      <c r="I229" s="510">
        <v>46544.243616346881</v>
      </c>
      <c r="J229" s="233">
        <f>VLOOKUP(B229,Synthèse!$B$6:$O$314,12,FALSE)</f>
        <v>36377.710316807759</v>
      </c>
      <c r="K229" s="317">
        <f t="shared" si="11"/>
        <v>-10166.533299539122</v>
      </c>
    </row>
    <row r="230" spans="1:11" s="514" customFormat="1" ht="15" x14ac:dyDescent="0.25">
      <c r="A230" s="151">
        <v>5762</v>
      </c>
      <c r="B230" s="508" t="s">
        <v>136</v>
      </c>
      <c r="C230" s="510">
        <v>60104.580568030055</v>
      </c>
      <c r="D230" s="312">
        <f>VLOOKUP(B230,Synthèse!$B$6:$O$314,5,FALSE)</f>
        <v>50974.901517918064</v>
      </c>
      <c r="E230" s="317">
        <f t="shared" si="9"/>
        <v>-9129.6790501119904</v>
      </c>
      <c r="F230" s="509">
        <v>-29955.317257475643</v>
      </c>
      <c r="G230" s="233">
        <f>VLOOKUP(B230,Synthèse!$B$6:$O$314,14,FALSE)</f>
        <v>-51028.309912232711</v>
      </c>
      <c r="H230" s="317">
        <f t="shared" si="10"/>
        <v>-21072.992654757069</v>
      </c>
      <c r="I230" s="510">
        <v>12005.490655750029</v>
      </c>
      <c r="J230" s="233">
        <f>VLOOKUP(B230,Synthèse!$B$6:$O$314,12,FALSE)</f>
        <v>11450.057400961428</v>
      </c>
      <c r="K230" s="317">
        <f t="shared" si="11"/>
        <v>-555.43325478860061</v>
      </c>
    </row>
    <row r="231" spans="1:11" s="514" customFormat="1" ht="15" x14ac:dyDescent="0.25">
      <c r="A231" s="151">
        <v>5763</v>
      </c>
      <c r="B231" s="508" t="s">
        <v>137</v>
      </c>
      <c r="C231" s="510">
        <v>327535.01869700267</v>
      </c>
      <c r="D231" s="312">
        <f>VLOOKUP(B231,Synthèse!$B$6:$O$314,5,FALSE)</f>
        <v>303678.99190062348</v>
      </c>
      <c r="E231" s="317">
        <f t="shared" si="9"/>
        <v>-23856.026796379185</v>
      </c>
      <c r="F231" s="509">
        <v>26461.315069188451</v>
      </c>
      <c r="G231" s="233">
        <f>VLOOKUP(B231,Synthèse!$B$6:$O$314,14,FALSE)</f>
        <v>36353.926210952894</v>
      </c>
      <c r="H231" s="317">
        <f t="shared" si="10"/>
        <v>9892.6111417644424</v>
      </c>
      <c r="I231" s="510">
        <v>66689.007260291779</v>
      </c>
      <c r="J231" s="233">
        <f>VLOOKUP(B231,Synthèse!$B$6:$O$314,12,FALSE)</f>
        <v>62210.668904781065</v>
      </c>
      <c r="K231" s="317">
        <f t="shared" si="11"/>
        <v>-4478.3383555107139</v>
      </c>
    </row>
    <row r="232" spans="1:11" s="514" customFormat="1" ht="15" x14ac:dyDescent="0.25">
      <c r="A232" s="151">
        <v>5764</v>
      </c>
      <c r="B232" s="508" t="s">
        <v>335</v>
      </c>
      <c r="C232" s="510">
        <v>2149687.4564380683</v>
      </c>
      <c r="D232" s="312">
        <f>VLOOKUP(B232,Synthèse!$B$6:$O$314,5,FALSE)</f>
        <v>2010847.2256480502</v>
      </c>
      <c r="E232" s="317">
        <f t="shared" si="9"/>
        <v>-138840.2307900181</v>
      </c>
      <c r="F232" s="509">
        <v>-3403437.1586179864</v>
      </c>
      <c r="G232" s="233">
        <f>VLOOKUP(B232,Synthèse!$B$6:$O$314,14,FALSE)</f>
        <v>-3756322.3915606048</v>
      </c>
      <c r="H232" s="317">
        <f t="shared" si="10"/>
        <v>-352885.23294261843</v>
      </c>
      <c r="I232" s="510">
        <v>264948.01478676946</v>
      </c>
      <c r="J232" s="233">
        <f>VLOOKUP(B232,Synthèse!$B$6:$O$314,12,FALSE)</f>
        <v>253547.19292210531</v>
      </c>
      <c r="K232" s="317">
        <f t="shared" si="11"/>
        <v>-11400.821864664147</v>
      </c>
    </row>
    <row r="233" spans="1:11" s="514" customFormat="1" ht="15" x14ac:dyDescent="0.25">
      <c r="A233" s="151">
        <v>5765</v>
      </c>
      <c r="B233" s="508" t="s">
        <v>336</v>
      </c>
      <c r="C233" s="510">
        <v>191505.04473323288</v>
      </c>
      <c r="D233" s="312">
        <f>VLOOKUP(B233,Synthèse!$B$6:$O$314,5,FALSE)</f>
        <v>218022.75083541835</v>
      </c>
      <c r="E233" s="317">
        <f t="shared" si="9"/>
        <v>26517.706102185475</v>
      </c>
      <c r="F233" s="509">
        <v>-306417.07378003717</v>
      </c>
      <c r="G233" s="233">
        <f>VLOOKUP(B233,Synthèse!$B$6:$O$314,14,FALSE)</f>
        <v>-344720.96119344281</v>
      </c>
      <c r="H233" s="317">
        <f t="shared" si="10"/>
        <v>-38303.887413405639</v>
      </c>
      <c r="I233" s="510">
        <v>30968.694602668744</v>
      </c>
      <c r="J233" s="233">
        <f>VLOOKUP(B233,Synthèse!$B$6:$O$314,12,FALSE)</f>
        <v>34317.460371400841</v>
      </c>
      <c r="K233" s="317">
        <f t="shared" si="11"/>
        <v>3348.7657687320971</v>
      </c>
    </row>
    <row r="234" spans="1:11" s="514" customFormat="1" ht="15" x14ac:dyDescent="0.25">
      <c r="A234" s="151">
        <v>5766</v>
      </c>
      <c r="B234" s="508" t="s">
        <v>337</v>
      </c>
      <c r="C234" s="510">
        <v>230679.47534633279</v>
      </c>
      <c r="D234" s="312">
        <f>VLOOKUP(B234,Synthèse!$B$6:$O$314,5,FALSE)</f>
        <v>244222.18551944895</v>
      </c>
      <c r="E234" s="317">
        <f t="shared" si="9"/>
        <v>13542.710173116153</v>
      </c>
      <c r="F234" s="509">
        <v>-227625.33281286724</v>
      </c>
      <c r="G234" s="233">
        <f>VLOOKUP(B234,Synthèse!$B$6:$O$314,14,FALSE)</f>
        <v>-167828.13681432931</v>
      </c>
      <c r="H234" s="317">
        <f t="shared" si="10"/>
        <v>59797.195998537936</v>
      </c>
      <c r="I234" s="510">
        <v>41575.553700329387</v>
      </c>
      <c r="J234" s="233">
        <f>VLOOKUP(B234,Synthèse!$B$6:$O$314,12,FALSE)</f>
        <v>48725.23621420002</v>
      </c>
      <c r="K234" s="317">
        <f t="shared" si="11"/>
        <v>7149.6825138706336</v>
      </c>
    </row>
    <row r="235" spans="1:11" s="514" customFormat="1" ht="15" x14ac:dyDescent="0.25">
      <c r="A235" s="151">
        <v>5785</v>
      </c>
      <c r="B235" s="508" t="s">
        <v>278</v>
      </c>
      <c r="C235" s="510">
        <v>265592.81046821352</v>
      </c>
      <c r="D235" s="312">
        <f>VLOOKUP(B235,Synthèse!$B$6:$O$314,5,FALSE)</f>
        <v>302918.69763711595</v>
      </c>
      <c r="E235" s="317">
        <f t="shared" si="9"/>
        <v>37325.887168902438</v>
      </c>
      <c r="F235" s="509">
        <v>104885.81560457409</v>
      </c>
      <c r="G235" s="233">
        <f>VLOOKUP(B235,Synthèse!$B$6:$O$314,14,FALSE)</f>
        <v>114314.31527261203</v>
      </c>
      <c r="H235" s="317">
        <f t="shared" si="10"/>
        <v>9428.4996680379409</v>
      </c>
      <c r="I235" s="510">
        <v>49980.506897927255</v>
      </c>
      <c r="J235" s="233">
        <f>VLOOKUP(B235,Synthèse!$B$6:$O$314,12,FALSE)</f>
        <v>53617.16790569562</v>
      </c>
      <c r="K235" s="317">
        <f t="shared" si="11"/>
        <v>3636.6610077683654</v>
      </c>
    </row>
    <row r="236" spans="1:11" s="514" customFormat="1" ht="15" x14ac:dyDescent="0.25">
      <c r="A236" s="151">
        <v>5788</v>
      </c>
      <c r="B236" s="508" t="s">
        <v>279</v>
      </c>
      <c r="C236" s="510">
        <v>206319.6930809753</v>
      </c>
      <c r="D236" s="312">
        <f>VLOOKUP(B236,Synthèse!$B$6:$O$314,5,FALSE)</f>
        <v>255940.21827695286</v>
      </c>
      <c r="E236" s="317">
        <f t="shared" si="9"/>
        <v>49620.525195977563</v>
      </c>
      <c r="F236" s="509">
        <v>76847.962083043531</v>
      </c>
      <c r="G236" s="233">
        <f>VLOOKUP(B236,Synthèse!$B$6:$O$314,14,FALSE)</f>
        <v>205093.75551836655</v>
      </c>
      <c r="H236" s="317">
        <f t="shared" si="10"/>
        <v>128245.79343532302</v>
      </c>
      <c r="I236" s="510">
        <v>37733.693055889467</v>
      </c>
      <c r="J236" s="233">
        <f>VLOOKUP(B236,Synthèse!$B$6:$O$314,12,FALSE)</f>
        <v>49444.626349934311</v>
      </c>
      <c r="K236" s="317">
        <f t="shared" si="11"/>
        <v>11710.933294044844</v>
      </c>
    </row>
    <row r="237" spans="1:11" s="514" customFormat="1" ht="15" x14ac:dyDescent="0.25">
      <c r="A237" s="151">
        <v>5790</v>
      </c>
      <c r="B237" s="508" t="s">
        <v>280</v>
      </c>
      <c r="C237" s="510">
        <v>272707.67372285313</v>
      </c>
      <c r="D237" s="312">
        <f>VLOOKUP(B237,Synthèse!$B$6:$O$314,5,FALSE)</f>
        <v>211694.3803648093</v>
      </c>
      <c r="E237" s="317">
        <f t="shared" si="9"/>
        <v>-61013.293358043826</v>
      </c>
      <c r="F237" s="509">
        <v>-101346.85911195452</v>
      </c>
      <c r="G237" s="233">
        <f>VLOOKUP(B237,Synthèse!$B$6:$O$314,14,FALSE)</f>
        <v>-147663.86080953822</v>
      </c>
      <c r="H237" s="317">
        <f t="shared" si="10"/>
        <v>-46317.001697583706</v>
      </c>
      <c r="I237" s="510">
        <v>41797.731167447957</v>
      </c>
      <c r="J237" s="233">
        <f>VLOOKUP(B237,Synthèse!$B$6:$O$314,12,FALSE)</f>
        <v>40017.187944297999</v>
      </c>
      <c r="K237" s="317">
        <f t="shared" si="11"/>
        <v>-1780.5432231499581</v>
      </c>
    </row>
    <row r="238" spans="1:11" s="514" customFormat="1" ht="15" x14ac:dyDescent="0.25">
      <c r="A238" s="151">
        <v>5792</v>
      </c>
      <c r="B238" s="508" t="s">
        <v>281</v>
      </c>
      <c r="C238" s="510">
        <v>359042.84154238156</v>
      </c>
      <c r="D238" s="312">
        <f>VLOOKUP(B238,Synthèse!$B$6:$O$314,5,FALSE)</f>
        <v>293880.10088959552</v>
      </c>
      <c r="E238" s="317">
        <f t="shared" si="9"/>
        <v>-65162.740652786044</v>
      </c>
      <c r="F238" s="509">
        <v>-77276.08201609808</v>
      </c>
      <c r="G238" s="233">
        <f>VLOOKUP(B238,Synthèse!$B$6:$O$314,14,FALSE)</f>
        <v>-232478.2438525937</v>
      </c>
      <c r="H238" s="317">
        <f t="shared" si="10"/>
        <v>-155202.16183649562</v>
      </c>
      <c r="I238" s="510">
        <v>59372.295711909159</v>
      </c>
      <c r="J238" s="233">
        <f>VLOOKUP(B238,Synthèse!$B$6:$O$314,12,FALSE)</f>
        <v>52792.108608686656</v>
      </c>
      <c r="K238" s="317">
        <f t="shared" si="11"/>
        <v>-6580.1871032225026</v>
      </c>
    </row>
    <row r="239" spans="1:11" s="514" customFormat="1" ht="15" x14ac:dyDescent="0.25">
      <c r="A239" s="151">
        <v>5798</v>
      </c>
      <c r="B239" s="508" t="s">
        <v>282</v>
      </c>
      <c r="C239" s="510">
        <v>260432.08245498102</v>
      </c>
      <c r="D239" s="312">
        <f>VLOOKUP(B239,Synthèse!$B$6:$O$314,5,FALSE)</f>
        <v>253966.01819904763</v>
      </c>
      <c r="E239" s="317">
        <f t="shared" si="9"/>
        <v>-6466.0642559333937</v>
      </c>
      <c r="F239" s="509">
        <v>-64623.720154807554</v>
      </c>
      <c r="G239" s="233">
        <f>VLOOKUP(B239,Synthèse!$B$6:$O$314,14,FALSE)</f>
        <v>-53755.849692928648</v>
      </c>
      <c r="H239" s="317">
        <f t="shared" si="10"/>
        <v>10867.870461878905</v>
      </c>
      <c r="I239" s="510">
        <v>43585.7184157101</v>
      </c>
      <c r="J239" s="233">
        <f>VLOOKUP(B239,Synthèse!$B$6:$O$314,12,FALSE)</f>
        <v>47793.651648626284</v>
      </c>
      <c r="K239" s="317">
        <f t="shared" si="11"/>
        <v>4207.9332329161844</v>
      </c>
    </row>
    <row r="240" spans="1:11" s="514" customFormat="1" ht="15" x14ac:dyDescent="0.25">
      <c r="A240" s="151">
        <v>5799</v>
      </c>
      <c r="B240" s="508" t="s">
        <v>283</v>
      </c>
      <c r="C240" s="510">
        <v>1376497.4016691742</v>
      </c>
      <c r="D240" s="312">
        <f>VLOOKUP(B240,Synthèse!$B$6:$O$314,5,FALSE)</f>
        <v>1232637.2184629845</v>
      </c>
      <c r="E240" s="317">
        <f t="shared" si="9"/>
        <v>-143860.18320618966</v>
      </c>
      <c r="F240" s="509">
        <v>365122.37369467877</v>
      </c>
      <c r="G240" s="233">
        <f>VLOOKUP(B240,Synthèse!$B$6:$O$314,14,FALSE)</f>
        <v>-81563.889269150153</v>
      </c>
      <c r="H240" s="317">
        <f t="shared" si="10"/>
        <v>-446686.26296382892</v>
      </c>
      <c r="I240" s="510">
        <v>217557.23183842085</v>
      </c>
      <c r="J240" s="233">
        <f>VLOOKUP(B240,Synthèse!$B$6:$O$314,12,FALSE)</f>
        <v>208225.70661145225</v>
      </c>
      <c r="K240" s="317">
        <f t="shared" si="11"/>
        <v>-9331.5252269686025</v>
      </c>
    </row>
    <row r="241" spans="1:11" s="514" customFormat="1" ht="15" x14ac:dyDescent="0.25">
      <c r="A241" s="151">
        <v>5803</v>
      </c>
      <c r="B241" s="508" t="s">
        <v>384</v>
      </c>
      <c r="C241" s="510">
        <v>320468.31760822056</v>
      </c>
      <c r="D241" s="312">
        <f>VLOOKUP(B241,Synthèse!$B$6:$O$314,5,FALSE)</f>
        <v>287244.66154286067</v>
      </c>
      <c r="E241" s="317">
        <f t="shared" si="9"/>
        <v>-33223.656065359886</v>
      </c>
      <c r="F241" s="509">
        <v>-58806.955483917947</v>
      </c>
      <c r="G241" s="233">
        <f>VLOOKUP(B241,Synthèse!$B$6:$O$314,14,FALSE)</f>
        <v>-56774.432429778593</v>
      </c>
      <c r="H241" s="317">
        <f t="shared" si="10"/>
        <v>2032.5230541393539</v>
      </c>
      <c r="I241" s="510">
        <v>52731.041002830563</v>
      </c>
      <c r="J241" s="233">
        <f>VLOOKUP(B241,Synthèse!$B$6:$O$314,12,FALSE)</f>
        <v>57153.843862500165</v>
      </c>
      <c r="K241" s="317">
        <f t="shared" si="11"/>
        <v>4422.8028596696022</v>
      </c>
    </row>
    <row r="242" spans="1:11" s="514" customFormat="1" ht="15" x14ac:dyDescent="0.25">
      <c r="A242" s="151">
        <v>5804</v>
      </c>
      <c r="B242" s="508" t="s">
        <v>431</v>
      </c>
      <c r="C242" s="510">
        <v>781684.27594921854</v>
      </c>
      <c r="D242" s="312">
        <f>VLOOKUP(B242,Synthèse!$B$6:$O$314,5,FALSE)</f>
        <v>829441.00267313956</v>
      </c>
      <c r="E242" s="317">
        <f t="shared" si="9"/>
        <v>47756.72672392102</v>
      </c>
      <c r="F242" s="509">
        <v>-245890.45772492047</v>
      </c>
      <c r="G242" s="233">
        <f>VLOOKUP(B242,Synthèse!$B$6:$O$314,14,FALSE)</f>
        <v>-540036.04944535135</v>
      </c>
      <c r="H242" s="317">
        <f t="shared" si="10"/>
        <v>-294145.59172043088</v>
      </c>
      <c r="I242" s="510">
        <v>150774.61254981696</v>
      </c>
      <c r="J242" s="233">
        <f>VLOOKUP(B242,Synthèse!$B$6:$O$314,12,FALSE)</f>
        <v>140456.02833785198</v>
      </c>
      <c r="K242" s="317">
        <f t="shared" si="11"/>
        <v>-10318.584211964975</v>
      </c>
    </row>
    <row r="243" spans="1:11" s="514" customFormat="1" ht="15" x14ac:dyDescent="0.25">
      <c r="A243" s="151">
        <v>5805</v>
      </c>
      <c r="B243" s="508" t="s">
        <v>433</v>
      </c>
      <c r="C243" s="510">
        <v>2964435.6987635838</v>
      </c>
      <c r="D243" s="312">
        <f>VLOOKUP(B243,Synthèse!$B$6:$O$314,5,FALSE)</f>
        <v>2447206.4735922152</v>
      </c>
      <c r="E243" s="317">
        <f t="shared" si="9"/>
        <v>-517229.22517136857</v>
      </c>
      <c r="F243" s="509">
        <v>-1497693.8789285016</v>
      </c>
      <c r="G243" s="233">
        <f>VLOOKUP(B243,Synthèse!$B$6:$O$314,14,FALSE)</f>
        <v>-2394902.6945376829</v>
      </c>
      <c r="H243" s="317">
        <f t="shared" si="10"/>
        <v>-897208.8156091813</v>
      </c>
      <c r="I243" s="510">
        <v>478798.49199261749</v>
      </c>
      <c r="J243" s="233">
        <f>VLOOKUP(B243,Synthèse!$B$6:$O$314,12,FALSE)</f>
        <v>463901.67006080801</v>
      </c>
      <c r="K243" s="317">
        <f t="shared" si="11"/>
        <v>-14896.821931809478</v>
      </c>
    </row>
    <row r="244" spans="1:11" s="514" customFormat="1" ht="15" x14ac:dyDescent="0.25">
      <c r="A244" s="151">
        <v>5806</v>
      </c>
      <c r="B244" s="508" t="s">
        <v>515</v>
      </c>
      <c r="C244" s="510">
        <v>1724925.4246211506</v>
      </c>
      <c r="D244" s="312">
        <f>VLOOKUP(B244,Synthèse!$B$6:$O$314,5,FALSE)</f>
        <v>1503112.2555705293</v>
      </c>
      <c r="E244" s="317">
        <f t="shared" si="9"/>
        <v>-221813.16905062133</v>
      </c>
      <c r="F244" s="509">
        <v>-256093.55895353161</v>
      </c>
      <c r="G244" s="233">
        <f>VLOOKUP(B244,Synthèse!$B$6:$O$314,14,FALSE)</f>
        <v>-582157.81805554673</v>
      </c>
      <c r="H244" s="317">
        <f t="shared" si="10"/>
        <v>-326064.25910201512</v>
      </c>
      <c r="I244" s="510">
        <v>285305.23580498423</v>
      </c>
      <c r="J244" s="233">
        <f>VLOOKUP(B244,Synthèse!$B$6:$O$314,12,FALSE)</f>
        <v>274358.60534958</v>
      </c>
      <c r="K244" s="317">
        <f t="shared" si="11"/>
        <v>-10946.630455404229</v>
      </c>
    </row>
    <row r="245" spans="1:11" s="514" customFormat="1" ht="15" x14ac:dyDescent="0.25">
      <c r="A245" s="151">
        <v>5812</v>
      </c>
      <c r="B245" s="508" t="s">
        <v>385</v>
      </c>
      <c r="C245" s="510">
        <v>47927.907292817414</v>
      </c>
      <c r="D245" s="312">
        <f>VLOOKUP(B245,Synthèse!$B$6:$O$314,5,FALSE)</f>
        <v>47185.654277212496</v>
      </c>
      <c r="E245" s="317">
        <f t="shared" si="9"/>
        <v>-742.25301560491789</v>
      </c>
      <c r="F245" s="509">
        <v>-65110.514636609048</v>
      </c>
      <c r="G245" s="233">
        <f>VLOOKUP(B245,Synthèse!$B$6:$O$314,14,FALSE)</f>
        <v>-96816.919731757953</v>
      </c>
      <c r="H245" s="317">
        <f t="shared" si="10"/>
        <v>-31706.405095148904</v>
      </c>
      <c r="I245" s="510">
        <v>7685.0394914084518</v>
      </c>
      <c r="J245" s="233">
        <f>VLOOKUP(B245,Synthèse!$B$6:$O$314,12,FALSE)</f>
        <v>7416.1243525704249</v>
      </c>
      <c r="K245" s="317">
        <f t="shared" si="11"/>
        <v>-268.91513883802691</v>
      </c>
    </row>
    <row r="246" spans="1:11" s="514" customFormat="1" ht="15" x14ac:dyDescent="0.25">
      <c r="A246" s="151">
        <v>5813</v>
      </c>
      <c r="B246" s="508" t="s">
        <v>386</v>
      </c>
      <c r="C246" s="510">
        <v>284079.31399350968</v>
      </c>
      <c r="D246" s="312">
        <f>VLOOKUP(B246,Synthèse!$B$6:$O$314,5,FALSE)</f>
        <v>231682.40520457953</v>
      </c>
      <c r="E246" s="317">
        <f t="shared" si="9"/>
        <v>-52396.908788930159</v>
      </c>
      <c r="F246" s="509">
        <v>-58938.512114827638</v>
      </c>
      <c r="G246" s="233">
        <f>VLOOKUP(B246,Synthèse!$B$6:$O$314,14,FALSE)</f>
        <v>-260746.49490704323</v>
      </c>
      <c r="H246" s="317">
        <f t="shared" si="10"/>
        <v>-201807.9827922156</v>
      </c>
      <c r="I246" s="510">
        <v>40259.654289410988</v>
      </c>
      <c r="J246" s="233">
        <f>VLOOKUP(B246,Synthèse!$B$6:$O$314,12,FALSE)</f>
        <v>45379.791263847073</v>
      </c>
      <c r="K246" s="317">
        <f t="shared" si="11"/>
        <v>5120.1369744360854</v>
      </c>
    </row>
    <row r="247" spans="1:11" s="514" customFormat="1" ht="15" x14ac:dyDescent="0.25">
      <c r="A247" s="151">
        <v>5816</v>
      </c>
      <c r="B247" s="508" t="s">
        <v>6</v>
      </c>
      <c r="C247" s="510">
        <v>983027.57506889838</v>
      </c>
      <c r="D247" s="312">
        <f>VLOOKUP(B247,Synthèse!$B$6:$O$314,5,FALSE)</f>
        <v>995671.15567738365</v>
      </c>
      <c r="E247" s="317">
        <f t="shared" si="9"/>
        <v>12643.580608485267</v>
      </c>
      <c r="F247" s="509">
        <v>-1034335.279498609</v>
      </c>
      <c r="G247" s="233">
        <f>VLOOKUP(B247,Synthèse!$B$6:$O$314,14,FALSE)</f>
        <v>-1176814.3671611613</v>
      </c>
      <c r="H247" s="317">
        <f t="shared" si="10"/>
        <v>-142479.08766255225</v>
      </c>
      <c r="I247" s="510">
        <v>173618.85765141336</v>
      </c>
      <c r="J247" s="233">
        <f>VLOOKUP(B247,Synthèse!$B$6:$O$314,12,FALSE)</f>
        <v>180030.28673581663</v>
      </c>
      <c r="K247" s="317">
        <f t="shared" si="11"/>
        <v>6411.4290844032657</v>
      </c>
    </row>
    <row r="248" spans="1:11" s="514" customFormat="1" ht="15" x14ac:dyDescent="0.25">
      <c r="A248" s="151">
        <v>5817</v>
      </c>
      <c r="B248" s="508" t="s">
        <v>7</v>
      </c>
      <c r="C248" s="510">
        <v>493919.3225244442</v>
      </c>
      <c r="D248" s="312">
        <f>VLOOKUP(B248,Synthèse!$B$6:$O$314,5,FALSE)</f>
        <v>322562.03437477408</v>
      </c>
      <c r="E248" s="317">
        <f t="shared" si="9"/>
        <v>-171357.28814967012</v>
      </c>
      <c r="F248" s="509">
        <v>-209055.44802705836</v>
      </c>
      <c r="G248" s="233">
        <f>VLOOKUP(B248,Synthèse!$B$6:$O$314,14,FALSE)</f>
        <v>-384664.8185783425</v>
      </c>
      <c r="H248" s="317">
        <f t="shared" si="10"/>
        <v>-175609.37055128414</v>
      </c>
      <c r="I248" s="510">
        <v>74657.157881669918</v>
      </c>
      <c r="J248" s="233">
        <f>VLOOKUP(B248,Synthèse!$B$6:$O$314,12,FALSE)</f>
        <v>65552.450734884507</v>
      </c>
      <c r="K248" s="317">
        <f t="shared" si="11"/>
        <v>-9104.7071467854112</v>
      </c>
    </row>
    <row r="249" spans="1:11" s="514" customFormat="1" ht="15" x14ac:dyDescent="0.25">
      <c r="A249" s="151">
        <v>5819</v>
      </c>
      <c r="B249" s="508" t="s">
        <v>8</v>
      </c>
      <c r="C249" s="510">
        <v>229729.56307825699</v>
      </c>
      <c r="D249" s="312">
        <f>VLOOKUP(B249,Synthèse!$B$6:$O$314,5,FALSE)</f>
        <v>175796.40523749735</v>
      </c>
      <c r="E249" s="317">
        <f t="shared" si="9"/>
        <v>-53933.157840759639</v>
      </c>
      <c r="F249" s="509">
        <v>71778.577851339753</v>
      </c>
      <c r="G249" s="233">
        <f>VLOOKUP(B249,Synthèse!$B$6:$O$314,14,FALSE)</f>
        <v>-75886.646279756736</v>
      </c>
      <c r="H249" s="317">
        <f t="shared" si="10"/>
        <v>-147665.2241310965</v>
      </c>
      <c r="I249" s="510">
        <v>38907.749111736994</v>
      </c>
      <c r="J249" s="233">
        <f>VLOOKUP(B249,Synthèse!$B$6:$O$314,12,FALSE)</f>
        <v>33905.078609988996</v>
      </c>
      <c r="K249" s="317">
        <f t="shared" si="11"/>
        <v>-5002.6705017479981</v>
      </c>
    </row>
    <row r="250" spans="1:11" s="514" customFormat="1" ht="15" x14ac:dyDescent="0.25">
      <c r="A250" s="151">
        <v>5821</v>
      </c>
      <c r="B250" s="508" t="s">
        <v>9</v>
      </c>
      <c r="C250" s="510">
        <v>147201.64207806933</v>
      </c>
      <c r="D250" s="312">
        <f>VLOOKUP(B250,Synthèse!$B$6:$O$314,5,FALSE)</f>
        <v>122383.47562730033</v>
      </c>
      <c r="E250" s="317">
        <f t="shared" si="9"/>
        <v>-24818.166450769</v>
      </c>
      <c r="F250" s="509">
        <v>-54346.969172115845</v>
      </c>
      <c r="G250" s="233">
        <f>VLOOKUP(B250,Synthèse!$B$6:$O$314,14,FALSE)</f>
        <v>-119050.26635073496</v>
      </c>
      <c r="H250" s="317">
        <f t="shared" si="10"/>
        <v>-64703.297178619119</v>
      </c>
      <c r="I250" s="510">
        <v>27048.549723675969</v>
      </c>
      <c r="J250" s="233">
        <f>VLOOKUP(B250,Synthèse!$B$6:$O$314,12,FALSE)</f>
        <v>23520.547445392091</v>
      </c>
      <c r="K250" s="317">
        <f t="shared" si="11"/>
        <v>-3528.0022782838787</v>
      </c>
    </row>
    <row r="251" spans="1:11" s="514" customFormat="1" ht="15" x14ac:dyDescent="0.25">
      <c r="A251" s="151">
        <v>5822</v>
      </c>
      <c r="B251" s="508" t="s">
        <v>10</v>
      </c>
      <c r="C251" s="510">
        <v>4391518.1538753649</v>
      </c>
      <c r="D251" s="312">
        <f>VLOOKUP(B251,Synthèse!$B$6:$O$314,5,FALSE)</f>
        <v>4039833.6857324503</v>
      </c>
      <c r="E251" s="317">
        <f t="shared" si="9"/>
        <v>-351684.46814291459</v>
      </c>
      <c r="F251" s="509">
        <v>-6308211.5575624565</v>
      </c>
      <c r="G251" s="233">
        <f>VLOOKUP(B251,Synthèse!$B$6:$O$314,14,FALSE)</f>
        <v>-7595086.0726917135</v>
      </c>
      <c r="H251" s="317">
        <f t="shared" si="10"/>
        <v>-1286874.515129257</v>
      </c>
      <c r="I251" s="510">
        <v>747317.98392963305</v>
      </c>
      <c r="J251" s="233">
        <f>VLOOKUP(B251,Synthèse!$B$6:$O$314,12,FALSE)</f>
        <v>710415.4568813087</v>
      </c>
      <c r="K251" s="317">
        <f t="shared" si="11"/>
        <v>-36902.527048324351</v>
      </c>
    </row>
    <row r="252" spans="1:11" s="514" customFormat="1" ht="15" x14ac:dyDescent="0.25">
      <c r="A252" s="151">
        <v>5827</v>
      </c>
      <c r="B252" s="508" t="s">
        <v>11</v>
      </c>
      <c r="C252" s="510">
        <v>128210.14777767647</v>
      </c>
      <c r="D252" s="312">
        <f>VLOOKUP(B252,Synthèse!$B$6:$O$314,5,FALSE)</f>
        <v>96237.46228543538</v>
      </c>
      <c r="E252" s="317">
        <f t="shared" si="9"/>
        <v>-31972.685492241086</v>
      </c>
      <c r="F252" s="509">
        <v>-70456.330310788035</v>
      </c>
      <c r="G252" s="233">
        <f>VLOOKUP(B252,Synthèse!$B$6:$O$314,14,FALSE)</f>
        <v>-178548.96593414689</v>
      </c>
      <c r="H252" s="317">
        <f t="shared" si="10"/>
        <v>-108092.63562335886</v>
      </c>
      <c r="I252" s="510">
        <v>22657.971348814819</v>
      </c>
      <c r="J252" s="233">
        <f>VLOOKUP(B252,Synthèse!$B$6:$O$314,12,FALSE)</f>
        <v>18554.947204511598</v>
      </c>
      <c r="K252" s="317">
        <f t="shared" si="11"/>
        <v>-4103.024144303221</v>
      </c>
    </row>
    <row r="253" spans="1:11" s="514" customFormat="1" ht="15" x14ac:dyDescent="0.25">
      <c r="A253" s="151">
        <v>5828</v>
      </c>
      <c r="B253" s="508" t="s">
        <v>509</v>
      </c>
      <c r="C253" s="510">
        <v>52115.509728204153</v>
      </c>
      <c r="D253" s="312">
        <f>VLOOKUP(B253,Synthèse!$B$6:$O$314,5,FALSE)</f>
        <v>33941.833282358886</v>
      </c>
      <c r="E253" s="317">
        <f t="shared" si="9"/>
        <v>-18173.676445845267</v>
      </c>
      <c r="F253" s="509">
        <v>-72523.410111715377</v>
      </c>
      <c r="G253" s="233">
        <f>VLOOKUP(B253,Synthèse!$B$6:$O$314,14,FALSE)</f>
        <v>-78182.103322041425</v>
      </c>
      <c r="H253" s="317">
        <f t="shared" si="10"/>
        <v>-5658.6932103260478</v>
      </c>
      <c r="I253" s="510">
        <v>8535.204104853663</v>
      </c>
      <c r="J253" s="233">
        <f>VLOOKUP(B253,Synthèse!$B$6:$O$314,12,FALSE)</f>
        <v>6873.9726612754948</v>
      </c>
      <c r="K253" s="317">
        <f t="shared" si="11"/>
        <v>-1661.2314435781682</v>
      </c>
    </row>
    <row r="254" spans="1:11" s="514" customFormat="1" ht="15" x14ac:dyDescent="0.25">
      <c r="A254" s="151">
        <v>5830</v>
      </c>
      <c r="B254" s="508" t="s">
        <v>12</v>
      </c>
      <c r="C254" s="510">
        <v>215698.10416336457</v>
      </c>
      <c r="D254" s="312">
        <f>VLOOKUP(B254,Synthèse!$B$6:$O$314,5,FALSE)</f>
        <v>209373.11867228078</v>
      </c>
      <c r="E254" s="317">
        <f t="shared" si="9"/>
        <v>-6324.9854910837894</v>
      </c>
      <c r="F254" s="509">
        <v>-99309.442169160757</v>
      </c>
      <c r="G254" s="233">
        <f>VLOOKUP(B254,Synthèse!$B$6:$O$314,14,FALSE)</f>
        <v>-162875.34869947296</v>
      </c>
      <c r="H254" s="317">
        <f t="shared" si="10"/>
        <v>-63565.906530312204</v>
      </c>
      <c r="I254" s="510">
        <v>38882.386557877609</v>
      </c>
      <c r="J254" s="233">
        <f>VLOOKUP(B254,Synthèse!$B$6:$O$314,12,FALSE)</f>
        <v>38045.228020164272</v>
      </c>
      <c r="K254" s="317">
        <f t="shared" si="11"/>
        <v>-837.15853771333786</v>
      </c>
    </row>
    <row r="255" spans="1:11" s="514" customFormat="1" ht="15" x14ac:dyDescent="0.25">
      <c r="A255" s="151">
        <v>5831</v>
      </c>
      <c r="B255" s="508" t="s">
        <v>432</v>
      </c>
      <c r="C255" s="510">
        <v>1633124.744066322</v>
      </c>
      <c r="D255" s="312">
        <f>VLOOKUP(B255,Synthèse!$B$6:$O$314,5,FALSE)</f>
        <v>1384825.2514905576</v>
      </c>
      <c r="E255" s="317">
        <f t="shared" si="9"/>
        <v>-248299.49257576442</v>
      </c>
      <c r="F255" s="509">
        <v>-1205620.9222663397</v>
      </c>
      <c r="G255" s="233">
        <f>VLOOKUP(B255,Synthèse!$B$6:$O$314,14,FALSE)</f>
        <v>-1755462.0632903017</v>
      </c>
      <c r="H255" s="317">
        <f t="shared" si="10"/>
        <v>-549841.14102396206</v>
      </c>
      <c r="I255" s="510">
        <v>265751.13884857489</v>
      </c>
      <c r="J255" s="233">
        <f>VLOOKUP(B255,Synthèse!$B$6:$O$314,12,FALSE)</f>
        <v>251230.89798347672</v>
      </c>
      <c r="K255" s="317">
        <f t="shared" si="11"/>
        <v>-14520.240865098167</v>
      </c>
    </row>
    <row r="256" spans="1:11" s="514" customFormat="1" ht="15" x14ac:dyDescent="0.25">
      <c r="A256" s="151">
        <v>5841</v>
      </c>
      <c r="B256" s="508" t="s">
        <v>13</v>
      </c>
      <c r="C256" s="510">
        <v>2292124.9428231711</v>
      </c>
      <c r="D256" s="312">
        <f>VLOOKUP(B256,Synthèse!$B$6:$O$314,5,FALSE)</f>
        <v>2283785.9368071803</v>
      </c>
      <c r="E256" s="317">
        <f t="shared" si="9"/>
        <v>-8339.0060159908608</v>
      </c>
      <c r="F256" s="509">
        <v>-1724306.8692015663</v>
      </c>
      <c r="G256" s="233">
        <f>VLOOKUP(B256,Synthèse!$B$6:$O$314,14,FALSE)</f>
        <v>-2637915.4573439555</v>
      </c>
      <c r="H256" s="317">
        <f t="shared" si="10"/>
        <v>-913608.5881423892</v>
      </c>
      <c r="I256" s="510">
        <v>362113.38497455232</v>
      </c>
      <c r="J256" s="233">
        <f>VLOOKUP(B256,Synthèse!$B$6:$O$314,12,FALSE)</f>
        <v>319838.63603840431</v>
      </c>
      <c r="K256" s="317">
        <f t="shared" si="11"/>
        <v>-42274.748936148011</v>
      </c>
    </row>
    <row r="257" spans="1:11" s="514" customFormat="1" ht="15" x14ac:dyDescent="0.25">
      <c r="A257" s="151">
        <v>5842</v>
      </c>
      <c r="B257" s="508" t="s">
        <v>14</v>
      </c>
      <c r="C257" s="510">
        <v>303260.61263127375</v>
      </c>
      <c r="D257" s="312">
        <f>VLOOKUP(B257,Synthèse!$B$6:$O$314,5,FALSE)</f>
        <v>232142.92615234887</v>
      </c>
      <c r="E257" s="317">
        <f t="shared" si="9"/>
        <v>-71117.686478924879</v>
      </c>
      <c r="F257" s="509">
        <v>-134102.73644800304</v>
      </c>
      <c r="G257" s="233">
        <f>VLOOKUP(B257,Synthèse!$B$6:$O$314,14,FALSE)</f>
        <v>-468281.65862048784</v>
      </c>
      <c r="H257" s="317">
        <f t="shared" si="10"/>
        <v>-334178.9221724848</v>
      </c>
      <c r="I257" s="510">
        <v>51247.489095382814</v>
      </c>
      <c r="J257" s="233">
        <f>VLOOKUP(B257,Synthèse!$B$6:$O$314,12,FALSE)</f>
        <v>43649.927336603316</v>
      </c>
      <c r="K257" s="317">
        <f t="shared" si="11"/>
        <v>-7597.5617587794986</v>
      </c>
    </row>
    <row r="258" spans="1:11" s="514" customFormat="1" ht="15" x14ac:dyDescent="0.25">
      <c r="A258" s="151">
        <v>5843</v>
      </c>
      <c r="B258" s="508" t="s">
        <v>15</v>
      </c>
      <c r="C258" s="510">
        <v>3603620.1920664515</v>
      </c>
      <c r="D258" s="312">
        <f>VLOOKUP(B258,Synthèse!$B$6:$O$314,5,FALSE)</f>
        <v>3650490.6647246722</v>
      </c>
      <c r="E258" s="317">
        <f t="shared" si="9"/>
        <v>46870.472658220679</v>
      </c>
      <c r="F258" s="509">
        <v>1545600.4129460093</v>
      </c>
      <c r="G258" s="233">
        <f>VLOOKUP(B258,Synthèse!$B$6:$O$314,14,FALSE)</f>
        <v>1747612.4469113583</v>
      </c>
      <c r="H258" s="317">
        <f t="shared" si="10"/>
        <v>202012.03396534896</v>
      </c>
      <c r="I258" s="510">
        <v>197851.19171766008</v>
      </c>
      <c r="J258" s="233">
        <f>VLOOKUP(B258,Synthèse!$B$6:$O$314,12,FALSE)</f>
        <v>194840.41539815298</v>
      </c>
      <c r="K258" s="317">
        <f t="shared" si="11"/>
        <v>-3010.776319507102</v>
      </c>
    </row>
    <row r="259" spans="1:11" s="514" customFormat="1" ht="15" x14ac:dyDescent="0.25">
      <c r="A259" s="151">
        <v>5851</v>
      </c>
      <c r="B259" s="508" t="s">
        <v>16</v>
      </c>
      <c r="C259" s="510">
        <v>878931.93508571223</v>
      </c>
      <c r="D259" s="312">
        <f>VLOOKUP(B259,Synthèse!$B$6:$O$314,5,FALSE)</f>
        <v>386415.29131211835</v>
      </c>
      <c r="E259" s="317">
        <f t="shared" si="9"/>
        <v>-492516.64377359388</v>
      </c>
      <c r="F259" s="509">
        <v>530624.22641034704</v>
      </c>
      <c r="G259" s="233">
        <f>VLOOKUP(B259,Synthèse!$B$6:$O$314,14,FALSE)</f>
        <v>411029.328485028</v>
      </c>
      <c r="H259" s="317">
        <f t="shared" si="10"/>
        <v>-119594.89792531903</v>
      </c>
      <c r="I259" s="510">
        <v>74170.033446597052</v>
      </c>
      <c r="J259" s="233">
        <f>VLOOKUP(B259,Synthèse!$B$6:$O$314,12,FALSE)</f>
        <v>67996.655396209142</v>
      </c>
      <c r="K259" s="317">
        <f t="shared" si="11"/>
        <v>-6173.3780503879098</v>
      </c>
    </row>
    <row r="260" spans="1:11" s="514" customFormat="1" ht="15" x14ac:dyDescent="0.25">
      <c r="A260" s="151">
        <v>5852</v>
      </c>
      <c r="B260" s="508" t="s">
        <v>17</v>
      </c>
      <c r="C260" s="510">
        <v>1158046.8787806558</v>
      </c>
      <c r="D260" s="312">
        <f>VLOOKUP(B260,Synthèse!$B$6:$O$314,5,FALSE)</f>
        <v>928438.78948537121</v>
      </c>
      <c r="E260" s="317">
        <f t="shared" si="9"/>
        <v>-229608.08929528459</v>
      </c>
      <c r="F260" s="509">
        <v>746317.83632912172</v>
      </c>
      <c r="G260" s="233">
        <f>VLOOKUP(B260,Synthèse!$B$6:$O$314,14,FALSE)</f>
        <v>719214.65162678633</v>
      </c>
      <c r="H260" s="317">
        <f t="shared" si="10"/>
        <v>-27103.184702335391</v>
      </c>
      <c r="I260" s="510">
        <v>91631.918843331194</v>
      </c>
      <c r="J260" s="233">
        <f>VLOOKUP(B260,Synthèse!$B$6:$O$314,12,FALSE)</f>
        <v>91524.502919624705</v>
      </c>
      <c r="K260" s="317">
        <f t="shared" si="11"/>
        <v>-107.41592370648868</v>
      </c>
    </row>
    <row r="261" spans="1:11" s="514" customFormat="1" ht="15" x14ac:dyDescent="0.25">
      <c r="A261" s="151">
        <v>5853</v>
      </c>
      <c r="B261" s="508" t="s">
        <v>18</v>
      </c>
      <c r="C261" s="510">
        <v>759202.14448138466</v>
      </c>
      <c r="D261" s="312">
        <f>VLOOKUP(B261,Synthèse!$B$6:$O$314,5,FALSE)</f>
        <v>4218626.3463653931</v>
      </c>
      <c r="E261" s="317">
        <f t="shared" si="9"/>
        <v>3459424.2018840085</v>
      </c>
      <c r="F261" s="509">
        <v>622372.94087844295</v>
      </c>
      <c r="G261" s="233">
        <f>VLOOKUP(B261,Synthèse!$B$6:$O$314,14,FALSE)</f>
        <v>704943.51541526965</v>
      </c>
      <c r="H261" s="317">
        <f t="shared" si="10"/>
        <v>82570.574536826694</v>
      </c>
      <c r="I261" s="510">
        <v>110769.28798431663</v>
      </c>
      <c r="J261" s="233">
        <f>VLOOKUP(B261,Synthèse!$B$6:$O$314,12,FALSE)</f>
        <v>118166.59667700184</v>
      </c>
      <c r="K261" s="317">
        <f t="shared" si="11"/>
        <v>7397.308692685212</v>
      </c>
    </row>
    <row r="262" spans="1:11" s="514" customFormat="1" ht="15" x14ac:dyDescent="0.25">
      <c r="A262" s="151">
        <v>5854</v>
      </c>
      <c r="B262" s="508" t="s">
        <v>19</v>
      </c>
      <c r="C262" s="510">
        <v>346240.20435110701</v>
      </c>
      <c r="D262" s="312">
        <f>VLOOKUP(B262,Synthèse!$B$6:$O$314,5,FALSE)</f>
        <v>206089.63038685601</v>
      </c>
      <c r="E262" s="317">
        <f t="shared" si="9"/>
        <v>-140150.573964251</v>
      </c>
      <c r="F262" s="509">
        <v>169915.70973811555</v>
      </c>
      <c r="G262" s="233">
        <f>VLOOKUP(B262,Synthèse!$B$6:$O$314,14,FALSE)</f>
        <v>-102987.77323460986</v>
      </c>
      <c r="H262" s="317">
        <f t="shared" si="10"/>
        <v>-272903.48297272541</v>
      </c>
      <c r="I262" s="510">
        <v>48708.797096052884</v>
      </c>
      <c r="J262" s="233">
        <f>VLOOKUP(B262,Synthèse!$B$6:$O$314,12,FALSE)</f>
        <v>32313.556649481448</v>
      </c>
      <c r="K262" s="317">
        <f t="shared" si="11"/>
        <v>-16395.240446571435</v>
      </c>
    </row>
    <row r="263" spans="1:11" s="514" customFormat="1" ht="15" x14ac:dyDescent="0.25">
      <c r="A263" s="151">
        <v>5855</v>
      </c>
      <c r="B263" s="508" t="s">
        <v>20</v>
      </c>
      <c r="C263" s="510">
        <v>3037378.6687848978</v>
      </c>
      <c r="D263" s="312">
        <f>VLOOKUP(B263,Synthèse!$B$6:$O$314,5,FALSE)</f>
        <v>3045126.6390778124</v>
      </c>
      <c r="E263" s="317">
        <f t="shared" ref="E263:E314" si="12">D263-C263</f>
        <v>7747.9702929146588</v>
      </c>
      <c r="F263" s="509">
        <v>1644952.0201381186</v>
      </c>
      <c r="G263" s="233">
        <f>VLOOKUP(B263,Synthèse!$B$6:$O$314,14,FALSE)</f>
        <v>1803245.8423548448</v>
      </c>
      <c r="H263" s="317">
        <f t="shared" ref="H263:H314" si="13">G263-F263</f>
        <v>158293.82221672614</v>
      </c>
      <c r="I263" s="510">
        <v>173705.75506567629</v>
      </c>
      <c r="J263" s="233">
        <f>VLOOKUP(B263,Synthèse!$B$6:$O$314,12,FALSE)</f>
        <v>171206.66014641075</v>
      </c>
      <c r="K263" s="317">
        <f t="shared" ref="K263:K314" si="14">J263-I263</f>
        <v>-2499.0949192655389</v>
      </c>
    </row>
    <row r="264" spans="1:11" s="514" customFormat="1" ht="15" x14ac:dyDescent="0.25">
      <c r="A264" s="151">
        <v>5856</v>
      </c>
      <c r="B264" s="508" t="s">
        <v>21</v>
      </c>
      <c r="C264" s="510">
        <v>824134.36193676386</v>
      </c>
      <c r="D264" s="312">
        <f>VLOOKUP(B264,Synthèse!$B$6:$O$314,5,FALSE)</f>
        <v>623197.76027508103</v>
      </c>
      <c r="E264" s="317">
        <f t="shared" si="12"/>
        <v>-200936.60166168283</v>
      </c>
      <c r="F264" s="509">
        <v>667973.71801008389</v>
      </c>
      <c r="G264" s="233">
        <f>VLOOKUP(B264,Synthèse!$B$6:$O$314,14,FALSE)</f>
        <v>592624.05361955357</v>
      </c>
      <c r="H264" s="317">
        <f t="shared" si="13"/>
        <v>-75349.664390530321</v>
      </c>
      <c r="I264" s="510">
        <v>109718.51119291017</v>
      </c>
      <c r="J264" s="233">
        <f>VLOOKUP(B264,Synthèse!$B$6:$O$314,12,FALSE)</f>
        <v>107665.21614395613</v>
      </c>
      <c r="K264" s="317">
        <f t="shared" si="14"/>
        <v>-2053.2950489540381</v>
      </c>
    </row>
    <row r="265" spans="1:11" s="514" customFormat="1" ht="15" x14ac:dyDescent="0.25">
      <c r="A265" s="151">
        <v>5857</v>
      </c>
      <c r="B265" s="508" t="s">
        <v>22</v>
      </c>
      <c r="C265" s="510">
        <v>2072329.7371647307</v>
      </c>
      <c r="D265" s="312">
        <f>VLOOKUP(B265,Synthèse!$B$6:$O$314,5,FALSE)</f>
        <v>1422019.4573755052</v>
      </c>
      <c r="E265" s="317">
        <f t="shared" si="12"/>
        <v>-650310.27978922543</v>
      </c>
      <c r="F265" s="509">
        <v>1559695.6334006863</v>
      </c>
      <c r="G265" s="233">
        <f>VLOOKUP(B265,Synthèse!$B$6:$O$314,14,FALSE)</f>
        <v>1301324.3566439585</v>
      </c>
      <c r="H265" s="317">
        <f t="shared" si="13"/>
        <v>-258371.27675672784</v>
      </c>
      <c r="I265" s="510">
        <v>227168.48541434505</v>
      </c>
      <c r="J265" s="233">
        <f>VLOOKUP(B265,Synthèse!$B$6:$O$314,12,FALSE)</f>
        <v>223593.0512188118</v>
      </c>
      <c r="K265" s="317">
        <f t="shared" si="14"/>
        <v>-3575.4341955332493</v>
      </c>
    </row>
    <row r="266" spans="1:11" s="514" customFormat="1" ht="15" x14ac:dyDescent="0.25">
      <c r="A266" s="151">
        <v>5858</v>
      </c>
      <c r="B266" s="508" t="s">
        <v>23</v>
      </c>
      <c r="C266" s="510">
        <v>1041457.9359377368</v>
      </c>
      <c r="D266" s="312">
        <f>VLOOKUP(B266,Synthèse!$B$6:$O$314,5,FALSE)</f>
        <v>751833.13167598133</v>
      </c>
      <c r="E266" s="317">
        <f t="shared" si="12"/>
        <v>-289624.80426175543</v>
      </c>
      <c r="F266" s="509">
        <v>811436.9259357499</v>
      </c>
      <c r="G266" s="233">
        <f>VLOOKUP(B266,Synthèse!$B$6:$O$314,14,FALSE)</f>
        <v>695380.03125987947</v>
      </c>
      <c r="H266" s="317">
        <f t="shared" si="13"/>
        <v>-116056.89467587043</v>
      </c>
      <c r="I266" s="510">
        <v>108809.79273234485</v>
      </c>
      <c r="J266" s="233">
        <f>VLOOKUP(B266,Synthèse!$B$6:$O$314,12,FALSE)</f>
        <v>102430.97474465388</v>
      </c>
      <c r="K266" s="317">
        <f t="shared" si="14"/>
        <v>-6378.8179876909708</v>
      </c>
    </row>
    <row r="267" spans="1:11" s="514" customFormat="1" ht="15" x14ac:dyDescent="0.25">
      <c r="A267" s="151">
        <v>5859</v>
      </c>
      <c r="B267" s="508" t="s">
        <v>24</v>
      </c>
      <c r="C267" s="510">
        <v>2759485.3203781634</v>
      </c>
      <c r="D267" s="312">
        <f>VLOOKUP(B267,Synthèse!$B$6:$O$314,5,FALSE)</f>
        <v>2581821.8088843082</v>
      </c>
      <c r="E267" s="317">
        <f t="shared" si="12"/>
        <v>-177663.51149385516</v>
      </c>
      <c r="F267" s="509">
        <v>2186164.9730025181</v>
      </c>
      <c r="G267" s="233">
        <f>VLOOKUP(B267,Synthèse!$B$6:$O$314,14,FALSE)</f>
        <v>2111419.2867027475</v>
      </c>
      <c r="H267" s="317">
        <f t="shared" si="13"/>
        <v>-74745.686299770605</v>
      </c>
      <c r="I267" s="510">
        <v>408359.45097864908</v>
      </c>
      <c r="J267" s="233">
        <f>VLOOKUP(B267,Synthèse!$B$6:$O$314,12,FALSE)</f>
        <v>407593.57350283896</v>
      </c>
      <c r="K267" s="317">
        <f t="shared" si="14"/>
        <v>-765.87747581012081</v>
      </c>
    </row>
    <row r="268" spans="1:11" s="514" customFormat="1" ht="15" x14ac:dyDescent="0.25">
      <c r="A268" s="151">
        <v>5860</v>
      </c>
      <c r="B268" s="508" t="s">
        <v>25</v>
      </c>
      <c r="C268" s="510">
        <v>2407724.8499572477</v>
      </c>
      <c r="D268" s="312">
        <f>VLOOKUP(B268,Synthèse!$B$6:$O$314,5,FALSE)</f>
        <v>5754185.5503719766</v>
      </c>
      <c r="E268" s="317">
        <f t="shared" si="12"/>
        <v>3346460.7004147288</v>
      </c>
      <c r="F268" s="509">
        <v>1615714.3713521629</v>
      </c>
      <c r="G268" s="233">
        <f>VLOOKUP(B268,Synthèse!$B$6:$O$314,14,FALSE)</f>
        <v>3283205.4677036186</v>
      </c>
      <c r="H268" s="317">
        <f t="shared" si="13"/>
        <v>1667491.0963514557</v>
      </c>
      <c r="I268" s="510">
        <v>253870.0069315171</v>
      </c>
      <c r="J268" s="233">
        <f>VLOOKUP(B268,Synthèse!$B$6:$O$314,12,FALSE)</f>
        <v>354998.55614428502</v>
      </c>
      <c r="K268" s="317">
        <f t="shared" si="14"/>
        <v>101128.54921276792</v>
      </c>
    </row>
    <row r="269" spans="1:11" s="514" customFormat="1" ht="15" x14ac:dyDescent="0.25">
      <c r="A269" s="151">
        <v>5861</v>
      </c>
      <c r="B269" s="508" t="s">
        <v>26</v>
      </c>
      <c r="C269" s="510">
        <v>15767987.227916356</v>
      </c>
      <c r="D269" s="312">
        <f>VLOOKUP(B269,Synthèse!$B$6:$O$314,5,FALSE)</f>
        <v>79023431.374459803</v>
      </c>
      <c r="E269" s="317">
        <f t="shared" si="12"/>
        <v>63255444.146543443</v>
      </c>
      <c r="F269" s="509">
        <v>9076796.6647936516</v>
      </c>
      <c r="G269" s="233">
        <f>VLOOKUP(B269,Synthèse!$B$6:$O$314,14,FALSE)</f>
        <v>15054560.440498177</v>
      </c>
      <c r="H269" s="317">
        <f t="shared" si="13"/>
        <v>5977763.7757045254</v>
      </c>
      <c r="I269" s="510">
        <v>1278517.8226583966</v>
      </c>
      <c r="J269" s="233">
        <f>VLOOKUP(B269,Synthèse!$B$6:$O$314,12,FALSE)</f>
        <v>2834045.2084470936</v>
      </c>
      <c r="K269" s="317">
        <f t="shared" si="14"/>
        <v>1555527.3857886971</v>
      </c>
    </row>
    <row r="270" spans="1:11" s="514" customFormat="1" ht="15" x14ac:dyDescent="0.25">
      <c r="A270" s="151">
        <v>5862</v>
      </c>
      <c r="B270" s="508" t="s">
        <v>27</v>
      </c>
      <c r="C270" s="510">
        <v>232532.39459896283</v>
      </c>
      <c r="D270" s="312">
        <f>VLOOKUP(B270,Synthèse!$B$6:$O$314,5,FALSE)</f>
        <v>111705.04292518453</v>
      </c>
      <c r="E270" s="317">
        <f t="shared" si="12"/>
        <v>-120827.35167377829</v>
      </c>
      <c r="F270" s="509">
        <v>217449.54996778473</v>
      </c>
      <c r="G270" s="233">
        <f>VLOOKUP(B270,Synthèse!$B$6:$O$314,14,FALSE)</f>
        <v>43981.519153630172</v>
      </c>
      <c r="H270" s="317">
        <f t="shared" si="13"/>
        <v>-173468.03081415454</v>
      </c>
      <c r="I270" s="510">
        <v>36596.508290555859</v>
      </c>
      <c r="J270" s="233">
        <f>VLOOKUP(B270,Synthèse!$B$6:$O$314,12,FALSE)</f>
        <v>24446.186769232576</v>
      </c>
      <c r="K270" s="317">
        <f t="shared" si="14"/>
        <v>-12150.321521323283</v>
      </c>
    </row>
    <row r="271" spans="1:11" s="514" customFormat="1" ht="15" x14ac:dyDescent="0.25">
      <c r="A271" s="151">
        <v>5863</v>
      </c>
      <c r="B271" s="508" t="s">
        <v>28</v>
      </c>
      <c r="C271" s="510">
        <v>484672.32189684198</v>
      </c>
      <c r="D271" s="312">
        <f>VLOOKUP(B271,Synthèse!$B$6:$O$314,5,FALSE)</f>
        <v>399227.37306356349</v>
      </c>
      <c r="E271" s="317">
        <f t="shared" si="12"/>
        <v>-85444.948833278497</v>
      </c>
      <c r="F271" s="509">
        <v>409514.48452905577</v>
      </c>
      <c r="G271" s="233">
        <f>VLOOKUP(B271,Synthèse!$B$6:$O$314,14,FALSE)</f>
        <v>372600.60810318013</v>
      </c>
      <c r="H271" s="317">
        <f t="shared" si="13"/>
        <v>-36913.876425875642</v>
      </c>
      <c r="I271" s="510">
        <v>59339.668080737829</v>
      </c>
      <c r="J271" s="233">
        <f>VLOOKUP(B271,Synthèse!$B$6:$O$314,12,FALSE)</f>
        <v>60037.205776608389</v>
      </c>
      <c r="K271" s="317">
        <f t="shared" si="14"/>
        <v>697.53769587056013</v>
      </c>
    </row>
    <row r="272" spans="1:11" s="514" customFormat="1" ht="15" x14ac:dyDescent="0.25">
      <c r="A272" s="151">
        <v>5871</v>
      </c>
      <c r="B272" s="508" t="s">
        <v>29</v>
      </c>
      <c r="C272" s="510">
        <v>967363.95310344268</v>
      </c>
      <c r="D272" s="312">
        <f>VLOOKUP(B272,Synthèse!$B$6:$O$314,5,FALSE)</f>
        <v>1029461.8422280847</v>
      </c>
      <c r="E272" s="317">
        <f t="shared" si="12"/>
        <v>62097.88912464201</v>
      </c>
      <c r="F272" s="509">
        <v>-284341.28796514927</v>
      </c>
      <c r="G272" s="233">
        <f>VLOOKUP(B272,Synthèse!$B$6:$O$314,14,FALSE)</f>
        <v>-206368.80209838279</v>
      </c>
      <c r="H272" s="317">
        <f t="shared" si="13"/>
        <v>77972.485866766481</v>
      </c>
      <c r="I272" s="510">
        <v>141986.62066775459</v>
      </c>
      <c r="J272" s="233">
        <f>VLOOKUP(B272,Synthèse!$B$6:$O$314,12,FALSE)</f>
        <v>150060.38382588554</v>
      </c>
      <c r="K272" s="317">
        <f t="shared" si="14"/>
        <v>8073.7631581309543</v>
      </c>
    </row>
    <row r="273" spans="1:11" s="514" customFormat="1" ht="15" x14ac:dyDescent="0.25">
      <c r="A273" s="151">
        <v>5872</v>
      </c>
      <c r="B273" s="508" t="s">
        <v>204</v>
      </c>
      <c r="C273" s="510">
        <v>5086032.6796281338</v>
      </c>
      <c r="D273" s="312">
        <f>VLOOKUP(B273,Synthèse!$B$6:$O$314,5,FALSE)</f>
        <v>7190455.9603909058</v>
      </c>
      <c r="E273" s="317">
        <f t="shared" si="12"/>
        <v>2104423.2807627721</v>
      </c>
      <c r="F273" s="509">
        <v>-679321.57888913015</v>
      </c>
      <c r="G273" s="233">
        <f>VLOOKUP(B273,Synthèse!$B$6:$O$314,14,FALSE)</f>
        <v>1386484.6525942462</v>
      </c>
      <c r="H273" s="317">
        <f t="shared" si="13"/>
        <v>2065806.2314833764</v>
      </c>
      <c r="I273" s="510">
        <v>541630.9395340716</v>
      </c>
      <c r="J273" s="233">
        <f>VLOOKUP(B273,Synthèse!$B$6:$O$314,12,FALSE)</f>
        <v>686760.72005564393</v>
      </c>
      <c r="K273" s="317">
        <f t="shared" si="14"/>
        <v>145129.78052157233</v>
      </c>
    </row>
    <row r="274" spans="1:11" s="514" customFormat="1" ht="15" x14ac:dyDescent="0.25">
      <c r="A274" s="151">
        <v>5873</v>
      </c>
      <c r="B274" s="508" t="s">
        <v>205</v>
      </c>
      <c r="C274" s="510">
        <v>748126.72682182724</v>
      </c>
      <c r="D274" s="312">
        <f>VLOOKUP(B274,Synthèse!$B$6:$O$314,5,FALSE)</f>
        <v>781464.81374126743</v>
      </c>
      <c r="E274" s="317">
        <f t="shared" si="12"/>
        <v>33338.086919440189</v>
      </c>
      <c r="F274" s="509">
        <v>-457430.8717124351</v>
      </c>
      <c r="G274" s="233">
        <f>VLOOKUP(B274,Synthèse!$B$6:$O$314,14,FALSE)</f>
        <v>-462352.26629332372</v>
      </c>
      <c r="H274" s="317">
        <f t="shared" si="13"/>
        <v>-4921.3945808886201</v>
      </c>
      <c r="I274" s="510">
        <v>95639.748130548192</v>
      </c>
      <c r="J274" s="233">
        <f>VLOOKUP(B274,Synthèse!$B$6:$O$314,12,FALSE)</f>
        <v>92519.28401503319</v>
      </c>
      <c r="K274" s="317">
        <f t="shared" si="14"/>
        <v>-3120.464115515002</v>
      </c>
    </row>
    <row r="275" spans="1:11" s="514" customFormat="1" ht="15" x14ac:dyDescent="0.25">
      <c r="A275" s="151">
        <v>5881</v>
      </c>
      <c r="B275" s="508" t="s">
        <v>206</v>
      </c>
      <c r="C275" s="510">
        <v>6522900.501982539</v>
      </c>
      <c r="D275" s="312">
        <f>VLOOKUP(B275,Synthèse!$B$6:$O$314,5,FALSE)</f>
        <v>7654545.6302315081</v>
      </c>
      <c r="E275" s="317">
        <f t="shared" si="12"/>
        <v>1131645.1282489691</v>
      </c>
      <c r="F275" s="509">
        <v>3513288.5691161286</v>
      </c>
      <c r="G275" s="233">
        <f>VLOOKUP(B275,Synthèse!$B$6:$O$314,14,FALSE)</f>
        <v>3716832.4111738056</v>
      </c>
      <c r="H275" s="317">
        <f t="shared" si="13"/>
        <v>203543.84205767699</v>
      </c>
      <c r="I275" s="510">
        <v>437211.89983075706</v>
      </c>
      <c r="J275" s="233">
        <f>VLOOKUP(B275,Synthèse!$B$6:$O$314,12,FALSE)</f>
        <v>426711.21566904173</v>
      </c>
      <c r="K275" s="317">
        <f t="shared" si="14"/>
        <v>-10500.684161715326</v>
      </c>
    </row>
    <row r="276" spans="1:11" s="514" customFormat="1" ht="15" x14ac:dyDescent="0.25">
      <c r="A276" s="151">
        <v>5882</v>
      </c>
      <c r="B276" s="508" t="s">
        <v>207</v>
      </c>
      <c r="C276" s="510">
        <v>3836019.1207686178</v>
      </c>
      <c r="D276" s="312">
        <f>VLOOKUP(B276,Synthèse!$B$6:$O$314,5,FALSE)</f>
        <v>3450397.0971665592</v>
      </c>
      <c r="E276" s="317">
        <f t="shared" si="12"/>
        <v>-385622.02360205865</v>
      </c>
      <c r="F276" s="509">
        <v>2068802.0051863617</v>
      </c>
      <c r="G276" s="233">
        <f>VLOOKUP(B276,Synthèse!$B$6:$O$314,14,FALSE)</f>
        <v>2182119.5350429299</v>
      </c>
      <c r="H276" s="317">
        <f t="shared" si="13"/>
        <v>113317.5298565682</v>
      </c>
      <c r="I276" s="510">
        <v>213209.13567766733</v>
      </c>
      <c r="J276" s="233">
        <f>VLOOKUP(B276,Synthèse!$B$6:$O$314,12,FALSE)</f>
        <v>210300.52770291446</v>
      </c>
      <c r="K276" s="317">
        <f t="shared" si="14"/>
        <v>-2908.6079747528711</v>
      </c>
    </row>
    <row r="277" spans="1:11" s="514" customFormat="1" ht="15" x14ac:dyDescent="0.25">
      <c r="A277" s="151">
        <v>5883</v>
      </c>
      <c r="B277" s="508" t="s">
        <v>208</v>
      </c>
      <c r="C277" s="510">
        <v>5101885.3883120399</v>
      </c>
      <c r="D277" s="312">
        <f>VLOOKUP(B277,Synthèse!$B$6:$O$314,5,FALSE)</f>
        <v>3697787.5927101942</v>
      </c>
      <c r="E277" s="317">
        <f t="shared" si="12"/>
        <v>-1404097.7956018457</v>
      </c>
      <c r="F277" s="509">
        <v>2575122.4196650479</v>
      </c>
      <c r="G277" s="233">
        <f>VLOOKUP(B277,Synthèse!$B$6:$O$314,14,FALSE)</f>
        <v>2638365.4329031627</v>
      </c>
      <c r="H277" s="317">
        <f t="shared" si="13"/>
        <v>63243.013238114771</v>
      </c>
      <c r="I277" s="510">
        <v>205725.45538954993</v>
      </c>
      <c r="J277" s="233">
        <f>VLOOKUP(B277,Synthèse!$B$6:$O$314,12,FALSE)</f>
        <v>197216.12348957144</v>
      </c>
      <c r="K277" s="317">
        <f t="shared" si="14"/>
        <v>-8509.3318999784824</v>
      </c>
    </row>
    <row r="278" spans="1:11" s="514" customFormat="1" ht="15" x14ac:dyDescent="0.25">
      <c r="A278" s="151">
        <v>5884</v>
      </c>
      <c r="B278" s="508" t="s">
        <v>49</v>
      </c>
      <c r="C278" s="510">
        <v>2162052.6400663317</v>
      </c>
      <c r="D278" s="312">
        <f>VLOOKUP(B278,Synthèse!$B$6:$O$314,5,FALSE)</f>
        <v>2055536.9055977408</v>
      </c>
      <c r="E278" s="317">
        <f t="shared" si="12"/>
        <v>-106515.73446859093</v>
      </c>
      <c r="F278" s="509">
        <v>-701594.08821598068</v>
      </c>
      <c r="G278" s="233">
        <f>VLOOKUP(B278,Synthèse!$B$6:$O$314,14,FALSE)</f>
        <v>-747848.85054989089</v>
      </c>
      <c r="H278" s="317">
        <f t="shared" si="13"/>
        <v>-46254.762333910214</v>
      </c>
      <c r="I278" s="510">
        <v>150736.40422053175</v>
      </c>
      <c r="J278" s="233">
        <f>VLOOKUP(B278,Synthèse!$B$6:$O$314,12,FALSE)</f>
        <v>143507.96382718961</v>
      </c>
      <c r="K278" s="317">
        <f t="shared" si="14"/>
        <v>-7228.4403933421418</v>
      </c>
    </row>
    <row r="279" spans="1:11" s="514" customFormat="1" ht="15" x14ac:dyDescent="0.25">
      <c r="A279" s="151">
        <v>5885</v>
      </c>
      <c r="B279" s="508" t="s">
        <v>50</v>
      </c>
      <c r="C279" s="510">
        <v>2131319.6073621754</v>
      </c>
      <c r="D279" s="312">
        <f>VLOOKUP(B279,Synthèse!$B$6:$O$314,5,FALSE)</f>
        <v>1554013.2012480991</v>
      </c>
      <c r="E279" s="317">
        <f t="shared" si="12"/>
        <v>-577306.40611407626</v>
      </c>
      <c r="F279" s="509">
        <v>1362490.2669151635</v>
      </c>
      <c r="G279" s="233">
        <f>VLOOKUP(B279,Synthèse!$B$6:$O$314,14,FALSE)</f>
        <v>1200620.4896621932</v>
      </c>
      <c r="H279" s="317">
        <f t="shared" si="13"/>
        <v>-161869.77725297026</v>
      </c>
      <c r="I279" s="510">
        <v>110653.55042826763</v>
      </c>
      <c r="J279" s="233">
        <f>VLOOKUP(B279,Synthèse!$B$6:$O$314,12,FALSE)</f>
        <v>99964.211051703183</v>
      </c>
      <c r="K279" s="317">
        <f t="shared" si="14"/>
        <v>-10689.339376564443</v>
      </c>
    </row>
    <row r="280" spans="1:11" s="514" customFormat="1" ht="15" x14ac:dyDescent="0.25">
      <c r="A280" s="151">
        <v>5886</v>
      </c>
      <c r="B280" s="508" t="s">
        <v>51</v>
      </c>
      <c r="C280" s="510">
        <v>28906137.928823143</v>
      </c>
      <c r="D280" s="312">
        <f>VLOOKUP(B280,Synthèse!$B$6:$O$314,5,FALSE)</f>
        <v>25868085.616110049</v>
      </c>
      <c r="E280" s="317">
        <f t="shared" si="12"/>
        <v>-3038052.3127130941</v>
      </c>
      <c r="F280" s="509">
        <v>-7029326.781273149</v>
      </c>
      <c r="G280" s="233">
        <f>VLOOKUP(B280,Synthèse!$B$6:$O$314,14,FALSE)</f>
        <v>-9420185.9442923535</v>
      </c>
      <c r="H280" s="317">
        <f t="shared" si="13"/>
        <v>-2390859.1630192045</v>
      </c>
      <c r="I280" s="510">
        <v>1455058.8261321508</v>
      </c>
      <c r="J280" s="233">
        <f>VLOOKUP(B280,Synthèse!$B$6:$O$314,12,FALSE)</f>
        <v>1288680.5289965686</v>
      </c>
      <c r="K280" s="317">
        <f t="shared" si="14"/>
        <v>-166378.29713558219</v>
      </c>
    </row>
    <row r="281" spans="1:11" s="514" customFormat="1" ht="15" x14ac:dyDescent="0.25">
      <c r="A281" s="151">
        <v>5888</v>
      </c>
      <c r="B281" s="508" t="s">
        <v>510</v>
      </c>
      <c r="C281" s="510">
        <v>7216582.6580667533</v>
      </c>
      <c r="D281" s="312">
        <f>VLOOKUP(B281,Synthèse!$B$6:$O$314,5,FALSE)</f>
        <v>6301060.3476765687</v>
      </c>
      <c r="E281" s="317">
        <f t="shared" si="12"/>
        <v>-915522.31039018463</v>
      </c>
      <c r="F281" s="509">
        <v>3870654.5884631337</v>
      </c>
      <c r="G281" s="233">
        <f>VLOOKUP(B281,Synthèse!$B$6:$O$314,14,FALSE)</f>
        <v>2924695.6437276904</v>
      </c>
      <c r="H281" s="317">
        <f t="shared" si="13"/>
        <v>-945958.94473544322</v>
      </c>
      <c r="I281" s="510">
        <v>416585.6849881435</v>
      </c>
      <c r="J281" s="233">
        <f>VLOOKUP(B281,Synthèse!$B$6:$O$314,12,FALSE)</f>
        <v>382450.47967020824</v>
      </c>
      <c r="K281" s="317">
        <f t="shared" si="14"/>
        <v>-34135.205317935266</v>
      </c>
    </row>
    <row r="282" spans="1:11" s="514" customFormat="1" ht="15" x14ac:dyDescent="0.25">
      <c r="A282" s="151">
        <v>5889</v>
      </c>
      <c r="B282" s="508" t="s">
        <v>52</v>
      </c>
      <c r="C282" s="510">
        <v>15304199.26462586</v>
      </c>
      <c r="D282" s="312">
        <f>VLOOKUP(B282,Synthèse!$B$6:$O$314,5,FALSE)</f>
        <v>12035792.428539131</v>
      </c>
      <c r="E282" s="317">
        <f t="shared" si="12"/>
        <v>-3268406.8360867295</v>
      </c>
      <c r="F282" s="509">
        <v>6290509.2864822978</v>
      </c>
      <c r="G282" s="233">
        <f>VLOOKUP(B282,Synthèse!$B$6:$O$314,14,FALSE)</f>
        <v>6008601.2188065909</v>
      </c>
      <c r="H282" s="317">
        <f t="shared" si="13"/>
        <v>-281908.06767570693</v>
      </c>
      <c r="I282" s="510">
        <v>846176.30624442908</v>
      </c>
      <c r="J282" s="233">
        <f>VLOOKUP(B282,Synthèse!$B$6:$O$314,12,FALSE)</f>
        <v>794020.15064437361</v>
      </c>
      <c r="K282" s="317">
        <f t="shared" si="14"/>
        <v>-52156.15560005547</v>
      </c>
    </row>
    <row r="283" spans="1:11" s="514" customFormat="1" ht="15" x14ac:dyDescent="0.25">
      <c r="A283" s="151">
        <v>5890</v>
      </c>
      <c r="B283" s="508" t="s">
        <v>53</v>
      </c>
      <c r="C283" s="510">
        <v>18207152.690177578</v>
      </c>
      <c r="D283" s="312">
        <f>VLOOKUP(B283,Synthèse!$B$6:$O$314,5,FALSE)</f>
        <v>15045715.539865054</v>
      </c>
      <c r="E283" s="317">
        <f t="shared" si="12"/>
        <v>-3161437.1503125243</v>
      </c>
      <c r="F283" s="509">
        <v>422197.43954204675</v>
      </c>
      <c r="G283" s="233">
        <f>VLOOKUP(B283,Synthèse!$B$6:$O$314,14,FALSE)</f>
        <v>-3868069.9720928408</v>
      </c>
      <c r="H283" s="317">
        <f t="shared" si="13"/>
        <v>-4290267.4116348876</v>
      </c>
      <c r="I283" s="510">
        <v>1210733.6844477337</v>
      </c>
      <c r="J283" s="233">
        <f>VLOOKUP(B283,Synthèse!$B$6:$O$314,12,FALSE)</f>
        <v>1013284.1875605168</v>
      </c>
      <c r="K283" s="317">
        <f t="shared" si="14"/>
        <v>-197449.49688721693</v>
      </c>
    </row>
    <row r="284" spans="1:11" s="514" customFormat="1" ht="15" x14ac:dyDescent="0.25">
      <c r="A284" s="151">
        <v>5891</v>
      </c>
      <c r="B284" s="508" t="s">
        <v>54</v>
      </c>
      <c r="C284" s="510">
        <v>990665.80094270222</v>
      </c>
      <c r="D284" s="312">
        <f>VLOOKUP(B284,Synthèse!$B$6:$O$314,5,FALSE)</f>
        <v>751161.79235126975</v>
      </c>
      <c r="E284" s="317">
        <f t="shared" si="12"/>
        <v>-239504.00859143247</v>
      </c>
      <c r="F284" s="509">
        <v>64680.192707229522</v>
      </c>
      <c r="G284" s="233">
        <f>VLOOKUP(B284,Synthèse!$B$6:$O$314,14,FALSE)</f>
        <v>225871.56945810758</v>
      </c>
      <c r="H284" s="317">
        <f t="shared" si="13"/>
        <v>161191.37675087806</v>
      </c>
      <c r="I284" s="510">
        <v>47871.994203539034</v>
      </c>
      <c r="J284" s="233">
        <f>VLOOKUP(B284,Synthèse!$B$6:$O$314,12,FALSE)</f>
        <v>51626.357244484032</v>
      </c>
      <c r="K284" s="317">
        <f t="shared" si="14"/>
        <v>3754.3630409449979</v>
      </c>
    </row>
    <row r="285" spans="1:11" s="514" customFormat="1" ht="15" x14ac:dyDescent="0.25">
      <c r="A285" s="151">
        <v>5902</v>
      </c>
      <c r="B285" s="508" t="s">
        <v>55</v>
      </c>
      <c r="C285" s="510">
        <v>159475.29366415748</v>
      </c>
      <c r="D285" s="312">
        <f>VLOOKUP(B285,Synthèse!$B$6:$O$314,5,FALSE)</f>
        <v>242602.04024673911</v>
      </c>
      <c r="E285" s="317">
        <f t="shared" si="12"/>
        <v>83126.746582581633</v>
      </c>
      <c r="F285" s="509">
        <v>-4666.8460653207158</v>
      </c>
      <c r="G285" s="233">
        <f>VLOOKUP(B285,Synthèse!$B$6:$O$314,14,FALSE)</f>
        <v>26488.3159524601</v>
      </c>
      <c r="H285" s="317">
        <f t="shared" si="13"/>
        <v>31155.162017780814</v>
      </c>
      <c r="I285" s="510">
        <v>32825.383649384414</v>
      </c>
      <c r="J285" s="233">
        <f>VLOOKUP(B285,Synthèse!$B$6:$O$314,12,FALSE)</f>
        <v>35588.834478150748</v>
      </c>
      <c r="K285" s="317">
        <f t="shared" si="14"/>
        <v>2763.4508287663339</v>
      </c>
    </row>
    <row r="286" spans="1:11" s="514" customFormat="1" ht="15" x14ac:dyDescent="0.25">
      <c r="A286" s="151">
        <v>5903</v>
      </c>
      <c r="B286" s="508" t="s">
        <v>56</v>
      </c>
      <c r="C286" s="510">
        <v>99496.314814254729</v>
      </c>
      <c r="D286" s="312">
        <f>VLOOKUP(B286,Synthèse!$B$6:$O$314,5,FALSE)</f>
        <v>78733.747337100765</v>
      </c>
      <c r="E286" s="317">
        <f t="shared" si="12"/>
        <v>-20762.567477153963</v>
      </c>
      <c r="F286" s="509">
        <v>-248467.26935813733</v>
      </c>
      <c r="G286" s="233">
        <f>VLOOKUP(B286,Synthèse!$B$6:$O$314,14,FALSE)</f>
        <v>-197475.29575984838</v>
      </c>
      <c r="H286" s="317">
        <f t="shared" si="13"/>
        <v>50991.973598288954</v>
      </c>
      <c r="I286" s="510">
        <v>17094.721329344429</v>
      </c>
      <c r="J286" s="233">
        <f>VLOOKUP(B286,Synthèse!$B$6:$O$314,12,FALSE)</f>
        <v>14910.003487215959</v>
      </c>
      <c r="K286" s="317">
        <f t="shared" si="14"/>
        <v>-2184.7178421284698</v>
      </c>
    </row>
    <row r="287" spans="1:11" s="514" customFormat="1" ht="15" x14ac:dyDescent="0.25">
      <c r="A287" s="151">
        <v>5904</v>
      </c>
      <c r="B287" s="508" t="s">
        <v>57</v>
      </c>
      <c r="C287" s="510">
        <v>342190.08587411512</v>
      </c>
      <c r="D287" s="312">
        <f>VLOOKUP(B287,Synthèse!$B$6:$O$314,5,FALSE)</f>
        <v>339552.35136317462</v>
      </c>
      <c r="E287" s="317">
        <f t="shared" si="12"/>
        <v>-2637.7345109404996</v>
      </c>
      <c r="F287" s="509">
        <v>262620.06382081675</v>
      </c>
      <c r="G287" s="233">
        <f>VLOOKUP(B287,Synthèse!$B$6:$O$314,14,FALSE)</f>
        <v>254985.62394930993</v>
      </c>
      <c r="H287" s="317">
        <f t="shared" si="13"/>
        <v>-7634.4398715068237</v>
      </c>
      <c r="I287" s="510">
        <v>26474.251303129888</v>
      </c>
      <c r="J287" s="233">
        <f>VLOOKUP(B287,Synthèse!$B$6:$O$314,12,FALSE)</f>
        <v>25482.941437390498</v>
      </c>
      <c r="K287" s="317">
        <f t="shared" si="14"/>
        <v>-991.30986573938935</v>
      </c>
    </row>
    <row r="288" spans="1:11" s="514" customFormat="1" ht="15" x14ac:dyDescent="0.25">
      <c r="A288" s="151">
        <v>5905</v>
      </c>
      <c r="B288" s="508" t="s">
        <v>58</v>
      </c>
      <c r="C288" s="510">
        <v>394207.14246628096</v>
      </c>
      <c r="D288" s="312">
        <f>VLOOKUP(B288,Synthèse!$B$6:$O$314,5,FALSE)</f>
        <v>364332.95946909348</v>
      </c>
      <c r="E288" s="317">
        <f t="shared" si="12"/>
        <v>-29874.182997187483</v>
      </c>
      <c r="F288" s="509">
        <v>195179.94309955719</v>
      </c>
      <c r="G288" s="233">
        <f>VLOOKUP(B288,Synthèse!$B$6:$O$314,14,FALSE)</f>
        <v>553.74274368374608</v>
      </c>
      <c r="H288" s="317">
        <f t="shared" si="13"/>
        <v>-194626.20035587344</v>
      </c>
      <c r="I288" s="510">
        <v>73540.182680378377</v>
      </c>
      <c r="J288" s="233">
        <f>VLOOKUP(B288,Synthèse!$B$6:$O$314,12,FALSE)</f>
        <v>65976.398815847118</v>
      </c>
      <c r="K288" s="317">
        <f t="shared" si="14"/>
        <v>-7563.7838645312586</v>
      </c>
    </row>
    <row r="289" spans="1:11" s="514" customFormat="1" ht="15" x14ac:dyDescent="0.25">
      <c r="A289" s="151">
        <v>5907</v>
      </c>
      <c r="B289" s="508" t="s">
        <v>59</v>
      </c>
      <c r="C289" s="510">
        <v>132601.91981574937</v>
      </c>
      <c r="D289" s="312">
        <f>VLOOKUP(B289,Synthèse!$B$6:$O$314,5,FALSE)</f>
        <v>151780.1640321264</v>
      </c>
      <c r="E289" s="317">
        <f t="shared" si="12"/>
        <v>19178.244216377032</v>
      </c>
      <c r="F289" s="509">
        <v>-74516.707784633036</v>
      </c>
      <c r="G289" s="233">
        <f>VLOOKUP(B289,Synthèse!$B$6:$O$314,14,FALSE)</f>
        <v>-28087.93317099315</v>
      </c>
      <c r="H289" s="317">
        <f t="shared" si="13"/>
        <v>46428.774613639886</v>
      </c>
      <c r="I289" s="510">
        <v>25711.035379407163</v>
      </c>
      <c r="J289" s="233">
        <f>VLOOKUP(B289,Synthèse!$B$6:$O$314,12,FALSE)</f>
        <v>30143.844180042503</v>
      </c>
      <c r="K289" s="317">
        <f t="shared" si="14"/>
        <v>4432.8088006353391</v>
      </c>
    </row>
    <row r="290" spans="1:11" s="514" customFormat="1" ht="15" x14ac:dyDescent="0.25">
      <c r="A290" s="151">
        <v>5908</v>
      </c>
      <c r="B290" s="508" t="s">
        <v>60</v>
      </c>
      <c r="C290" s="510">
        <v>88527.875121946796</v>
      </c>
      <c r="D290" s="312">
        <f>VLOOKUP(B290,Synthèse!$B$6:$O$314,5,FALSE)</f>
        <v>93572.419313466788</v>
      </c>
      <c r="E290" s="317">
        <f t="shared" si="12"/>
        <v>5044.5441915199917</v>
      </c>
      <c r="F290" s="509">
        <v>-51923.195277258215</v>
      </c>
      <c r="G290" s="233">
        <f>VLOOKUP(B290,Synthèse!$B$6:$O$314,14,FALSE)</f>
        <v>19468.900235220703</v>
      </c>
      <c r="H290" s="317">
        <f t="shared" si="13"/>
        <v>71392.095512478918</v>
      </c>
      <c r="I290" s="510">
        <v>10061.413122709786</v>
      </c>
      <c r="J290" s="233">
        <f>VLOOKUP(B290,Synthèse!$B$6:$O$314,12,FALSE)</f>
        <v>20100.814798126463</v>
      </c>
      <c r="K290" s="317">
        <f t="shared" si="14"/>
        <v>10039.401675416677</v>
      </c>
    </row>
    <row r="291" spans="1:11" s="514" customFormat="1" ht="15" x14ac:dyDescent="0.25">
      <c r="A291" s="151">
        <v>5909</v>
      </c>
      <c r="B291" s="508" t="s">
        <v>61</v>
      </c>
      <c r="C291" s="510">
        <v>588435.06923300552</v>
      </c>
      <c r="D291" s="312">
        <f>VLOOKUP(B291,Synthèse!$B$6:$O$314,5,FALSE)</f>
        <v>626244.84764313954</v>
      </c>
      <c r="E291" s="317">
        <f t="shared" si="12"/>
        <v>37809.778410134022</v>
      </c>
      <c r="F291" s="509">
        <v>490772.9012498291</v>
      </c>
      <c r="G291" s="233">
        <f>VLOOKUP(B291,Synthèse!$B$6:$O$314,14,FALSE)</f>
        <v>632136.83703298459</v>
      </c>
      <c r="H291" s="317">
        <f t="shared" si="13"/>
        <v>141363.9357831555</v>
      </c>
      <c r="I291" s="510">
        <v>42894.496914439893</v>
      </c>
      <c r="J291" s="233">
        <f>VLOOKUP(B291,Synthèse!$B$6:$O$314,12,FALSE)</f>
        <v>46115.753909363149</v>
      </c>
      <c r="K291" s="317">
        <f t="shared" si="14"/>
        <v>3221.2569949232566</v>
      </c>
    </row>
    <row r="292" spans="1:11" s="514" customFormat="1" ht="15" x14ac:dyDescent="0.25">
      <c r="A292" s="151">
        <v>5910</v>
      </c>
      <c r="B292" s="508" t="s">
        <v>62</v>
      </c>
      <c r="C292" s="510">
        <v>161948.78203098095</v>
      </c>
      <c r="D292" s="312">
        <f>VLOOKUP(B292,Synthèse!$B$6:$O$314,5,FALSE)</f>
        <v>129626.07510601787</v>
      </c>
      <c r="E292" s="317">
        <f t="shared" si="12"/>
        <v>-32322.706924963073</v>
      </c>
      <c r="F292" s="509">
        <v>-132293.41964442169</v>
      </c>
      <c r="G292" s="233">
        <f>VLOOKUP(B292,Synthèse!$B$6:$O$314,14,FALSE)</f>
        <v>-170883.78727893793</v>
      </c>
      <c r="H292" s="317">
        <f t="shared" si="13"/>
        <v>-38590.367634516238</v>
      </c>
      <c r="I292" s="510">
        <v>30643.138255940794</v>
      </c>
      <c r="J292" s="233">
        <f>VLOOKUP(B292,Synthèse!$B$6:$O$314,12,FALSE)</f>
        <v>30142.790866143954</v>
      </c>
      <c r="K292" s="317">
        <f t="shared" si="14"/>
        <v>-500.34738979683971</v>
      </c>
    </row>
    <row r="293" spans="1:11" s="514" customFormat="1" ht="15" x14ac:dyDescent="0.25">
      <c r="A293" s="151">
        <v>5911</v>
      </c>
      <c r="B293" s="508" t="s">
        <v>63</v>
      </c>
      <c r="C293" s="510">
        <v>134090.32363220234</v>
      </c>
      <c r="D293" s="312">
        <f>VLOOKUP(B293,Synthèse!$B$6:$O$314,5,FALSE)</f>
        <v>94755.372810524277</v>
      </c>
      <c r="E293" s="317">
        <f t="shared" si="12"/>
        <v>-39334.950821678067</v>
      </c>
      <c r="F293" s="509">
        <v>-100568.81094194883</v>
      </c>
      <c r="G293" s="233">
        <f>VLOOKUP(B293,Synthèse!$B$6:$O$314,14,FALSE)</f>
        <v>-7597.1267202408781</v>
      </c>
      <c r="H293" s="317">
        <f t="shared" si="13"/>
        <v>92971.684221707954</v>
      </c>
      <c r="I293" s="510">
        <v>21920.968753029119</v>
      </c>
      <c r="J293" s="233">
        <f>VLOOKUP(B293,Synthèse!$B$6:$O$314,12,FALSE)</f>
        <v>21090.831505377631</v>
      </c>
      <c r="K293" s="317">
        <f t="shared" si="14"/>
        <v>-830.137247651488</v>
      </c>
    </row>
    <row r="294" spans="1:11" s="514" customFormat="1" ht="15" x14ac:dyDescent="0.25">
      <c r="A294" s="151">
        <v>5912</v>
      </c>
      <c r="B294" s="508" t="s">
        <v>64</v>
      </c>
      <c r="C294" s="510">
        <v>48266.377458524803</v>
      </c>
      <c r="D294" s="312">
        <f>VLOOKUP(B294,Synthèse!$B$6:$O$314,5,FALSE)</f>
        <v>66374.548565117904</v>
      </c>
      <c r="E294" s="317">
        <f t="shared" si="12"/>
        <v>18108.171106593101</v>
      </c>
      <c r="F294" s="509">
        <v>-93716.110743485711</v>
      </c>
      <c r="G294" s="233">
        <f>VLOOKUP(B294,Synthèse!$B$6:$O$314,14,FALSE)</f>
        <v>-45678.684676385528</v>
      </c>
      <c r="H294" s="317">
        <f t="shared" si="13"/>
        <v>48037.426067100183</v>
      </c>
      <c r="I294" s="510">
        <v>9926.5008729435576</v>
      </c>
      <c r="J294" s="233">
        <f>VLOOKUP(B294,Synthèse!$B$6:$O$314,12,FALSE)</f>
        <v>12381.318878491313</v>
      </c>
      <c r="K294" s="317">
        <f t="shared" si="14"/>
        <v>2454.8180055477551</v>
      </c>
    </row>
    <row r="295" spans="1:11" s="514" customFormat="1" ht="15" x14ac:dyDescent="0.25">
      <c r="A295" s="151">
        <v>5913</v>
      </c>
      <c r="B295" s="508" t="s">
        <v>65</v>
      </c>
      <c r="C295" s="510">
        <v>390130.09705546405</v>
      </c>
      <c r="D295" s="312">
        <f>VLOOKUP(B295,Synthèse!$B$6:$O$314,5,FALSE)</f>
        <v>314659.21266525384</v>
      </c>
      <c r="E295" s="317">
        <f t="shared" si="12"/>
        <v>-75470.884390210209</v>
      </c>
      <c r="F295" s="509">
        <v>-78472.87114521605</v>
      </c>
      <c r="G295" s="233">
        <f>VLOOKUP(B295,Synthèse!$B$6:$O$314,14,FALSE)</f>
        <v>-193434.37852502812</v>
      </c>
      <c r="H295" s="317">
        <f t="shared" si="13"/>
        <v>-114961.50737981207</v>
      </c>
      <c r="I295" s="510">
        <v>63828.297299433849</v>
      </c>
      <c r="J295" s="233">
        <f>VLOOKUP(B295,Synthèse!$B$6:$O$314,12,FALSE)</f>
        <v>59851.103858794275</v>
      </c>
      <c r="K295" s="317">
        <f t="shared" si="14"/>
        <v>-3977.193440639574</v>
      </c>
    </row>
    <row r="296" spans="1:11" s="514" customFormat="1" ht="15" x14ac:dyDescent="0.25">
      <c r="A296" s="151">
        <v>5914</v>
      </c>
      <c r="B296" s="508" t="s">
        <v>66</v>
      </c>
      <c r="C296" s="510">
        <v>164968.63258815807</v>
      </c>
      <c r="D296" s="312">
        <f>VLOOKUP(B296,Synthèse!$B$6:$O$314,5,FALSE)</f>
        <v>168335.05447723976</v>
      </c>
      <c r="E296" s="317">
        <f t="shared" si="12"/>
        <v>3366.4218890816846</v>
      </c>
      <c r="F296" s="509">
        <v>-47127.420094532114</v>
      </c>
      <c r="G296" s="233">
        <f>VLOOKUP(B296,Synthèse!$B$6:$O$314,14,FALSE)</f>
        <v>-82376.459628981975</v>
      </c>
      <c r="H296" s="317">
        <f t="shared" si="13"/>
        <v>-35249.039534449861</v>
      </c>
      <c r="I296" s="510">
        <v>12568.373597080568</v>
      </c>
      <c r="J296" s="233">
        <f>VLOOKUP(B296,Synthèse!$B$6:$O$314,12,FALSE)</f>
        <v>12524.215269151999</v>
      </c>
      <c r="K296" s="317">
        <f t="shared" si="14"/>
        <v>-44.158327928569634</v>
      </c>
    </row>
    <row r="297" spans="1:11" s="514" customFormat="1" ht="15" x14ac:dyDescent="0.25">
      <c r="A297" s="151">
        <v>5919</v>
      </c>
      <c r="B297" s="508" t="s">
        <v>392</v>
      </c>
      <c r="C297" s="510">
        <v>370939.34709494532</v>
      </c>
      <c r="D297" s="312">
        <f>VLOOKUP(B297,Synthèse!$B$6:$O$314,5,FALSE)</f>
        <v>427878.91099790309</v>
      </c>
      <c r="E297" s="317">
        <f t="shared" si="12"/>
        <v>56939.563902957772</v>
      </c>
      <c r="F297" s="509">
        <v>-4113.4546254719098</v>
      </c>
      <c r="G297" s="233">
        <f>VLOOKUP(B297,Synthèse!$B$6:$O$314,14,FALSE)</f>
        <v>-79750.572880093998</v>
      </c>
      <c r="H297" s="317">
        <f t="shared" si="13"/>
        <v>-75637.118254622095</v>
      </c>
      <c r="I297" s="510">
        <v>22678.510360394499</v>
      </c>
      <c r="J297" s="233">
        <f>VLOOKUP(B297,Synthèse!$B$6:$O$314,12,FALSE)</f>
        <v>25332.047805641043</v>
      </c>
      <c r="K297" s="317">
        <f t="shared" si="14"/>
        <v>2653.5374452465439</v>
      </c>
    </row>
    <row r="298" spans="1:11" s="514" customFormat="1" ht="15" x14ac:dyDescent="0.25">
      <c r="A298" s="151">
        <v>5921</v>
      </c>
      <c r="B298" s="508" t="s">
        <v>393</v>
      </c>
      <c r="C298" s="510">
        <v>91344.410715616978</v>
      </c>
      <c r="D298" s="312">
        <f>VLOOKUP(B298,Synthèse!$B$6:$O$314,5,FALSE)</f>
        <v>88629.57022573243</v>
      </c>
      <c r="E298" s="317">
        <f t="shared" si="12"/>
        <v>-2714.8404898845474</v>
      </c>
      <c r="F298" s="509">
        <v>-104501.46387442457</v>
      </c>
      <c r="G298" s="233">
        <f>VLOOKUP(B298,Synthèse!$B$6:$O$314,14,FALSE)</f>
        <v>-156909.79456190515</v>
      </c>
      <c r="H298" s="317">
        <f t="shared" si="13"/>
        <v>-52408.330687480571</v>
      </c>
      <c r="I298" s="510">
        <v>16582.492573640178</v>
      </c>
      <c r="J298" s="233">
        <f>VLOOKUP(B298,Synthèse!$B$6:$O$314,12,FALSE)</f>
        <v>17186.553588116756</v>
      </c>
      <c r="K298" s="317">
        <f t="shared" si="14"/>
        <v>604.06101447657784</v>
      </c>
    </row>
    <row r="299" spans="1:11" s="514" customFormat="1" ht="15" x14ac:dyDescent="0.25">
      <c r="A299" s="151">
        <v>5922</v>
      </c>
      <c r="B299" s="508" t="s">
        <v>272</v>
      </c>
      <c r="C299" s="510">
        <v>822751.57118385436</v>
      </c>
      <c r="D299" s="312">
        <f>VLOOKUP(B299,Synthèse!$B$6:$O$314,5,FALSE)</f>
        <v>595611.29743304325</v>
      </c>
      <c r="E299" s="317">
        <f t="shared" si="12"/>
        <v>-227140.27375081112</v>
      </c>
      <c r="F299" s="509">
        <v>440823.6639858057</v>
      </c>
      <c r="G299" s="233">
        <f>VLOOKUP(B299,Synthèse!$B$6:$O$314,14,FALSE)</f>
        <v>353674.62539357715</v>
      </c>
      <c r="H299" s="317">
        <f t="shared" si="13"/>
        <v>-87149.03859222855</v>
      </c>
      <c r="I299" s="510">
        <v>107492.57292383711</v>
      </c>
      <c r="J299" s="233">
        <f>VLOOKUP(B299,Synthèse!$B$6:$O$314,12,FALSE)</f>
        <v>95615.727736706191</v>
      </c>
      <c r="K299" s="317">
        <f t="shared" si="14"/>
        <v>-11876.845187130923</v>
      </c>
    </row>
    <row r="300" spans="1:11" s="514" customFormat="1" ht="15" x14ac:dyDescent="0.25">
      <c r="A300" s="151">
        <v>5923</v>
      </c>
      <c r="B300" s="508" t="s">
        <v>273</v>
      </c>
      <c r="C300" s="510">
        <v>96323.688759003082</v>
      </c>
      <c r="D300" s="312">
        <f>VLOOKUP(B300,Synthèse!$B$6:$O$314,5,FALSE)</f>
        <v>80930.517195535154</v>
      </c>
      <c r="E300" s="317">
        <f t="shared" si="12"/>
        <v>-15393.171563467928</v>
      </c>
      <c r="F300" s="509">
        <v>-57008.410519514873</v>
      </c>
      <c r="G300" s="233">
        <f>VLOOKUP(B300,Synthèse!$B$6:$O$314,14,FALSE)</f>
        <v>-120549.13406174333</v>
      </c>
      <c r="H300" s="317">
        <f t="shared" si="13"/>
        <v>-63540.723542228458</v>
      </c>
      <c r="I300" s="510">
        <v>16598.380054412217</v>
      </c>
      <c r="J300" s="233">
        <f>VLOOKUP(B300,Synthèse!$B$6:$O$314,12,FALSE)</f>
        <v>14598.125582091914</v>
      </c>
      <c r="K300" s="317">
        <f t="shared" si="14"/>
        <v>-2000.2544723203027</v>
      </c>
    </row>
    <row r="301" spans="1:11" s="514" customFormat="1" ht="15" x14ac:dyDescent="0.25">
      <c r="A301" s="151">
        <v>5924</v>
      </c>
      <c r="B301" s="508" t="s">
        <v>274</v>
      </c>
      <c r="C301" s="510">
        <v>180141.08211318852</v>
      </c>
      <c r="D301" s="312">
        <f>VLOOKUP(B301,Synthèse!$B$6:$O$314,5,FALSE)</f>
        <v>258680.33439885534</v>
      </c>
      <c r="E301" s="317">
        <f t="shared" si="12"/>
        <v>78539.252285666822</v>
      </c>
      <c r="F301" s="509">
        <v>66229.398629390314</v>
      </c>
      <c r="G301" s="233">
        <f>VLOOKUP(B301,Synthèse!$B$6:$O$314,14,FALSE)</f>
        <v>109701.33607252175</v>
      </c>
      <c r="H301" s="317">
        <f t="shared" si="13"/>
        <v>43471.937443131435</v>
      </c>
      <c r="I301" s="510">
        <v>32826.931287778396</v>
      </c>
      <c r="J301" s="233">
        <f>VLOOKUP(B301,Synthèse!$B$6:$O$314,12,FALSE)</f>
        <v>38182.040991021124</v>
      </c>
      <c r="K301" s="317">
        <f t="shared" si="14"/>
        <v>5355.1097032427278</v>
      </c>
    </row>
    <row r="302" spans="1:11" s="514" customFormat="1" ht="15" x14ac:dyDescent="0.25">
      <c r="A302" s="151">
        <v>5925</v>
      </c>
      <c r="B302" s="508" t="s">
        <v>397</v>
      </c>
      <c r="C302" s="510">
        <v>110894.60129718194</v>
      </c>
      <c r="D302" s="312">
        <f>VLOOKUP(B302,Synthèse!$B$6:$O$314,5,FALSE)</f>
        <v>147916.48274931667</v>
      </c>
      <c r="E302" s="317">
        <f t="shared" si="12"/>
        <v>37021.881452134723</v>
      </c>
      <c r="F302" s="509">
        <v>-8114.542010675028</v>
      </c>
      <c r="G302" s="233">
        <f>VLOOKUP(B302,Synthèse!$B$6:$O$314,14,FALSE)</f>
        <v>-18964.590756233363</v>
      </c>
      <c r="H302" s="317">
        <f t="shared" si="13"/>
        <v>-10850.048745558335</v>
      </c>
      <c r="I302" s="510">
        <v>17697.114446322008</v>
      </c>
      <c r="J302" s="233">
        <f>VLOOKUP(B302,Synthèse!$B$6:$O$314,12,FALSE)</f>
        <v>17829.33656078401</v>
      </c>
      <c r="K302" s="317">
        <f t="shared" si="14"/>
        <v>132.22211446200163</v>
      </c>
    </row>
    <row r="303" spans="1:11" s="514" customFormat="1" ht="15" x14ac:dyDescent="0.25">
      <c r="A303" s="151">
        <v>5926</v>
      </c>
      <c r="B303" s="508" t="s">
        <v>398</v>
      </c>
      <c r="C303" s="510">
        <v>437972.14875161223</v>
      </c>
      <c r="D303" s="312">
        <f>VLOOKUP(B303,Synthèse!$B$6:$O$314,5,FALSE)</f>
        <v>458630.83439351013</v>
      </c>
      <c r="E303" s="317">
        <f t="shared" si="12"/>
        <v>20658.6856418979</v>
      </c>
      <c r="F303" s="509">
        <v>261897.10987352522</v>
      </c>
      <c r="G303" s="233">
        <f>VLOOKUP(B303,Synthèse!$B$6:$O$314,14,FALSE)</f>
        <v>181004.92652241208</v>
      </c>
      <c r="H303" s="317">
        <f t="shared" si="13"/>
        <v>-80892.183351113141</v>
      </c>
      <c r="I303" s="510">
        <v>35248.238634851041</v>
      </c>
      <c r="J303" s="233">
        <f>VLOOKUP(B303,Synthèse!$B$6:$O$314,12,FALSE)</f>
        <v>32142.189534089899</v>
      </c>
      <c r="K303" s="317">
        <f t="shared" si="14"/>
        <v>-3106.0491007611417</v>
      </c>
    </row>
    <row r="304" spans="1:11" s="514" customFormat="1" ht="15" x14ac:dyDescent="0.25">
      <c r="A304" s="151">
        <v>5928</v>
      </c>
      <c r="B304" s="508" t="s">
        <v>399</v>
      </c>
      <c r="C304" s="510">
        <v>80977.979965083839</v>
      </c>
      <c r="D304" s="312">
        <f>VLOOKUP(B304,Synthèse!$B$6:$O$314,5,FALSE)</f>
        <v>79151.613067974205</v>
      </c>
      <c r="E304" s="317">
        <f t="shared" si="12"/>
        <v>-1826.366897109634</v>
      </c>
      <c r="F304" s="509">
        <v>-23632.465537199445</v>
      </c>
      <c r="G304" s="233">
        <f>VLOOKUP(B304,Synthèse!$B$6:$O$314,14,FALSE)</f>
        <v>-6116.9282869371673</v>
      </c>
      <c r="H304" s="317">
        <f t="shared" si="13"/>
        <v>17515.537250262278</v>
      </c>
      <c r="I304" s="510">
        <v>13834.744322648716</v>
      </c>
      <c r="J304" s="233">
        <f>VLOOKUP(B304,Synthèse!$B$6:$O$314,12,FALSE)</f>
        <v>17028.389034187912</v>
      </c>
      <c r="K304" s="317">
        <f t="shared" si="14"/>
        <v>3193.6447115391966</v>
      </c>
    </row>
    <row r="305" spans="1:11" s="514" customFormat="1" ht="15" x14ac:dyDescent="0.25">
      <c r="A305" s="151">
        <v>5929</v>
      </c>
      <c r="B305" s="508" t="s">
        <v>400</v>
      </c>
      <c r="C305" s="510">
        <v>312578.56123780238</v>
      </c>
      <c r="D305" s="312">
        <f>VLOOKUP(B305,Synthèse!$B$6:$O$314,5,FALSE)</f>
        <v>315889.4733925421</v>
      </c>
      <c r="E305" s="317">
        <f t="shared" si="12"/>
        <v>3310.9121547397226</v>
      </c>
      <c r="F305" s="509">
        <v>66033.522492016345</v>
      </c>
      <c r="G305" s="233">
        <f>VLOOKUP(B305,Synthèse!$B$6:$O$314,14,FALSE)</f>
        <v>53362.504480093674</v>
      </c>
      <c r="H305" s="317">
        <f t="shared" si="13"/>
        <v>-12671.018011922672</v>
      </c>
      <c r="I305" s="510">
        <v>22695.283208720433</v>
      </c>
      <c r="J305" s="233">
        <f>VLOOKUP(B305,Synthèse!$B$6:$O$314,12,FALSE)</f>
        <v>23290.275713581403</v>
      </c>
      <c r="K305" s="317">
        <f t="shared" si="14"/>
        <v>594.99250486096935</v>
      </c>
    </row>
    <row r="306" spans="1:11" s="514" customFormat="1" ht="15" x14ac:dyDescent="0.25">
      <c r="A306" s="151">
        <v>5930</v>
      </c>
      <c r="B306" s="508" t="s">
        <v>401</v>
      </c>
      <c r="C306" s="510">
        <v>120685.61109804217</v>
      </c>
      <c r="D306" s="312">
        <f>VLOOKUP(B306,Synthèse!$B$6:$O$314,5,FALSE)</f>
        <v>80463.100363701786</v>
      </c>
      <c r="E306" s="317">
        <f t="shared" si="12"/>
        <v>-40222.51073434038</v>
      </c>
      <c r="F306" s="509">
        <v>-13091.745593619948</v>
      </c>
      <c r="G306" s="233">
        <f>VLOOKUP(B306,Synthèse!$B$6:$O$314,14,FALSE)</f>
        <v>-33619.353537993942</v>
      </c>
      <c r="H306" s="317">
        <f t="shared" si="13"/>
        <v>-20527.607944373995</v>
      </c>
      <c r="I306" s="510">
        <v>7746.9549207793789</v>
      </c>
      <c r="J306" s="233">
        <f>VLOOKUP(B306,Synthèse!$B$6:$O$314,12,FALSE)</f>
        <v>6776.7425789193658</v>
      </c>
      <c r="K306" s="317">
        <f t="shared" si="14"/>
        <v>-970.21234186001311</v>
      </c>
    </row>
    <row r="307" spans="1:11" s="514" customFormat="1" ht="15" x14ac:dyDescent="0.25">
      <c r="A307" s="151">
        <v>5931</v>
      </c>
      <c r="B307" s="508" t="s">
        <v>402</v>
      </c>
      <c r="C307" s="510">
        <v>234354.54187592285</v>
      </c>
      <c r="D307" s="312">
        <f>VLOOKUP(B307,Synthèse!$B$6:$O$314,5,FALSE)</f>
        <v>255631.51899390438</v>
      </c>
      <c r="E307" s="317">
        <f t="shared" si="12"/>
        <v>21276.977117981529</v>
      </c>
      <c r="F307" s="509">
        <v>4019.5440218235044</v>
      </c>
      <c r="G307" s="233">
        <f>VLOOKUP(B307,Synthèse!$B$6:$O$314,14,FALSE)</f>
        <v>22679.992368322419</v>
      </c>
      <c r="H307" s="317">
        <f t="shared" si="13"/>
        <v>18660.448346498913</v>
      </c>
      <c r="I307" s="510">
        <v>17194.337442754029</v>
      </c>
      <c r="J307" s="233">
        <f>VLOOKUP(B307,Synthèse!$B$6:$O$314,12,FALSE)</f>
        <v>18070.362198423696</v>
      </c>
      <c r="K307" s="317">
        <f t="shared" si="14"/>
        <v>876.02475566966677</v>
      </c>
    </row>
    <row r="308" spans="1:11" s="514" customFormat="1" ht="15" x14ac:dyDescent="0.25">
      <c r="A308" s="151">
        <v>5932</v>
      </c>
      <c r="B308" s="508" t="s">
        <v>275</v>
      </c>
      <c r="C308" s="510">
        <v>126635.73028616305</v>
      </c>
      <c r="D308" s="312">
        <f>VLOOKUP(B308,Synthèse!$B$6:$O$314,5,FALSE)</f>
        <v>92132.458824076617</v>
      </c>
      <c r="E308" s="317">
        <f t="shared" si="12"/>
        <v>-34503.271462086428</v>
      </c>
      <c r="F308" s="509">
        <v>11434.644368743458</v>
      </c>
      <c r="G308" s="233">
        <f>VLOOKUP(B308,Synthèse!$B$6:$O$314,14,FALSE)</f>
        <v>-25244.240045812883</v>
      </c>
      <c r="H308" s="317">
        <f t="shared" si="13"/>
        <v>-36678.884414556342</v>
      </c>
      <c r="I308" s="510">
        <v>21416.509314261653</v>
      </c>
      <c r="J308" s="233">
        <f>VLOOKUP(B308,Synthèse!$B$6:$O$314,12,FALSE)</f>
        <v>20708.522861506313</v>
      </c>
      <c r="K308" s="317">
        <f t="shared" si="14"/>
        <v>-707.98645275534</v>
      </c>
    </row>
    <row r="309" spans="1:11" s="514" customFormat="1" ht="15" x14ac:dyDescent="0.25">
      <c r="A309" s="151">
        <v>5933</v>
      </c>
      <c r="B309" s="508" t="s">
        <v>395</v>
      </c>
      <c r="C309" s="510">
        <v>395467.52983210795</v>
      </c>
      <c r="D309" s="312">
        <f>VLOOKUP(B309,Synthèse!$B$6:$O$314,5,FALSE)</f>
        <v>341788.30535290408</v>
      </c>
      <c r="E309" s="317">
        <f t="shared" si="12"/>
        <v>-53679.224479203869</v>
      </c>
      <c r="F309" s="509">
        <v>36468.636170310143</v>
      </c>
      <c r="G309" s="233">
        <f>VLOOKUP(B309,Synthèse!$B$6:$O$314,14,FALSE)</f>
        <v>-78290.990516841062</v>
      </c>
      <c r="H309" s="317">
        <f t="shared" si="13"/>
        <v>-114759.62668715121</v>
      </c>
      <c r="I309" s="510">
        <v>71983.970482080185</v>
      </c>
      <c r="J309" s="233">
        <f>VLOOKUP(B309,Synthèse!$B$6:$O$314,12,FALSE)</f>
        <v>68185.392744373923</v>
      </c>
      <c r="K309" s="317">
        <f t="shared" si="14"/>
        <v>-3798.5777377062623</v>
      </c>
    </row>
    <row r="310" spans="1:11" s="514" customFormat="1" ht="15" x14ac:dyDescent="0.25">
      <c r="A310" s="151">
        <v>5934</v>
      </c>
      <c r="B310" s="508" t="s">
        <v>396</v>
      </c>
      <c r="C310" s="510">
        <v>119117.5354314978</v>
      </c>
      <c r="D310" s="312">
        <f>VLOOKUP(B310,Synthèse!$B$6:$O$314,5,FALSE)</f>
        <v>120246.27005516621</v>
      </c>
      <c r="E310" s="317">
        <f t="shared" si="12"/>
        <v>1128.7346236684098</v>
      </c>
      <c r="F310" s="509">
        <v>50841.898063217181</v>
      </c>
      <c r="G310" s="233">
        <f>VLOOKUP(B310,Synthèse!$B$6:$O$314,14,FALSE)</f>
        <v>8786.1394455364225</v>
      </c>
      <c r="H310" s="317">
        <f t="shared" si="13"/>
        <v>-42055.75861768076</v>
      </c>
      <c r="I310" s="510">
        <v>24675.892248911092</v>
      </c>
      <c r="J310" s="233">
        <f>VLOOKUP(B310,Synthèse!$B$6:$O$314,12,FALSE)</f>
        <v>23308.873904920201</v>
      </c>
      <c r="K310" s="317">
        <f t="shared" si="14"/>
        <v>-1367.0183439908906</v>
      </c>
    </row>
    <row r="311" spans="1:11" s="514" customFormat="1" ht="15" x14ac:dyDescent="0.25">
      <c r="A311" s="151">
        <v>5935</v>
      </c>
      <c r="B311" s="508" t="s">
        <v>298</v>
      </c>
      <c r="C311" s="510">
        <v>107445.69153390372</v>
      </c>
      <c r="D311" s="312">
        <f>VLOOKUP(B311,Synthèse!$B$6:$O$314,5,FALSE)</f>
        <v>67493.227501143469</v>
      </c>
      <c r="E311" s="317">
        <f t="shared" si="12"/>
        <v>-39952.464032760254</v>
      </c>
      <c r="F311" s="509">
        <v>94101.91154058931</v>
      </c>
      <c r="G311" s="233">
        <f>VLOOKUP(B311,Synthèse!$B$6:$O$314,14,FALSE)</f>
        <v>44091.854463657466</v>
      </c>
      <c r="H311" s="317">
        <f t="shared" si="13"/>
        <v>-50010.057076931844</v>
      </c>
      <c r="I311" s="510">
        <v>15695.135985239096</v>
      </c>
      <c r="J311" s="233">
        <f>VLOOKUP(B311,Synthèse!$B$6:$O$314,12,FALSE)</f>
        <v>11816.095159827655</v>
      </c>
      <c r="K311" s="317">
        <f t="shared" si="14"/>
        <v>-3879.0408254114409</v>
      </c>
    </row>
    <row r="312" spans="1:11" s="514" customFormat="1" ht="15" x14ac:dyDescent="0.25">
      <c r="A312" s="151">
        <v>5937</v>
      </c>
      <c r="B312" s="508" t="s">
        <v>276</v>
      </c>
      <c r="C312" s="510">
        <v>46287.360731257293</v>
      </c>
      <c r="D312" s="312">
        <f>VLOOKUP(B312,Synthèse!$B$6:$O$314,5,FALSE)</f>
        <v>51103.735195972142</v>
      </c>
      <c r="E312" s="317">
        <f t="shared" si="12"/>
        <v>4816.3744647148487</v>
      </c>
      <c r="F312" s="509">
        <v>-72132.227661769633</v>
      </c>
      <c r="G312" s="233">
        <f>VLOOKUP(B312,Synthèse!$B$6:$O$314,14,FALSE)</f>
        <v>-47504.659770119135</v>
      </c>
      <c r="H312" s="317">
        <f t="shared" si="13"/>
        <v>24627.567891650498</v>
      </c>
      <c r="I312" s="510">
        <v>7552.2190333510389</v>
      </c>
      <c r="J312" s="233">
        <f>VLOOKUP(B312,Synthèse!$B$6:$O$314,12,FALSE)</f>
        <v>9662.5863638212268</v>
      </c>
      <c r="K312" s="317">
        <f t="shared" si="14"/>
        <v>2110.3673304701879</v>
      </c>
    </row>
    <row r="313" spans="1:11" s="514" customFormat="1" ht="15" x14ac:dyDescent="0.25">
      <c r="A313" s="151">
        <v>5938</v>
      </c>
      <c r="B313" s="508" t="s">
        <v>150</v>
      </c>
      <c r="C313" s="510">
        <v>15122275.306108832</v>
      </c>
      <c r="D313" s="312">
        <f>VLOOKUP(B313,Synthèse!$B$6:$O$314,5,FALSE)</f>
        <v>14154546.090809014</v>
      </c>
      <c r="E313" s="317">
        <f t="shared" si="12"/>
        <v>-967729.21529981866</v>
      </c>
      <c r="F313" s="509">
        <v>-29654461.420300379</v>
      </c>
      <c r="G313" s="233">
        <f>VLOOKUP(B313,Synthèse!$B$6:$O$314,14,FALSE)</f>
        <v>-31507419.894809008</v>
      </c>
      <c r="H313" s="317">
        <f t="shared" si="13"/>
        <v>-1852958.4745086282</v>
      </c>
      <c r="I313" s="510">
        <v>992506.48353697895</v>
      </c>
      <c r="J313" s="233">
        <f>VLOOKUP(B313,Synthèse!$B$6:$O$314,12,FALSE)</f>
        <v>935669.77004179161</v>
      </c>
      <c r="K313" s="317">
        <f t="shared" si="14"/>
        <v>-56836.713495187345</v>
      </c>
    </row>
    <row r="314" spans="1:11" s="514" customFormat="1" ht="15" x14ac:dyDescent="0.25">
      <c r="A314" s="151">
        <v>5939</v>
      </c>
      <c r="B314" s="508" t="s">
        <v>149</v>
      </c>
      <c r="C314" s="510">
        <v>1767460.5572357425</v>
      </c>
      <c r="D314" s="312">
        <f>VLOOKUP(B314,Synthèse!$B$6:$O$314,5,FALSE)</f>
        <v>1614820.7107145288</v>
      </c>
      <c r="E314" s="317">
        <f t="shared" si="12"/>
        <v>-152639.84652121365</v>
      </c>
      <c r="F314" s="509">
        <v>-725131.25803257269</v>
      </c>
      <c r="G314" s="233">
        <f>VLOOKUP(B314,Synthèse!$B$6:$O$314,14,FALSE)</f>
        <v>-1380228.0101164584</v>
      </c>
      <c r="H314" s="317">
        <f t="shared" si="13"/>
        <v>-655096.75208388572</v>
      </c>
      <c r="I314" s="510">
        <v>290621.97117640113</v>
      </c>
      <c r="J314" s="233">
        <f>VLOOKUP(B314,Synthèse!$B$6:$O$314,12,FALSE)</f>
        <v>278895.91537594167</v>
      </c>
      <c r="K314" s="317">
        <f t="shared" si="14"/>
        <v>-11726.055800459464</v>
      </c>
    </row>
    <row r="315" spans="1:11" s="514" customFormat="1" ht="15" x14ac:dyDescent="0.25">
      <c r="A315" s="30"/>
      <c r="B315" s="24">
        <v>309</v>
      </c>
      <c r="C315" s="511">
        <f>SUM(C6:C314)</f>
        <v>824863599.99999928</v>
      </c>
      <c r="D315" s="512">
        <f t="shared" ref="D315:K315" si="15">SUM(D6:D314)</f>
        <v>844273246.0000006</v>
      </c>
      <c r="E315" s="511">
        <f t="shared" si="15"/>
        <v>19409646.000001315</v>
      </c>
      <c r="F315" s="511">
        <f t="shared" si="15"/>
        <v>450000.00000666338</v>
      </c>
      <c r="G315" s="512">
        <f t="shared" si="15"/>
        <v>450000.00000014482</v>
      </c>
      <c r="H315" s="511">
        <f t="shared" si="15"/>
        <v>-6.5157655626535416E-6</v>
      </c>
      <c r="I315" s="511">
        <f t="shared" si="15"/>
        <v>68941679.25310652</v>
      </c>
      <c r="J315" s="512">
        <f t="shared" si="15"/>
        <v>68941679.253106654</v>
      </c>
      <c r="K315" s="511">
        <f t="shared" si="15"/>
        <v>1.3096723705530167E-7</v>
      </c>
    </row>
    <row r="316" spans="1:11" s="514" customFormat="1" ht="15" x14ac:dyDescent="0.25">
      <c r="A316" s="515"/>
      <c r="B316" s="515"/>
      <c r="C316" s="515"/>
      <c r="D316" s="407"/>
      <c r="E316" s="515"/>
      <c r="F316" s="515"/>
      <c r="G316" s="515"/>
      <c r="H316" s="515"/>
      <c r="I316" s="513"/>
      <c r="J316" s="6"/>
      <c r="K316" s="515"/>
    </row>
    <row r="317" spans="1:11" s="514" customFormat="1" ht="15" x14ac:dyDescent="0.25">
      <c r="A317" s="515"/>
      <c r="B317" s="515"/>
      <c r="C317" s="515"/>
      <c r="D317" s="515"/>
      <c r="E317" s="515"/>
      <c r="F317" s="515"/>
      <c r="G317" s="515"/>
      <c r="H317" s="515"/>
      <c r="I317" s="513"/>
      <c r="J317" s="6"/>
      <c r="K317" s="515"/>
    </row>
    <row r="318" spans="1:11" s="514" customFormat="1" ht="15" x14ac:dyDescent="0.25">
      <c r="A318" s="515"/>
      <c r="B318" s="515"/>
      <c r="C318" s="515"/>
      <c r="D318" s="515"/>
      <c r="E318" s="515"/>
      <c r="F318" s="515"/>
      <c r="G318" s="515"/>
      <c r="H318" s="515"/>
      <c r="I318" s="513"/>
      <c r="J318" s="515"/>
      <c r="K318" s="515"/>
    </row>
    <row r="319" spans="1:11" s="514" customFormat="1" ht="15" x14ac:dyDescent="0.25">
      <c r="A319" s="515"/>
      <c r="B319" s="515"/>
      <c r="C319" s="515"/>
      <c r="D319" s="515"/>
      <c r="E319" s="515"/>
      <c r="F319" s="515"/>
      <c r="G319" s="515"/>
      <c r="H319" s="515"/>
      <c r="I319" s="442"/>
      <c r="J319" s="515"/>
      <c r="K319" s="515"/>
    </row>
  </sheetData>
  <mergeCells count="6">
    <mergeCell ref="I4:K4"/>
    <mergeCell ref="A1:E1"/>
    <mergeCell ref="A4:A5"/>
    <mergeCell ref="B4:B5"/>
    <mergeCell ref="C4:E4"/>
    <mergeCell ref="F4:H4"/>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tabColor theme="3" tint="0.39997558519241921"/>
    <pageSetUpPr fitToPage="1"/>
  </sheetPr>
  <dimension ref="B1:L68"/>
  <sheetViews>
    <sheetView tabSelected="1" workbookViewId="0">
      <selection activeCell="C3" sqref="C3:E3"/>
    </sheetView>
  </sheetViews>
  <sheetFormatPr baseColWidth="10" defaultColWidth="10.875" defaultRowHeight="15" x14ac:dyDescent="0.25"/>
  <cols>
    <col min="1" max="1" width="3.375" style="158" customWidth="1"/>
    <col min="2" max="2" width="17.125" style="158" customWidth="1"/>
    <col min="3" max="4" width="12.75" style="158" customWidth="1"/>
    <col min="5" max="6" width="12.75" style="202" customWidth="1"/>
    <col min="7" max="7" width="11.75" style="158" bestFit="1" customWidth="1"/>
    <col min="8" max="16384" width="10.875" style="158"/>
  </cols>
  <sheetData>
    <row r="1" spans="2:9" ht="31.5" x14ac:dyDescent="0.5">
      <c r="B1" s="197" t="s">
        <v>481</v>
      </c>
    </row>
    <row r="3" spans="2:9" s="203" customFormat="1" ht="26.25" x14ac:dyDescent="0.4">
      <c r="B3" s="206"/>
      <c r="C3" s="529"/>
      <c r="D3" s="529"/>
      <c r="E3" s="529"/>
      <c r="F3" s="204"/>
    </row>
    <row r="6" spans="2:9" ht="18.75" x14ac:dyDescent="0.3">
      <c r="B6" s="528" t="str">
        <f>CONCATENATE("Péréquation, ",Paramètres!B5)</f>
        <v>Péréquation, 2020</v>
      </c>
      <c r="C6" s="528"/>
      <c r="D6" s="528"/>
      <c r="E6" s="528"/>
      <c r="F6" s="528"/>
    </row>
    <row r="7" spans="2:9" s="249" customFormat="1" ht="18.75" x14ac:dyDescent="0.3">
      <c r="B7" s="528">
        <f>C3</f>
        <v>0</v>
      </c>
      <c r="C7" s="528"/>
      <c r="D7" s="528"/>
      <c r="E7" s="528"/>
      <c r="F7" s="528"/>
    </row>
    <row r="8" spans="2:9" s="249" customFormat="1" ht="12.75" x14ac:dyDescent="0.2">
      <c r="B8" s="256" t="e">
        <f>CONCATENATE("Population : ",VLOOKUP($B$7,'A) Base RI'!$B$7:$AS$315,40,FALSE))</f>
        <v>#N/A</v>
      </c>
      <c r="C8" s="247"/>
      <c r="D8" s="247"/>
      <c r="E8" s="248"/>
      <c r="F8" s="255" t="e">
        <f>CONCATENATE("N° OFS : ",VLOOKUP($B$7,Paramètres!$A$68:$B$376,2,FALSE))</f>
        <v>#N/A</v>
      </c>
    </row>
    <row r="9" spans="2:9" s="249" customFormat="1" ht="12.75" x14ac:dyDescent="0.2">
      <c r="B9" s="256" t="e">
        <f>CONCATENATE("Taux : ",VLOOKUP($B$7,'A) Base RI'!$B$7:$AS$315,39,FALSE))</f>
        <v>#N/A</v>
      </c>
      <c r="C9" s="247"/>
      <c r="D9" s="247"/>
      <c r="E9" s="248"/>
      <c r="F9" s="323" t="e">
        <f>CONCATENATE("Point impôt communal : ",ROUND(VLOOKUP(B7,'D) Ecrêtage'!B5:M322,2,FALSE),0))</f>
        <v>#N/A</v>
      </c>
    </row>
    <row r="10" spans="2:9" s="249" customFormat="1" ht="12.75" x14ac:dyDescent="0.2">
      <c r="B10" s="247"/>
      <c r="C10" s="247"/>
      <c r="D10" s="247"/>
      <c r="E10" s="248"/>
      <c r="F10" s="323"/>
      <c r="H10" s="347"/>
      <c r="I10" s="347"/>
    </row>
    <row r="11" spans="2:9" ht="18" x14ac:dyDescent="0.35">
      <c r="B11" s="240" t="s">
        <v>589</v>
      </c>
      <c r="C11" s="103"/>
      <c r="D11" s="103"/>
      <c r="E11" s="205"/>
      <c r="F11" s="205"/>
    </row>
    <row r="12" spans="2:9" s="249" customFormat="1" ht="6" customHeight="1" x14ac:dyDescent="0.2">
      <c r="B12" s="247"/>
      <c r="C12" s="247"/>
      <c r="D12" s="247"/>
      <c r="E12" s="248"/>
      <c r="F12" s="248"/>
    </row>
    <row r="13" spans="2:9" s="249" customFormat="1" ht="12.75" x14ac:dyDescent="0.2">
      <c r="B13" s="254" t="s">
        <v>434</v>
      </c>
      <c r="C13" s="247"/>
      <c r="D13" s="247"/>
      <c r="E13" s="248"/>
      <c r="F13" s="248"/>
    </row>
    <row r="14" spans="2:9" s="249" customFormat="1" ht="12.75" x14ac:dyDescent="0.2">
      <c r="B14" s="247" t="s">
        <v>473</v>
      </c>
      <c r="C14" s="247"/>
      <c r="D14" s="247"/>
      <c r="E14" s="250" t="e">
        <f>VLOOKUP($C$3,'C) Prél. conj.'!$B$3:$E$391,2,FALSE)*0.5</f>
        <v>#N/A</v>
      </c>
      <c r="F14" s="248"/>
    </row>
    <row r="15" spans="2:9" s="249" customFormat="1" ht="12.75" x14ac:dyDescent="0.2">
      <c r="B15" s="247" t="s">
        <v>194</v>
      </c>
      <c r="C15" s="247"/>
      <c r="D15" s="247"/>
      <c r="E15" s="250" t="e">
        <f>VLOOKUP($C$3,'C) Prél. conj.'!$B$3:$E$391,3,FALSE)*0.3</f>
        <v>#N/A</v>
      </c>
      <c r="F15" s="248" t="e">
        <f>E14+E15</f>
        <v>#N/A</v>
      </c>
    </row>
    <row r="16" spans="2:9" s="249" customFormat="1" ht="6" customHeight="1" x14ac:dyDescent="0.2">
      <c r="B16" s="247"/>
      <c r="C16" s="247"/>
      <c r="D16" s="247"/>
      <c r="E16" s="248"/>
      <c r="F16" s="248"/>
    </row>
    <row r="17" spans="2:8" s="249" customFormat="1" ht="12.75" x14ac:dyDescent="0.2">
      <c r="B17" s="254" t="s">
        <v>471</v>
      </c>
      <c r="C17" s="247"/>
      <c r="D17" s="247"/>
      <c r="E17" s="248"/>
      <c r="F17" s="248"/>
    </row>
    <row r="18" spans="2:8" s="249" customFormat="1" ht="12.75" x14ac:dyDescent="0.2">
      <c r="B18" s="247" t="s">
        <v>531</v>
      </c>
      <c r="C18" s="247"/>
      <c r="D18" s="251" t="e">
        <f>VLOOKUP($C$3,'D) Ecrêtage'!$B$3:$M$391,11,FALSE)</f>
        <v>#N/A</v>
      </c>
      <c r="E18" s="248"/>
      <c r="F18" s="248" t="e">
        <f>VLOOKUP($C$3,'D) Ecrêtage'!$B$3:$M$391,12,FALSE)</f>
        <v>#N/A</v>
      </c>
    </row>
    <row r="19" spans="2:8" s="249" customFormat="1" ht="6" customHeight="1" x14ac:dyDescent="0.2">
      <c r="B19" s="247"/>
      <c r="C19" s="247"/>
      <c r="D19" s="247"/>
      <c r="E19" s="248"/>
      <c r="F19" s="248"/>
    </row>
    <row r="20" spans="2:8" s="249" customFormat="1" ht="12.75" x14ac:dyDescent="0.2">
      <c r="B20" s="254" t="s">
        <v>474</v>
      </c>
      <c r="C20" s="247"/>
      <c r="D20" s="247"/>
      <c r="E20" s="248"/>
      <c r="F20" s="248"/>
    </row>
    <row r="21" spans="2:8" s="249" customFormat="1" ht="12.75" x14ac:dyDescent="0.2">
      <c r="B21" s="247" t="str">
        <f>CONCATENATE("Nombre de points à répartir ",ROUND('E) Fact soc'!D7,2))</f>
        <v>Nombre de points à répartir 13.51</v>
      </c>
      <c r="C21" s="247"/>
      <c r="D21" s="247"/>
      <c r="E21" s="248"/>
      <c r="F21" s="248"/>
    </row>
    <row r="22" spans="2:8" s="249" customFormat="1" ht="12.75" x14ac:dyDescent="0.2">
      <c r="B22" s="247" t="s">
        <v>480</v>
      </c>
      <c r="C22" s="247"/>
      <c r="D22" s="247"/>
      <c r="E22" s="248"/>
      <c r="F22" s="248" t="e">
        <f>VLOOKUP($C$3,'E) Fact soc'!$B$9:$G$391,5,FALSE)</f>
        <v>#N/A</v>
      </c>
    </row>
    <row r="23" spans="2:8" s="249" customFormat="1" ht="6" customHeight="1" x14ac:dyDescent="0.2">
      <c r="B23" s="247"/>
      <c r="C23" s="247"/>
      <c r="D23" s="247"/>
      <c r="E23" s="248"/>
      <c r="F23" s="252"/>
    </row>
    <row r="24" spans="2:8" s="249" customFormat="1" ht="12.75" x14ac:dyDescent="0.2">
      <c r="B24" s="254" t="s">
        <v>590</v>
      </c>
      <c r="C24" s="247"/>
      <c r="D24" s="247"/>
      <c r="E24" s="248"/>
      <c r="F24" s="253" t="e">
        <f>F15+F18+F22</f>
        <v>#N/A</v>
      </c>
      <c r="G24" s="425"/>
      <c r="H24" s="425"/>
    </row>
    <row r="25" spans="2:8" s="249" customFormat="1" ht="6" customHeight="1" x14ac:dyDescent="0.2">
      <c r="B25" s="247"/>
      <c r="C25" s="247"/>
      <c r="D25" s="247"/>
      <c r="E25" s="248"/>
      <c r="F25" s="248"/>
    </row>
    <row r="26" spans="2:8" ht="18" x14ac:dyDescent="0.35">
      <c r="B26" s="240" t="s">
        <v>506</v>
      </c>
      <c r="C26" s="103"/>
      <c r="D26" s="103"/>
      <c r="E26" s="205"/>
      <c r="F26" s="205"/>
      <c r="G26" s="424"/>
    </row>
    <row r="27" spans="2:8" s="249" customFormat="1" ht="6" customHeight="1" x14ac:dyDescent="0.2">
      <c r="B27" s="247"/>
      <c r="C27" s="247"/>
      <c r="D27" s="247"/>
      <c r="E27" s="248"/>
      <c r="F27" s="248"/>
    </row>
    <row r="28" spans="2:8" s="249" customFormat="1" ht="12.75" x14ac:dyDescent="0.2">
      <c r="B28" s="254" t="s">
        <v>303</v>
      </c>
      <c r="C28" s="247"/>
      <c r="D28" s="247"/>
      <c r="E28" s="248"/>
      <c r="F28" s="248" t="e">
        <f>-VLOOKUP($C$3,'F) Population'!$B$8:$K$391,10,FALSE)</f>
        <v>#N/A</v>
      </c>
      <c r="G28" s="426"/>
    </row>
    <row r="29" spans="2:8" s="249" customFormat="1" ht="6" customHeight="1" x14ac:dyDescent="0.2">
      <c r="B29" s="247"/>
      <c r="C29" s="247"/>
      <c r="D29" s="247"/>
      <c r="E29" s="248"/>
      <c r="F29" s="248"/>
    </row>
    <row r="30" spans="2:8" s="249" customFormat="1" ht="12.75" x14ac:dyDescent="0.2">
      <c r="B30" s="254" t="s">
        <v>475</v>
      </c>
      <c r="C30" s="247"/>
      <c r="D30" s="247"/>
      <c r="E30" s="248"/>
      <c r="F30" s="248" t="e">
        <f>-VLOOKUP($C$3,'G) Solidarité'!$B$5:$I$391,8,FALSE)</f>
        <v>#N/A</v>
      </c>
    </row>
    <row r="31" spans="2:8" s="249" customFormat="1" ht="6" customHeight="1" x14ac:dyDescent="0.2">
      <c r="B31" s="247"/>
      <c r="C31" s="247"/>
      <c r="D31" s="247"/>
      <c r="E31" s="248"/>
      <c r="F31" s="248"/>
      <c r="H31" s="249" t="s">
        <v>588</v>
      </c>
    </row>
    <row r="32" spans="2:8" s="249" customFormat="1" ht="12.75" x14ac:dyDescent="0.2">
      <c r="B32" s="254" t="s">
        <v>139</v>
      </c>
      <c r="C32" s="247"/>
      <c r="D32" s="247"/>
      <c r="E32" s="248"/>
      <c r="F32" s="487"/>
    </row>
    <row r="33" spans="2:12" s="249" customFormat="1" ht="12.75" x14ac:dyDescent="0.2">
      <c r="B33" s="489" t="s">
        <v>596</v>
      </c>
      <c r="C33" s="488"/>
      <c r="D33" s="488"/>
      <c r="E33" s="490" t="e">
        <f>VLOOKUP(B7,'I) Dépenses thématiques'!B5:U313,12,FALSE)</f>
        <v>#N/A</v>
      </c>
      <c r="F33" s="488"/>
    </row>
    <row r="34" spans="2:12" s="249" customFormat="1" ht="12.75" x14ac:dyDescent="0.2">
      <c r="B34" s="489" t="s">
        <v>597</v>
      </c>
      <c r="C34" s="488"/>
      <c r="D34" s="488"/>
      <c r="E34" s="490" t="e">
        <f>VLOOKUP(B7,'I) Dépenses thématiques'!B5:T313,18,FALSE)</f>
        <v>#N/A</v>
      </c>
      <c r="F34" s="491" t="e">
        <f>SUM(E33:E34)</f>
        <v>#N/A</v>
      </c>
    </row>
    <row r="35" spans="2:12" s="249" customFormat="1" ht="6" customHeight="1" x14ac:dyDescent="0.2">
      <c r="B35" s="488"/>
      <c r="C35" s="488"/>
      <c r="D35" s="488"/>
      <c r="E35" s="488"/>
      <c r="F35" s="488"/>
    </row>
    <row r="36" spans="2:12" s="249" customFormat="1" ht="12.75" x14ac:dyDescent="0.2">
      <c r="B36" s="254" t="s">
        <v>476</v>
      </c>
      <c r="C36" s="247"/>
      <c r="D36" s="247"/>
      <c r="E36" s="248"/>
      <c r="F36" s="248"/>
    </row>
    <row r="37" spans="2:12" s="249" customFormat="1" ht="12.75" customHeight="1" x14ac:dyDescent="0.2">
      <c r="B37" s="247" t="s">
        <v>522</v>
      </c>
      <c r="C37" s="247"/>
      <c r="D37" s="247"/>
      <c r="E37" s="250" t="e">
        <f>VLOOKUP($C$3,'J) Plafonnement effort'!$B$5:$J$391,9,FALSE)</f>
        <v>#N/A</v>
      </c>
      <c r="F37" s="248"/>
      <c r="L37" s="478"/>
    </row>
    <row r="38" spans="2:12" s="249" customFormat="1" ht="12.75" customHeight="1" x14ac:dyDescent="0.2">
      <c r="B38" s="247" t="s">
        <v>477</v>
      </c>
      <c r="C38" s="247"/>
      <c r="D38" s="247"/>
      <c r="E38" s="250" t="e">
        <f>VLOOKUP($C$3,'K) Plafonnement aide'!$B$5:$J$391,9,FALSE)</f>
        <v>#N/A</v>
      </c>
      <c r="F38" s="248"/>
      <c r="L38" s="478"/>
    </row>
    <row r="39" spans="2:12" s="249" customFormat="1" ht="12.75" customHeight="1" x14ac:dyDescent="0.2">
      <c r="B39" s="247" t="s">
        <v>478</v>
      </c>
      <c r="C39" s="247"/>
      <c r="D39" s="247"/>
      <c r="E39" s="250" t="e">
        <f>VLOOKUP($C$3,'L) Plafonnement taux'!$B$6:$Q$391,16,FALSE)</f>
        <v>#N/A</v>
      </c>
      <c r="F39" s="248" t="e">
        <f>SUM(E37:E39)</f>
        <v>#N/A</v>
      </c>
      <c r="L39" s="478"/>
    </row>
    <row r="40" spans="2:12" s="249" customFormat="1" ht="6" customHeight="1" x14ac:dyDescent="0.2">
      <c r="B40" s="247"/>
      <c r="C40" s="247"/>
      <c r="D40" s="247"/>
      <c r="E40" s="248"/>
      <c r="F40" s="248"/>
      <c r="L40" s="478"/>
    </row>
    <row r="41" spans="2:12" s="249" customFormat="1" ht="12.75" customHeight="1" x14ac:dyDescent="0.2">
      <c r="B41" s="254" t="s">
        <v>94</v>
      </c>
      <c r="C41" s="247"/>
      <c r="D41" s="247"/>
      <c r="E41" s="248"/>
      <c r="F41" s="248" t="e">
        <f>VLOOKUP($C$3,'H) Péréquation directe'!$B$16:$I$391,4,FALSE)</f>
        <v>#N/A</v>
      </c>
      <c r="L41" s="478"/>
    </row>
    <row r="42" spans="2:12" s="249" customFormat="1" ht="6" customHeight="1" x14ac:dyDescent="0.2">
      <c r="B42" s="247"/>
      <c r="C42" s="247"/>
      <c r="D42" s="247"/>
      <c r="E42" s="248"/>
      <c r="F42" s="252"/>
      <c r="L42" s="478"/>
    </row>
    <row r="43" spans="2:12" s="249" customFormat="1" ht="12.75" x14ac:dyDescent="0.2">
      <c r="B43" s="254" t="s">
        <v>479</v>
      </c>
      <c r="C43" s="247"/>
      <c r="D43" s="247"/>
      <c r="E43" s="248"/>
      <c r="F43" s="348" t="e">
        <f>SUM(F27:F42)</f>
        <v>#N/A</v>
      </c>
    </row>
    <row r="44" spans="2:12" s="249" customFormat="1" ht="6" customHeight="1" x14ac:dyDescent="0.2">
      <c r="B44" s="247"/>
      <c r="C44" s="247"/>
      <c r="D44" s="247"/>
      <c r="E44" s="248"/>
      <c r="F44" s="248"/>
    </row>
    <row r="45" spans="2:12" ht="18" x14ac:dyDescent="0.35">
      <c r="B45" s="240" t="s">
        <v>507</v>
      </c>
      <c r="C45" s="103"/>
      <c r="D45" s="103"/>
      <c r="E45" s="205"/>
      <c r="F45" s="205"/>
      <c r="G45" s="249"/>
      <c r="H45" s="249"/>
      <c r="I45" s="249"/>
      <c r="J45" s="249"/>
      <c r="K45" s="249"/>
    </row>
    <row r="46" spans="2:12" s="249" customFormat="1" ht="6" customHeight="1" x14ac:dyDescent="0.2">
      <c r="B46" s="247"/>
      <c r="C46" s="247"/>
      <c r="D46" s="247"/>
      <c r="E46" s="248"/>
      <c r="F46" s="248"/>
    </row>
    <row r="47" spans="2:12" s="249" customFormat="1" ht="12.75" x14ac:dyDescent="0.2">
      <c r="B47" s="247" t="s">
        <v>490</v>
      </c>
      <c r="C47" s="247"/>
      <c r="D47" s="247"/>
      <c r="E47" s="250" t="e">
        <f>VLOOKUP($C$3,'M) Police'!$B$6:$N$396,10,FALSE)</f>
        <v>#N/A</v>
      </c>
      <c r="F47" s="248"/>
    </row>
    <row r="48" spans="2:12" s="249" customFormat="1" ht="12.75" x14ac:dyDescent="0.2">
      <c r="B48" s="247" t="s">
        <v>491</v>
      </c>
      <c r="C48" s="247"/>
      <c r="D48" s="247"/>
      <c r="E48" s="250" t="e">
        <f>VLOOKUP($C$3,'M) Police'!$B$6:$N$396,13,FALSE)</f>
        <v>#N/A</v>
      </c>
      <c r="F48" s="248" t="e">
        <f>E47+E48</f>
        <v>#N/A</v>
      </c>
    </row>
    <row r="49" spans="2:6" s="249" customFormat="1" ht="12.75" x14ac:dyDescent="0.2">
      <c r="B49" s="247"/>
      <c r="C49" s="247"/>
      <c r="D49" s="247"/>
      <c r="E49" s="248"/>
      <c r="F49" s="252"/>
    </row>
    <row r="50" spans="2:6" s="249" customFormat="1" ht="12.75" x14ac:dyDescent="0.2">
      <c r="B50" s="254" t="s">
        <v>496</v>
      </c>
      <c r="C50" s="247"/>
      <c r="D50" s="247"/>
      <c r="E50" s="248"/>
      <c r="F50" s="253" t="e">
        <f>F48</f>
        <v>#N/A</v>
      </c>
    </row>
    <row r="51" spans="2:6" s="249" customFormat="1" ht="6" customHeight="1" x14ac:dyDescent="0.2">
      <c r="B51" s="247"/>
      <c r="C51" s="247"/>
      <c r="D51" s="247"/>
      <c r="E51" s="248"/>
      <c r="F51" s="248"/>
    </row>
    <row r="52" spans="2:6" ht="18" x14ac:dyDescent="0.35">
      <c r="B52" s="240" t="s">
        <v>508</v>
      </c>
      <c r="C52" s="103"/>
      <c r="D52" s="103"/>
      <c r="E52" s="205"/>
      <c r="F52" s="205"/>
    </row>
    <row r="53" spans="2:6" ht="6" customHeight="1" x14ac:dyDescent="0.25">
      <c r="B53" s="247"/>
      <c r="C53" s="247"/>
      <c r="D53" s="247"/>
      <c r="E53" s="247"/>
      <c r="F53" s="247"/>
    </row>
    <row r="54" spans="2:6" x14ac:dyDescent="0.25">
      <c r="B54" s="254" t="s">
        <v>523</v>
      </c>
      <c r="C54" s="247"/>
      <c r="D54" s="247"/>
      <c r="E54" s="247"/>
      <c r="F54" s="253" t="e">
        <f>+F24+F43+F50</f>
        <v>#N/A</v>
      </c>
    </row>
    <row r="55" spans="2:6" ht="6" customHeight="1" x14ac:dyDescent="0.25">
      <c r="B55" s="247"/>
      <c r="C55" s="247"/>
      <c r="D55" s="247"/>
      <c r="E55" s="247"/>
      <c r="F55" s="247"/>
    </row>
    <row r="56" spans="2:6" ht="18" x14ac:dyDescent="0.35">
      <c r="B56" s="240" t="s">
        <v>524</v>
      </c>
      <c r="C56" s="103"/>
      <c r="D56" s="103"/>
      <c r="E56" s="205"/>
      <c r="F56" s="205"/>
    </row>
    <row r="57" spans="2:6" ht="6" customHeight="1" x14ac:dyDescent="0.25">
      <c r="B57" s="247"/>
      <c r="C57" s="247"/>
      <c r="D57" s="247"/>
      <c r="E57" s="248"/>
      <c r="F57" s="248"/>
    </row>
    <row r="58" spans="2:6" ht="25.5" x14ac:dyDescent="0.25">
      <c r="B58" s="247"/>
      <c r="C58" s="492" t="s">
        <v>599</v>
      </c>
      <c r="D58" s="493" t="s">
        <v>616</v>
      </c>
      <c r="E58" s="493" t="s">
        <v>327</v>
      </c>
      <c r="F58" s="494" t="s">
        <v>486</v>
      </c>
    </row>
    <row r="59" spans="2:6" x14ac:dyDescent="0.25">
      <c r="B59" s="495" t="s">
        <v>600</v>
      </c>
      <c r="C59" s="496" t="e">
        <f>SUM(D59:F59)</f>
        <v>#N/A</v>
      </c>
      <c r="D59" s="497" t="e">
        <f>VLOOKUP($C$3,'Acomptes vs Décompte'!$B$6:$K$314,2,FALSE)</f>
        <v>#N/A</v>
      </c>
      <c r="E59" s="497" t="e">
        <f>VLOOKUP($C$3,'Acomptes vs Décompte'!$B$6:$K$314,5,FALSE)</f>
        <v>#N/A</v>
      </c>
      <c r="F59" s="498" t="e">
        <f>VLOOKUP($C$3,'Acomptes vs Décompte'!$B$6:$K$314,8,FALSE)</f>
        <v>#N/A</v>
      </c>
    </row>
    <row r="60" spans="2:6" x14ac:dyDescent="0.25">
      <c r="B60" s="495" t="s">
        <v>601</v>
      </c>
      <c r="C60" s="499" t="e">
        <f>SUM(D60:F60)</f>
        <v>#N/A</v>
      </c>
      <c r="D60" s="500" t="e">
        <f>VLOOKUP($C$3,'Acomptes vs Décompte'!$B$6:$K$314,3,FALSE)</f>
        <v>#N/A</v>
      </c>
      <c r="E60" s="500" t="e">
        <f>VLOOKUP($C$3,'Acomptes vs Décompte'!$B$6:$K$314,6,FALSE)</f>
        <v>#N/A</v>
      </c>
      <c r="F60" s="501" t="e">
        <f>VLOOKUP($C$3,'Acomptes vs Décompte'!$B$6:$K$314,9,FALSE)</f>
        <v>#N/A</v>
      </c>
    </row>
    <row r="61" spans="2:6" x14ac:dyDescent="0.25">
      <c r="B61" s="495" t="s">
        <v>602</v>
      </c>
      <c r="C61" s="496" t="e">
        <f>SUM(D61:F61)</f>
        <v>#N/A</v>
      </c>
      <c r="D61" s="496" t="e">
        <f>D60-D59</f>
        <v>#N/A</v>
      </c>
      <c r="E61" s="496" t="e">
        <f t="shared" ref="E61:F61" si="0">E60-E59</f>
        <v>#N/A</v>
      </c>
      <c r="F61" s="496" t="e">
        <f t="shared" si="0"/>
        <v>#N/A</v>
      </c>
    </row>
    <row r="62" spans="2:6" x14ac:dyDescent="0.25">
      <c r="B62" s="410"/>
      <c r="C62" s="502" t="s">
        <v>603</v>
      </c>
      <c r="D62" s="410"/>
      <c r="E62" s="6"/>
      <c r="F62" s="6"/>
    </row>
    <row r="63" spans="2:6" x14ac:dyDescent="0.25">
      <c r="B63" s="530" t="s">
        <v>617</v>
      </c>
      <c r="C63" s="530"/>
      <c r="D63" s="530"/>
      <c r="E63" s="530"/>
      <c r="F63" s="530"/>
    </row>
    <row r="64" spans="2:6" x14ac:dyDescent="0.25">
      <c r="B64" s="530"/>
      <c r="C64" s="530"/>
      <c r="D64" s="530"/>
      <c r="E64" s="530"/>
      <c r="F64" s="530"/>
    </row>
    <row r="65" spans="2:6" x14ac:dyDescent="0.25">
      <c r="B65" s="530"/>
      <c r="C65" s="530"/>
      <c r="D65" s="530"/>
      <c r="E65" s="530"/>
      <c r="F65" s="530"/>
    </row>
    <row r="66" spans="2:6" x14ac:dyDescent="0.25">
      <c r="B66" s="530"/>
      <c r="C66" s="530"/>
      <c r="D66" s="530"/>
      <c r="E66" s="530"/>
      <c r="F66" s="530"/>
    </row>
    <row r="67" spans="2:6" x14ac:dyDescent="0.25">
      <c r="B67" s="530"/>
      <c r="C67" s="530"/>
      <c r="D67" s="530"/>
      <c r="E67" s="530"/>
      <c r="F67" s="530"/>
    </row>
    <row r="68" spans="2:6" x14ac:dyDescent="0.25">
      <c r="B68" s="530"/>
      <c r="C68" s="530"/>
      <c r="D68" s="530"/>
      <c r="E68" s="530"/>
      <c r="F68" s="530"/>
    </row>
  </sheetData>
  <protectedRanges>
    <protectedRange sqref="C3:E3" name="Plage1"/>
  </protectedRanges>
  <mergeCells count="4">
    <mergeCell ref="B6:F6"/>
    <mergeCell ref="B7:F7"/>
    <mergeCell ref="C3:E3"/>
    <mergeCell ref="B63:F68"/>
  </mergeCells>
  <printOptions horizontalCentered="1" verticalCentered="1"/>
  <pageMargins left="0.70866141732283472" right="0.70866141732283472" top="0.35433070866141736" bottom="0.35433070866141736" header="0.31496062992125984" footer="0.31496062992125984"/>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Paramètres!$A$68:$A$376</xm:f>
          </x14:formula1>
          <xm:sqref>C3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4">
    <tabColor rgb="FF00B050"/>
  </sheetPr>
  <dimension ref="A1:DH319"/>
  <sheetViews>
    <sheetView zoomScale="90" zoomScaleNormal="90" workbookViewId="0">
      <pane ySplit="6" topLeftCell="A7" activePane="bottomLeft" state="frozen"/>
      <selection pane="bottomLeft" activeCell="AB127" sqref="AB127"/>
    </sheetView>
  </sheetViews>
  <sheetFormatPr baseColWidth="10" defaultColWidth="8.625" defaultRowHeight="15" x14ac:dyDescent="0.25"/>
  <cols>
    <col min="1" max="1" width="8.875" style="341" customWidth="1"/>
    <col min="2" max="2" width="20.375" style="15" bestFit="1" customWidth="1"/>
    <col min="3" max="3" width="15.375" style="335" bestFit="1" customWidth="1"/>
    <col min="4" max="4" width="14" style="15" bestFit="1" customWidth="1"/>
    <col min="5" max="5" width="12.125" style="15" bestFit="1" customWidth="1"/>
    <col min="6" max="6" width="11.25" style="15" bestFit="1" customWidth="1"/>
    <col min="7" max="7" width="18.375" style="370" bestFit="1" customWidth="1"/>
    <col min="8" max="8" width="13.375" style="370" bestFit="1" customWidth="1"/>
    <col min="9" max="9" width="13.875" style="15" customWidth="1"/>
    <col min="10" max="10" width="13" style="15" bestFit="1" customWidth="1"/>
    <col min="11" max="11" width="13.375" style="15" bestFit="1" customWidth="1"/>
    <col min="12" max="12" width="14.25" style="15" bestFit="1" customWidth="1"/>
    <col min="13" max="13" width="15.375" style="15" bestFit="1" customWidth="1"/>
    <col min="14" max="14" width="13" style="15" bestFit="1" customWidth="1"/>
    <col min="15" max="15" width="14" style="15" bestFit="1" customWidth="1"/>
    <col min="16" max="16" width="13" style="15" bestFit="1" customWidth="1"/>
    <col min="17" max="17" width="15.875" style="15" bestFit="1" customWidth="1"/>
    <col min="18" max="18" width="13" style="15" bestFit="1" customWidth="1"/>
    <col min="19" max="23" width="12.125" style="401" customWidth="1"/>
    <col min="24" max="24" width="13" style="370" bestFit="1" customWidth="1"/>
    <col min="25" max="25" width="15.375" style="15" bestFit="1" customWidth="1"/>
    <col min="26" max="38" width="12" style="446" customWidth="1"/>
    <col min="39" max="39" width="13" style="446" bestFit="1" customWidth="1"/>
    <col min="40" max="40" width="12" style="15" customWidth="1"/>
    <col min="41" max="41" width="10.875" style="6" bestFit="1" customWidth="1"/>
    <col min="42" max="42" width="12.125" style="15" bestFit="1" customWidth="1"/>
    <col min="43" max="43" width="11.25" style="15" bestFit="1" customWidth="1"/>
    <col min="44" max="44" width="11.875" style="15" bestFit="1" customWidth="1"/>
    <col min="45" max="45" width="7" style="15" bestFit="1" customWidth="1"/>
    <col min="46" max="46" width="9.375" style="455" bestFit="1" customWidth="1"/>
    <col min="47" max="51" width="7" style="455" customWidth="1"/>
    <col min="52" max="53" width="13" style="455" bestFit="1" customWidth="1"/>
    <col min="54" max="54" width="12.125" style="455" bestFit="1" customWidth="1"/>
    <col min="55" max="55" width="13" style="455" bestFit="1" customWidth="1"/>
    <col min="56" max="57" width="12.125" style="455" bestFit="1" customWidth="1"/>
    <col min="58" max="58" width="8.625" style="455"/>
    <col min="59" max="59" width="9.25" style="455" bestFit="1" customWidth="1"/>
    <col min="60" max="60" width="13" style="455" bestFit="1" customWidth="1"/>
    <col min="61" max="61" width="12.125" style="455" bestFit="1" customWidth="1"/>
    <col min="62" max="62" width="10.625" style="455" bestFit="1" customWidth="1"/>
    <col min="63" max="63" width="4.625" style="455" bestFit="1" customWidth="1"/>
    <col min="64" max="64" width="9.75" style="455" bestFit="1" customWidth="1"/>
    <col min="65" max="65" width="12.125" style="455" bestFit="1" customWidth="1"/>
    <col min="66" max="66" width="9.75" style="455" bestFit="1" customWidth="1"/>
    <col min="67" max="67" width="9.75" style="6" customWidth="1"/>
    <col min="68" max="112" width="8.625" style="455"/>
    <col min="113" max="16384" width="8.625" style="15"/>
  </cols>
  <sheetData>
    <row r="1" spans="1:67" ht="21" x14ac:dyDescent="0.35">
      <c r="A1" s="336" t="s">
        <v>448</v>
      </c>
      <c r="B1" s="325"/>
      <c r="C1" s="326"/>
      <c r="D1" s="325"/>
      <c r="E1" s="325"/>
      <c r="F1" s="325"/>
      <c r="G1" s="325"/>
      <c r="H1" s="325"/>
      <c r="I1" s="325"/>
      <c r="J1" s="325"/>
      <c r="X1" s="325"/>
      <c r="Z1" s="449"/>
      <c r="AA1" s="449"/>
      <c r="AB1" s="449"/>
      <c r="AC1" s="449"/>
      <c r="AD1" s="449"/>
      <c r="AE1" s="449"/>
      <c r="AF1" s="449"/>
      <c r="AG1" s="449"/>
      <c r="AH1" s="449"/>
      <c r="AI1" s="449"/>
      <c r="AJ1" s="449"/>
      <c r="AK1" s="449"/>
      <c r="AL1" s="449"/>
      <c r="AM1" s="449"/>
      <c r="AN1" s="342"/>
    </row>
    <row r="2" spans="1:67" ht="21" x14ac:dyDescent="0.35">
      <c r="A2" s="336">
        <f>Paramètres!B5</f>
        <v>2020</v>
      </c>
      <c r="C2" s="327"/>
      <c r="D2" s="327"/>
      <c r="E2" s="327"/>
      <c r="F2" s="327"/>
      <c r="G2" s="327"/>
      <c r="H2" s="327"/>
      <c r="I2" s="327"/>
      <c r="J2" s="327"/>
      <c r="K2" s="327"/>
      <c r="L2" s="327"/>
      <c r="M2" s="327"/>
      <c r="N2" s="327"/>
      <c r="O2" s="327"/>
      <c r="P2" s="327"/>
      <c r="Q2" s="327"/>
      <c r="R2" s="327"/>
      <c r="S2" s="327"/>
      <c r="T2" s="327"/>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c r="AT2" s="327"/>
      <c r="AU2" s="327"/>
      <c r="AV2" s="327"/>
      <c r="AW2" s="327"/>
      <c r="AX2" s="327"/>
      <c r="AY2" s="327"/>
      <c r="AZ2" s="327"/>
      <c r="BA2" s="327"/>
    </row>
    <row r="3" spans="1:67" x14ac:dyDescent="0.25">
      <c r="A3" s="337"/>
      <c r="B3" s="325"/>
      <c r="C3" s="326"/>
      <c r="D3" s="325"/>
      <c r="E3" s="325"/>
      <c r="F3" s="325"/>
      <c r="G3" s="325"/>
      <c r="H3" s="325"/>
      <c r="I3" s="325"/>
      <c r="J3" s="325"/>
      <c r="L3" s="328"/>
      <c r="X3" s="325"/>
      <c r="Z3" s="449"/>
      <c r="AA3" s="449"/>
      <c r="AB3" s="449"/>
      <c r="AC3" s="449"/>
      <c r="AD3" s="449"/>
      <c r="AE3" s="449"/>
      <c r="AF3" s="449"/>
      <c r="AG3" s="449"/>
      <c r="AH3" s="449"/>
      <c r="AI3" s="449"/>
      <c r="AJ3" s="449"/>
      <c r="AK3" s="449"/>
      <c r="AL3" s="449"/>
      <c r="AM3" s="449"/>
      <c r="AN3" s="342"/>
    </row>
    <row r="4" spans="1:67" s="329" customFormat="1" ht="38.1" customHeight="1" x14ac:dyDescent="0.2">
      <c r="A4" s="540" t="s">
        <v>46</v>
      </c>
      <c r="B4" s="543" t="s">
        <v>614</v>
      </c>
      <c r="C4" s="538" t="s">
        <v>411</v>
      </c>
      <c r="D4" s="546" t="s">
        <v>412</v>
      </c>
      <c r="E4" s="531" t="s">
        <v>257</v>
      </c>
      <c r="F4" s="531" t="s">
        <v>258</v>
      </c>
      <c r="G4" s="531" t="s">
        <v>550</v>
      </c>
      <c r="H4" s="531" t="s">
        <v>585</v>
      </c>
      <c r="I4" s="531" t="s">
        <v>413</v>
      </c>
      <c r="J4" s="531" t="s">
        <v>381</v>
      </c>
      <c r="K4" s="531" t="s">
        <v>382</v>
      </c>
      <c r="L4" s="531" t="s">
        <v>383</v>
      </c>
      <c r="M4" s="531" t="s">
        <v>193</v>
      </c>
      <c r="N4" s="531" t="s">
        <v>194</v>
      </c>
      <c r="O4" s="531" t="s">
        <v>195</v>
      </c>
      <c r="P4" s="531" t="s">
        <v>196</v>
      </c>
      <c r="Q4" s="531" t="s">
        <v>414</v>
      </c>
      <c r="R4" s="531" t="s">
        <v>197</v>
      </c>
      <c r="S4" s="531" t="s">
        <v>551</v>
      </c>
      <c r="T4" s="531" t="s">
        <v>552</v>
      </c>
      <c r="U4" s="531" t="s">
        <v>553</v>
      </c>
      <c r="V4" s="535" t="s">
        <v>554</v>
      </c>
      <c r="W4" s="531" t="s">
        <v>555</v>
      </c>
      <c r="X4" s="533" t="s">
        <v>549</v>
      </c>
      <c r="Y4" s="531" t="s">
        <v>138</v>
      </c>
      <c r="Z4" s="550" t="s">
        <v>560</v>
      </c>
      <c r="AA4" s="552" t="s">
        <v>561</v>
      </c>
      <c r="AB4" s="552" t="s">
        <v>562</v>
      </c>
      <c r="AC4" s="552" t="s">
        <v>563</v>
      </c>
      <c r="AD4" s="552" t="s">
        <v>564</v>
      </c>
      <c r="AE4" s="552" t="s">
        <v>565</v>
      </c>
      <c r="AF4" s="552" t="s">
        <v>566</v>
      </c>
      <c r="AG4" s="552" t="s">
        <v>567</v>
      </c>
      <c r="AH4" s="552" t="s">
        <v>568</v>
      </c>
      <c r="AI4" s="552" t="s">
        <v>569</v>
      </c>
      <c r="AJ4" s="552" t="s">
        <v>570</v>
      </c>
      <c r="AK4" s="552" t="s">
        <v>571</v>
      </c>
      <c r="AL4" s="552" t="s">
        <v>572</v>
      </c>
      <c r="AM4" s="531" t="s">
        <v>573</v>
      </c>
      <c r="AN4" s="538" t="s">
        <v>78</v>
      </c>
      <c r="AO4" s="548" t="s">
        <v>447</v>
      </c>
      <c r="AP4" s="531" t="s">
        <v>245</v>
      </c>
      <c r="AQ4" s="531" t="s">
        <v>246</v>
      </c>
      <c r="AR4" s="531" t="s">
        <v>247</v>
      </c>
      <c r="AS4" s="531" t="s">
        <v>495</v>
      </c>
      <c r="AT4" s="521"/>
      <c r="AU4" s="521"/>
      <c r="AV4" s="521"/>
      <c r="AW4" s="521"/>
      <c r="AX4" s="521"/>
      <c r="AY4" s="521"/>
      <c r="BO4" s="476"/>
    </row>
    <row r="5" spans="1:67" s="329" customFormat="1" ht="44.25" customHeight="1" x14ac:dyDescent="0.2">
      <c r="A5" s="541"/>
      <c r="B5" s="544"/>
      <c r="C5" s="539"/>
      <c r="D5" s="547"/>
      <c r="E5" s="532"/>
      <c r="F5" s="532"/>
      <c r="G5" s="532"/>
      <c r="H5" s="532"/>
      <c r="I5" s="532"/>
      <c r="J5" s="532"/>
      <c r="K5" s="532"/>
      <c r="L5" s="532"/>
      <c r="M5" s="532"/>
      <c r="N5" s="532"/>
      <c r="O5" s="532"/>
      <c r="P5" s="532"/>
      <c r="Q5" s="537"/>
      <c r="R5" s="532"/>
      <c r="S5" s="537"/>
      <c r="T5" s="532"/>
      <c r="U5" s="532"/>
      <c r="V5" s="536"/>
      <c r="W5" s="532"/>
      <c r="X5" s="534"/>
      <c r="Y5" s="532"/>
      <c r="Z5" s="551"/>
      <c r="AA5" s="553"/>
      <c r="AB5" s="553"/>
      <c r="AC5" s="553"/>
      <c r="AD5" s="553"/>
      <c r="AE5" s="553"/>
      <c r="AF5" s="553"/>
      <c r="AG5" s="553"/>
      <c r="AH5" s="553"/>
      <c r="AI5" s="554"/>
      <c r="AJ5" s="554"/>
      <c r="AK5" s="554"/>
      <c r="AL5" s="554"/>
      <c r="AM5" s="532"/>
      <c r="AN5" s="539"/>
      <c r="AO5" s="549"/>
      <c r="AP5" s="537"/>
      <c r="AQ5" s="537"/>
      <c r="AR5" s="537"/>
      <c r="AS5" s="537"/>
      <c r="AT5" s="521"/>
      <c r="AU5" s="521"/>
      <c r="AV5" s="521"/>
      <c r="AW5" s="521"/>
      <c r="AX5" s="521"/>
      <c r="AY5" s="521"/>
      <c r="BF5" s="477"/>
      <c r="BH5" s="477"/>
      <c r="BO5" s="476"/>
    </row>
    <row r="6" spans="1:67" s="325" customFormat="1" x14ac:dyDescent="0.25">
      <c r="A6" s="542"/>
      <c r="B6" s="545"/>
      <c r="C6" s="343" t="s">
        <v>415</v>
      </c>
      <c r="D6" s="344" t="s">
        <v>416</v>
      </c>
      <c r="E6" s="330" t="s">
        <v>79</v>
      </c>
      <c r="F6" s="330" t="s">
        <v>80</v>
      </c>
      <c r="G6" s="330" t="s">
        <v>417</v>
      </c>
      <c r="H6" s="330" t="s">
        <v>418</v>
      </c>
      <c r="I6" s="330" t="s">
        <v>82</v>
      </c>
      <c r="J6" s="330" t="s">
        <v>83</v>
      </c>
      <c r="K6" s="330" t="s">
        <v>84</v>
      </c>
      <c r="L6" s="330" t="s">
        <v>85</v>
      </c>
      <c r="M6" s="330" t="s">
        <v>86</v>
      </c>
      <c r="N6" s="330" t="s">
        <v>87</v>
      </c>
      <c r="O6" s="330" t="s">
        <v>88</v>
      </c>
      <c r="P6" s="330" t="s">
        <v>89</v>
      </c>
      <c r="Q6" s="532"/>
      <c r="R6" s="330" t="s">
        <v>90</v>
      </c>
      <c r="S6" s="532"/>
      <c r="T6" s="448" t="s">
        <v>556</v>
      </c>
      <c r="U6" s="450" t="s">
        <v>557</v>
      </c>
      <c r="V6" s="448" t="s">
        <v>558</v>
      </c>
      <c r="W6" s="448" t="s">
        <v>559</v>
      </c>
      <c r="X6" s="384"/>
      <c r="Y6" s="330" t="s">
        <v>91</v>
      </c>
      <c r="Z6" s="463" t="s">
        <v>574</v>
      </c>
      <c r="AA6" s="463" t="s">
        <v>575</v>
      </c>
      <c r="AB6" s="463" t="s">
        <v>576</v>
      </c>
      <c r="AC6" s="463" t="s">
        <v>577</v>
      </c>
      <c r="AD6" s="463" t="s">
        <v>578</v>
      </c>
      <c r="AE6" s="463" t="s">
        <v>579</v>
      </c>
      <c r="AF6" s="463" t="s">
        <v>580</v>
      </c>
      <c r="AG6" s="463" t="s">
        <v>581</v>
      </c>
      <c r="AH6" s="463" t="s">
        <v>582</v>
      </c>
      <c r="AI6" s="553"/>
      <c r="AJ6" s="553"/>
      <c r="AK6" s="553"/>
      <c r="AL6" s="553"/>
      <c r="AM6" s="464" t="s">
        <v>583</v>
      </c>
      <c r="AN6" s="349">
        <f>+Paramètres!B8</f>
        <v>2020</v>
      </c>
      <c r="AO6" s="345">
        <f>+Paramètres!B7</f>
        <v>42734</v>
      </c>
      <c r="AP6" s="532"/>
      <c r="AQ6" s="532"/>
      <c r="AR6" s="537"/>
      <c r="AS6" s="537"/>
      <c r="AT6" s="521"/>
      <c r="AU6" s="521"/>
      <c r="AV6" s="521"/>
      <c r="AW6" s="521"/>
      <c r="AX6" s="521"/>
      <c r="AY6" s="521"/>
      <c r="BO6" s="5"/>
    </row>
    <row r="7" spans="1:67" x14ac:dyDescent="0.25">
      <c r="A7" s="338">
        <v>5401</v>
      </c>
      <c r="B7" s="485" t="s">
        <v>260</v>
      </c>
      <c r="C7" s="388">
        <v>12062183.039999999</v>
      </c>
      <c r="D7" s="388">
        <v>1793352.62</v>
      </c>
      <c r="E7" s="388"/>
      <c r="F7" s="388">
        <v>0</v>
      </c>
      <c r="G7" s="390">
        <v>2214823.5499999998</v>
      </c>
      <c r="H7" s="390">
        <v>100959.25</v>
      </c>
      <c r="I7" s="390">
        <v>11522.44</v>
      </c>
      <c r="J7" s="390">
        <v>604742.80000000005</v>
      </c>
      <c r="K7" s="390">
        <v>183083.15</v>
      </c>
      <c r="L7" s="390">
        <v>2146829.7000000002</v>
      </c>
      <c r="M7" s="331">
        <f t="shared" ref="M7:M70" si="0">SUM(C7:L7)</f>
        <v>19117496.549999997</v>
      </c>
      <c r="N7" s="392">
        <v>1288148.8</v>
      </c>
      <c r="O7" s="393">
        <v>239381</v>
      </c>
      <c r="P7" s="393">
        <v>765608.15</v>
      </c>
      <c r="Q7" s="394">
        <v>100742.68</v>
      </c>
      <c r="R7" s="394">
        <v>415357.65</v>
      </c>
      <c r="S7" s="394"/>
      <c r="T7" s="394">
        <v>58018.95</v>
      </c>
      <c r="U7" s="394">
        <v>56150</v>
      </c>
      <c r="V7" s="394">
        <v>2.1</v>
      </c>
      <c r="W7" s="394"/>
      <c r="X7" s="379">
        <v>277770.93</v>
      </c>
      <c r="Y7" s="332">
        <f>SUM(M7:X7)</f>
        <v>22318676.809999995</v>
      </c>
      <c r="Z7" s="396">
        <v>859552.6</v>
      </c>
      <c r="AA7" s="396"/>
      <c r="AB7" s="396">
        <v>801829.3</v>
      </c>
      <c r="AC7" s="396"/>
      <c r="AD7" s="396">
        <v>1396874.1</v>
      </c>
      <c r="AE7" s="396">
        <v>884199.85</v>
      </c>
      <c r="AF7" s="396"/>
      <c r="AG7" s="396">
        <v>200</v>
      </c>
      <c r="AH7" s="396">
        <v>28069.599999999999</v>
      </c>
      <c r="AI7" s="396">
        <v>331780.2</v>
      </c>
      <c r="AJ7" s="396"/>
      <c r="AK7" s="396"/>
      <c r="AL7" s="453">
        <v>284097.3</v>
      </c>
      <c r="AM7" s="460">
        <f>SUM(Z7:AL7)</f>
        <v>4586602.95</v>
      </c>
      <c r="AN7" s="396">
        <v>66</v>
      </c>
      <c r="AO7" s="399">
        <v>10518</v>
      </c>
      <c r="AP7" s="401">
        <v>-326033.98</v>
      </c>
      <c r="AQ7" s="466"/>
      <c r="AR7" s="466">
        <v>-20400.3</v>
      </c>
      <c r="AS7" s="469">
        <v>1.2</v>
      </c>
      <c r="AT7" s="516"/>
      <c r="AU7" s="516"/>
      <c r="AV7" s="516"/>
      <c r="AW7" s="516"/>
      <c r="AX7" s="516"/>
      <c r="AY7" s="516"/>
      <c r="AZ7" s="522"/>
      <c r="BA7" s="522"/>
      <c r="BB7" s="522"/>
      <c r="BC7" s="522"/>
      <c r="BD7" s="522"/>
      <c r="BE7" s="522"/>
      <c r="BF7" s="522"/>
      <c r="BG7" s="522"/>
    </row>
    <row r="8" spans="1:67" x14ac:dyDescent="0.25">
      <c r="A8" s="338">
        <v>5402</v>
      </c>
      <c r="B8" s="485" t="s">
        <v>261</v>
      </c>
      <c r="C8" s="390">
        <v>8696027.5899999999</v>
      </c>
      <c r="D8" s="390">
        <v>1343621.1</v>
      </c>
      <c r="E8" s="388"/>
      <c r="F8" s="390">
        <v>0</v>
      </c>
      <c r="G8" s="390">
        <v>957640.85</v>
      </c>
      <c r="H8" s="390">
        <v>72223.8</v>
      </c>
      <c r="I8" s="390">
        <v>-55670.9</v>
      </c>
      <c r="J8" s="390">
        <v>311153.5</v>
      </c>
      <c r="K8" s="390">
        <v>124770.15</v>
      </c>
      <c r="L8" s="390">
        <v>1641770.75</v>
      </c>
      <c r="M8" s="331">
        <f t="shared" si="0"/>
        <v>13091536.84</v>
      </c>
      <c r="N8" s="394">
        <v>273206.65000000002</v>
      </c>
      <c r="O8" s="394">
        <v>119032.9</v>
      </c>
      <c r="P8" s="394">
        <v>624842.19999999995</v>
      </c>
      <c r="Q8" s="394">
        <v>51767</v>
      </c>
      <c r="R8" s="394">
        <v>329056.45</v>
      </c>
      <c r="S8" s="394">
        <v>3087.3</v>
      </c>
      <c r="T8" s="394">
        <v>27208</v>
      </c>
      <c r="U8" s="394">
        <v>59250</v>
      </c>
      <c r="V8" s="394"/>
      <c r="W8" s="394">
        <v>800</v>
      </c>
      <c r="X8" s="379">
        <v>123529.06</v>
      </c>
      <c r="Y8" s="460">
        <f t="shared" ref="Y8:Y71" si="1">SUM(M8:X8)</f>
        <v>14703316.4</v>
      </c>
      <c r="Z8" s="395">
        <v>85380.5</v>
      </c>
      <c r="AA8" s="395">
        <v>362795.4</v>
      </c>
      <c r="AB8" s="395">
        <v>2091780</v>
      </c>
      <c r="AC8" s="395"/>
      <c r="AD8" s="395">
        <v>1101236.8400000001</v>
      </c>
      <c r="AE8" s="395">
        <v>367404.7</v>
      </c>
      <c r="AF8" s="395"/>
      <c r="AG8" s="395"/>
      <c r="AH8" s="395">
        <v>85442.9</v>
      </c>
      <c r="AI8" s="395">
        <v>223745.4</v>
      </c>
      <c r="AJ8" s="395"/>
      <c r="AK8" s="395"/>
      <c r="AL8" s="452"/>
      <c r="AM8" s="460">
        <f t="shared" ref="AM8:AM71" si="2">SUM(Z8:AL8)</f>
        <v>4317785.74</v>
      </c>
      <c r="AN8" s="395">
        <v>71</v>
      </c>
      <c r="AO8" s="398">
        <v>7828</v>
      </c>
      <c r="AP8" s="455">
        <v>-208361.81</v>
      </c>
      <c r="AQ8" s="465"/>
      <c r="AR8" s="465">
        <v>-2713.5</v>
      </c>
      <c r="AS8" s="470">
        <v>1.25</v>
      </c>
      <c r="AT8" s="516"/>
      <c r="AU8" s="516"/>
      <c r="AV8" s="516"/>
      <c r="AW8" s="516"/>
      <c r="AX8" s="516"/>
      <c r="AY8" s="516"/>
      <c r="AZ8" s="522"/>
      <c r="BA8" s="522"/>
      <c r="BB8" s="522"/>
      <c r="BC8" s="522"/>
      <c r="BD8" s="522"/>
      <c r="BE8" s="522"/>
      <c r="BF8" s="522"/>
      <c r="BG8" s="522"/>
    </row>
    <row r="9" spans="1:67" x14ac:dyDescent="0.25">
      <c r="A9" s="338">
        <v>5403</v>
      </c>
      <c r="B9" s="485" t="s">
        <v>112</v>
      </c>
      <c r="C9" s="390">
        <v>662617.01</v>
      </c>
      <c r="D9" s="390">
        <v>59421.75</v>
      </c>
      <c r="E9" s="388"/>
      <c r="F9" s="390">
        <v>0</v>
      </c>
      <c r="G9" s="390">
        <v>4169.3999999999996</v>
      </c>
      <c r="H9" s="390">
        <v>891.7</v>
      </c>
      <c r="I9" s="390">
        <v>0</v>
      </c>
      <c r="J9" s="390">
        <v>21554.639999999999</v>
      </c>
      <c r="K9" s="390">
        <v>8424.7999999999993</v>
      </c>
      <c r="L9" s="390">
        <v>81372</v>
      </c>
      <c r="M9" s="331">
        <f t="shared" si="0"/>
        <v>838451.3</v>
      </c>
      <c r="N9" s="394">
        <v>8460.15</v>
      </c>
      <c r="O9" s="394">
        <v>0</v>
      </c>
      <c r="P9" s="394">
        <v>82687.350000000006</v>
      </c>
      <c r="Q9" s="394">
        <v>0</v>
      </c>
      <c r="R9" s="394">
        <v>29709.7</v>
      </c>
      <c r="S9" s="394"/>
      <c r="T9" s="394"/>
      <c r="U9" s="394">
        <v>6550</v>
      </c>
      <c r="V9" s="394"/>
      <c r="W9" s="394"/>
      <c r="X9" s="379">
        <v>607.05999999999995</v>
      </c>
      <c r="Y9" s="460">
        <f t="shared" si="1"/>
        <v>966465.56</v>
      </c>
      <c r="Z9" s="395"/>
      <c r="AA9" s="395"/>
      <c r="AB9" s="395">
        <v>86351.8</v>
      </c>
      <c r="AC9" s="395"/>
      <c r="AD9" s="395">
        <v>36775</v>
      </c>
      <c r="AE9" s="395"/>
      <c r="AF9" s="395"/>
      <c r="AG9" s="395"/>
      <c r="AH9" s="395">
        <v>37173</v>
      </c>
      <c r="AI9" s="395"/>
      <c r="AJ9" s="395"/>
      <c r="AK9" s="395"/>
      <c r="AL9" s="452"/>
      <c r="AM9" s="460">
        <f t="shared" si="2"/>
        <v>160299.79999999999</v>
      </c>
      <c r="AN9" s="395">
        <v>74</v>
      </c>
      <c r="AO9" s="398">
        <v>444</v>
      </c>
      <c r="AP9" s="455">
        <v>-40025.58</v>
      </c>
      <c r="AQ9" s="465"/>
      <c r="AR9" s="465">
        <v>0</v>
      </c>
      <c r="AS9" s="470">
        <v>1</v>
      </c>
      <c r="AT9" s="516"/>
      <c r="AU9" s="516"/>
      <c r="AV9" s="516"/>
      <c r="AW9" s="516"/>
      <c r="AX9" s="516"/>
      <c r="AY9" s="516"/>
      <c r="AZ9" s="522"/>
      <c r="BA9" s="522"/>
      <c r="BB9" s="522"/>
      <c r="BC9" s="522"/>
      <c r="BD9" s="522"/>
      <c r="BE9" s="522"/>
      <c r="BF9" s="522"/>
      <c r="BG9" s="522"/>
    </row>
    <row r="10" spans="1:67" x14ac:dyDescent="0.25">
      <c r="A10" s="338">
        <v>5404</v>
      </c>
      <c r="B10" s="485" t="s">
        <v>113</v>
      </c>
      <c r="C10" s="390">
        <v>618428.80000000005</v>
      </c>
      <c r="D10" s="390">
        <v>119447.41</v>
      </c>
      <c r="E10" s="388"/>
      <c r="F10" s="390">
        <v>0</v>
      </c>
      <c r="G10" s="390">
        <v>-1133.05</v>
      </c>
      <c r="H10" s="390">
        <v>5955.8</v>
      </c>
      <c r="I10" s="390">
        <v>0</v>
      </c>
      <c r="J10" s="390">
        <v>1197.28</v>
      </c>
      <c r="K10" s="390">
        <v>5412.05</v>
      </c>
      <c r="L10" s="390">
        <v>129117</v>
      </c>
      <c r="M10" s="331">
        <f t="shared" si="0"/>
        <v>878425.29000000015</v>
      </c>
      <c r="N10" s="394">
        <v>16587</v>
      </c>
      <c r="O10" s="394">
        <v>34998.699999999997</v>
      </c>
      <c r="P10" s="394">
        <v>33854.400000000001</v>
      </c>
      <c r="Q10" s="394">
        <v>0</v>
      </c>
      <c r="R10" s="394">
        <v>42010.2</v>
      </c>
      <c r="S10" s="394"/>
      <c r="T10" s="394"/>
      <c r="U10" s="394">
        <v>6400</v>
      </c>
      <c r="V10" s="394"/>
      <c r="W10" s="394"/>
      <c r="X10" s="379">
        <v>578.47</v>
      </c>
      <c r="Y10" s="460">
        <f t="shared" si="1"/>
        <v>1012854.06</v>
      </c>
      <c r="Z10" s="395">
        <v>11812.5</v>
      </c>
      <c r="AA10" s="395">
        <v>6702.2</v>
      </c>
      <c r="AB10" s="395">
        <v>129514</v>
      </c>
      <c r="AC10" s="395"/>
      <c r="AD10" s="395">
        <v>37291.800000000003</v>
      </c>
      <c r="AE10" s="395">
        <v>7875</v>
      </c>
      <c r="AF10" s="395">
        <v>3041.55</v>
      </c>
      <c r="AG10" s="395"/>
      <c r="AH10" s="395">
        <v>5356.15</v>
      </c>
      <c r="AI10" s="395">
        <v>11284.5</v>
      </c>
      <c r="AJ10" s="395"/>
      <c r="AK10" s="395"/>
      <c r="AL10" s="452"/>
      <c r="AM10" s="460">
        <f t="shared" si="2"/>
        <v>212877.69999999998</v>
      </c>
      <c r="AN10" s="395">
        <v>74</v>
      </c>
      <c r="AO10" s="398">
        <v>445</v>
      </c>
      <c r="AP10" s="455">
        <v>-1959.06</v>
      </c>
      <c r="AQ10" s="465"/>
      <c r="AR10" s="465">
        <v>-183.3</v>
      </c>
      <c r="AS10" s="470">
        <v>1.5</v>
      </c>
      <c r="AT10" s="516"/>
      <c r="AU10" s="516"/>
      <c r="AV10" s="516"/>
      <c r="AW10" s="516"/>
      <c r="AX10" s="516"/>
      <c r="AY10" s="516"/>
      <c r="AZ10" s="522"/>
      <c r="BA10" s="522"/>
      <c r="BB10" s="522"/>
      <c r="BC10" s="522"/>
      <c r="BD10" s="522"/>
      <c r="BE10" s="522"/>
      <c r="BF10" s="522"/>
      <c r="BG10" s="522"/>
    </row>
    <row r="11" spans="1:67" x14ac:dyDescent="0.25">
      <c r="A11" s="338">
        <v>5405</v>
      </c>
      <c r="B11" s="485" t="s">
        <v>114</v>
      </c>
      <c r="C11" s="390">
        <v>2836111.66</v>
      </c>
      <c r="D11" s="390">
        <v>1169780.57</v>
      </c>
      <c r="E11" s="388"/>
      <c r="F11" s="390">
        <v>0</v>
      </c>
      <c r="G11" s="390">
        <v>29285.05</v>
      </c>
      <c r="H11" s="390">
        <v>3343.65</v>
      </c>
      <c r="I11" s="390">
        <v>319555.25</v>
      </c>
      <c r="J11" s="390">
        <v>138909.26999999999</v>
      </c>
      <c r="K11" s="390">
        <v>13374.65</v>
      </c>
      <c r="L11" s="390">
        <v>785757.75</v>
      </c>
      <c r="M11" s="331">
        <f t="shared" si="0"/>
        <v>5296117.8499999996</v>
      </c>
      <c r="N11" s="394">
        <v>463.15</v>
      </c>
      <c r="O11" s="394">
        <v>150845</v>
      </c>
      <c r="P11" s="394">
        <v>408678.5</v>
      </c>
      <c r="Q11" s="394">
        <v>3626.44</v>
      </c>
      <c r="R11" s="394">
        <v>285741.75</v>
      </c>
      <c r="S11" s="394">
        <v>450</v>
      </c>
      <c r="T11" s="394">
        <v>6564.6</v>
      </c>
      <c r="U11" s="394">
        <v>10400</v>
      </c>
      <c r="V11" s="394"/>
      <c r="W11" s="394"/>
      <c r="X11" s="379">
        <v>3913.71</v>
      </c>
      <c r="Y11" s="460">
        <f t="shared" si="1"/>
        <v>6166801</v>
      </c>
      <c r="Z11" s="395">
        <v>22784.05</v>
      </c>
      <c r="AA11" s="395"/>
      <c r="AB11" s="395">
        <v>182784.85</v>
      </c>
      <c r="AC11" s="395"/>
      <c r="AD11" s="395">
        <v>424103.83</v>
      </c>
      <c r="AE11" s="395">
        <v>57173.3</v>
      </c>
      <c r="AF11" s="395"/>
      <c r="AG11" s="395"/>
      <c r="AH11" s="395"/>
      <c r="AI11" s="395"/>
      <c r="AJ11" s="395"/>
      <c r="AK11" s="395"/>
      <c r="AL11" s="452"/>
      <c r="AM11" s="460">
        <f t="shared" si="2"/>
        <v>686846.03</v>
      </c>
      <c r="AN11" s="395">
        <v>73.5</v>
      </c>
      <c r="AO11" s="398">
        <v>1378</v>
      </c>
      <c r="AP11" s="455">
        <v>-28222.07</v>
      </c>
      <c r="AQ11" s="465"/>
      <c r="AR11" s="465">
        <v>-1860.82</v>
      </c>
      <c r="AS11" s="470">
        <v>1.5</v>
      </c>
      <c r="AT11" s="516"/>
      <c r="AU11" s="516"/>
      <c r="AV11" s="516"/>
      <c r="AW11" s="516"/>
      <c r="AX11" s="516"/>
      <c r="AY11" s="516"/>
      <c r="AZ11" s="522"/>
      <c r="BA11" s="522"/>
      <c r="BB11" s="522"/>
      <c r="BC11" s="522"/>
      <c r="BD11" s="522"/>
      <c r="BE11" s="522"/>
      <c r="BF11" s="522"/>
      <c r="BG11" s="522"/>
    </row>
    <row r="12" spans="1:67" x14ac:dyDescent="0.25">
      <c r="A12" s="338">
        <v>5406</v>
      </c>
      <c r="B12" s="485" t="s">
        <v>115</v>
      </c>
      <c r="C12" s="390">
        <v>1151461.03</v>
      </c>
      <c r="D12" s="390">
        <v>151707.82</v>
      </c>
      <c r="E12" s="388"/>
      <c r="F12" s="390">
        <v>0</v>
      </c>
      <c r="G12" s="390">
        <v>55191.3</v>
      </c>
      <c r="H12" s="390">
        <v>2938.2</v>
      </c>
      <c r="I12" s="390">
        <v>0</v>
      </c>
      <c r="J12" s="390">
        <v>48632.09</v>
      </c>
      <c r="K12" s="390">
        <v>9389.5499999999993</v>
      </c>
      <c r="L12" s="390">
        <v>195970.05</v>
      </c>
      <c r="M12" s="331">
        <f t="shared" si="0"/>
        <v>1615290.0400000003</v>
      </c>
      <c r="N12" s="394">
        <v>1891.95</v>
      </c>
      <c r="O12" s="394">
        <v>73255.8</v>
      </c>
      <c r="P12" s="394">
        <v>75697.350000000006</v>
      </c>
      <c r="Q12" s="394">
        <v>796.54</v>
      </c>
      <c r="R12" s="394">
        <v>60384.6</v>
      </c>
      <c r="S12" s="394"/>
      <c r="T12" s="394"/>
      <c r="U12" s="394">
        <v>7250</v>
      </c>
      <c r="V12" s="394">
        <v>107828</v>
      </c>
      <c r="W12" s="394"/>
      <c r="X12" s="379">
        <v>6972.45</v>
      </c>
      <c r="Y12" s="460">
        <f t="shared" si="1"/>
        <v>1949366.7300000004</v>
      </c>
      <c r="Z12" s="395">
        <v>6518.34</v>
      </c>
      <c r="AA12" s="395">
        <v>29550.04</v>
      </c>
      <c r="AB12" s="395">
        <v>266604.65000000002</v>
      </c>
      <c r="AC12" s="395"/>
      <c r="AD12" s="395">
        <v>98422.3</v>
      </c>
      <c r="AE12" s="395">
        <v>3515.09</v>
      </c>
      <c r="AF12" s="395">
        <v>14545.02</v>
      </c>
      <c r="AG12" s="395"/>
      <c r="AH12" s="395">
        <v>43319.75</v>
      </c>
      <c r="AI12" s="395">
        <v>48911.75</v>
      </c>
      <c r="AJ12" s="395"/>
      <c r="AK12" s="395"/>
      <c r="AL12" s="452"/>
      <c r="AM12" s="460">
        <f t="shared" si="2"/>
        <v>511386.94000000006</v>
      </c>
      <c r="AN12" s="395">
        <v>71.5</v>
      </c>
      <c r="AO12" s="398">
        <v>944</v>
      </c>
      <c r="AP12" s="455">
        <v>-15500.27</v>
      </c>
      <c r="AQ12" s="465"/>
      <c r="AR12" s="465">
        <v>-592.92999999999995</v>
      </c>
      <c r="AS12" s="470">
        <v>1.3</v>
      </c>
      <c r="AT12" s="516"/>
      <c r="AU12" s="516"/>
      <c r="AV12" s="516"/>
      <c r="AW12" s="516"/>
      <c r="AX12" s="516"/>
      <c r="AY12" s="516"/>
      <c r="AZ12" s="522"/>
      <c r="BA12" s="522"/>
      <c r="BB12" s="522"/>
      <c r="BC12" s="522"/>
      <c r="BD12" s="522"/>
      <c r="BE12" s="522"/>
      <c r="BF12" s="522"/>
      <c r="BG12" s="522"/>
    </row>
    <row r="13" spans="1:67" x14ac:dyDescent="0.25">
      <c r="A13" s="338">
        <v>5407</v>
      </c>
      <c r="B13" s="485" t="s">
        <v>116</v>
      </c>
      <c r="C13" s="390">
        <v>4258908.03</v>
      </c>
      <c r="D13" s="390">
        <v>1070265.48</v>
      </c>
      <c r="E13" s="388"/>
      <c r="F13" s="390">
        <v>0</v>
      </c>
      <c r="G13" s="390">
        <v>164373.54999999999</v>
      </c>
      <c r="H13" s="390">
        <v>100255.7</v>
      </c>
      <c r="I13" s="390">
        <v>155949.29999999999</v>
      </c>
      <c r="J13" s="390">
        <v>445408.01</v>
      </c>
      <c r="K13" s="390">
        <v>63329.7</v>
      </c>
      <c r="L13" s="390">
        <v>1249653.8500000001</v>
      </c>
      <c r="M13" s="331">
        <f t="shared" si="0"/>
        <v>7508143.6199999992</v>
      </c>
      <c r="N13" s="394">
        <v>64008.35</v>
      </c>
      <c r="O13" s="394">
        <v>157815.9</v>
      </c>
      <c r="P13" s="394">
        <v>404776.3</v>
      </c>
      <c r="Q13" s="394">
        <v>39319.53</v>
      </c>
      <c r="R13" s="394">
        <v>187357.15</v>
      </c>
      <c r="S13" s="394">
        <v>26101.05</v>
      </c>
      <c r="T13" s="394"/>
      <c r="U13" s="394">
        <v>17800</v>
      </c>
      <c r="V13" s="394">
        <v>3010.9</v>
      </c>
      <c r="W13" s="394">
        <v>600</v>
      </c>
      <c r="X13" s="379">
        <v>31741.45</v>
      </c>
      <c r="Y13" s="460">
        <f t="shared" si="1"/>
        <v>8440674.2499999981</v>
      </c>
      <c r="Z13" s="395">
        <v>13993</v>
      </c>
      <c r="AA13" s="395"/>
      <c r="AB13" s="395">
        <v>629410.94999999995</v>
      </c>
      <c r="AC13" s="395"/>
      <c r="AD13" s="395">
        <v>462270.77</v>
      </c>
      <c r="AE13" s="395">
        <v>37193</v>
      </c>
      <c r="AF13" s="395"/>
      <c r="AG13" s="395"/>
      <c r="AH13" s="395"/>
      <c r="AI13" s="395">
        <v>117525.35</v>
      </c>
      <c r="AJ13" s="395"/>
      <c r="AK13" s="395"/>
      <c r="AL13" s="452"/>
      <c r="AM13" s="460">
        <f t="shared" si="2"/>
        <v>1260393.07</v>
      </c>
      <c r="AN13" s="395">
        <v>78</v>
      </c>
      <c r="AO13" s="398">
        <v>3645</v>
      </c>
      <c r="AP13" s="455">
        <v>-71820.56</v>
      </c>
      <c r="AQ13" s="465"/>
      <c r="AR13" s="465">
        <v>-6701.08</v>
      </c>
      <c r="AS13" s="470">
        <v>1.5</v>
      </c>
      <c r="AT13" s="516"/>
      <c r="AU13" s="516"/>
      <c r="AV13" s="516"/>
      <c r="AW13" s="516"/>
      <c r="AX13" s="516"/>
      <c r="AY13" s="516"/>
      <c r="AZ13" s="522"/>
      <c r="BA13" s="522"/>
      <c r="BB13" s="522"/>
      <c r="BC13" s="522"/>
      <c r="BD13" s="522"/>
      <c r="BE13" s="522"/>
      <c r="BF13" s="522"/>
      <c r="BG13" s="522"/>
    </row>
    <row r="14" spans="1:67" x14ac:dyDescent="0.25">
      <c r="A14" s="338">
        <v>5408</v>
      </c>
      <c r="B14" s="485" t="s">
        <v>117</v>
      </c>
      <c r="C14" s="390">
        <v>2087701.68</v>
      </c>
      <c r="D14" s="390">
        <v>226024.85</v>
      </c>
      <c r="E14" s="388"/>
      <c r="F14" s="390">
        <v>0</v>
      </c>
      <c r="G14" s="390">
        <v>605712</v>
      </c>
      <c r="H14" s="390">
        <v>17628.599999999999</v>
      </c>
      <c r="I14" s="390">
        <v>0</v>
      </c>
      <c r="J14" s="390">
        <v>60551.19</v>
      </c>
      <c r="K14" s="390">
        <v>39431.800000000003</v>
      </c>
      <c r="L14" s="390">
        <v>494795.6</v>
      </c>
      <c r="M14" s="331">
        <f t="shared" si="0"/>
        <v>3531845.7199999997</v>
      </c>
      <c r="N14" s="394">
        <v>204831.45</v>
      </c>
      <c r="O14" s="394">
        <v>0</v>
      </c>
      <c r="P14" s="394">
        <v>123908.95</v>
      </c>
      <c r="Q14" s="394">
        <v>11987.28</v>
      </c>
      <c r="R14" s="394">
        <v>61146.95</v>
      </c>
      <c r="S14" s="394"/>
      <c r="T14" s="394">
        <v>16851.8</v>
      </c>
      <c r="U14" s="394">
        <v>13650</v>
      </c>
      <c r="V14" s="394"/>
      <c r="W14" s="394"/>
      <c r="X14" s="379">
        <v>74767.759999999995</v>
      </c>
      <c r="Y14" s="460">
        <f t="shared" si="1"/>
        <v>4038989.9099999997</v>
      </c>
      <c r="Z14" s="395">
        <v>31221.55</v>
      </c>
      <c r="AA14" s="395"/>
      <c r="AB14" s="395">
        <v>106429.2</v>
      </c>
      <c r="AC14" s="395">
        <v>55011</v>
      </c>
      <c r="AD14" s="395">
        <v>132454.20000000001</v>
      </c>
      <c r="AE14" s="395">
        <v>20760</v>
      </c>
      <c r="AF14" s="395"/>
      <c r="AG14" s="395"/>
      <c r="AH14" s="395">
        <v>60040.5</v>
      </c>
      <c r="AI14" s="395">
        <v>51457.4</v>
      </c>
      <c r="AJ14" s="395"/>
      <c r="AK14" s="395"/>
      <c r="AL14" s="452"/>
      <c r="AM14" s="460">
        <f t="shared" si="2"/>
        <v>457373.85000000003</v>
      </c>
      <c r="AN14" s="395">
        <v>78.5</v>
      </c>
      <c r="AO14" s="398">
        <v>1170</v>
      </c>
      <c r="AP14" s="455">
        <v>-11840.69</v>
      </c>
      <c r="AQ14" s="465"/>
      <c r="AR14" s="465">
        <v>-384.63</v>
      </c>
      <c r="AS14" s="470">
        <v>1.5</v>
      </c>
      <c r="AT14" s="516"/>
      <c r="AU14" s="516"/>
      <c r="AV14" s="516"/>
      <c r="AW14" s="516"/>
      <c r="AX14" s="516"/>
      <c r="AY14" s="516"/>
      <c r="AZ14" s="522"/>
      <c r="BA14" s="522"/>
      <c r="BB14" s="522"/>
      <c r="BC14" s="522"/>
      <c r="BD14" s="522"/>
      <c r="BE14" s="522"/>
      <c r="BF14" s="522"/>
      <c r="BG14" s="522"/>
    </row>
    <row r="15" spans="1:67" x14ac:dyDescent="0.25">
      <c r="A15" s="338">
        <v>5409</v>
      </c>
      <c r="B15" s="485" t="s">
        <v>118</v>
      </c>
      <c r="C15" s="390">
        <v>14300955.029999999</v>
      </c>
      <c r="D15" s="390">
        <v>5091587.37</v>
      </c>
      <c r="E15" s="388"/>
      <c r="F15" s="390">
        <v>0</v>
      </c>
      <c r="G15" s="390">
        <v>450525.2</v>
      </c>
      <c r="H15" s="390">
        <v>173088.2</v>
      </c>
      <c r="I15" s="390">
        <v>2558500.9900000002</v>
      </c>
      <c r="J15" s="390">
        <v>687004.7</v>
      </c>
      <c r="K15" s="390">
        <v>134495.5</v>
      </c>
      <c r="L15" s="390">
        <v>4093364.15</v>
      </c>
      <c r="M15" s="331">
        <f t="shared" si="0"/>
        <v>27489521.139999997</v>
      </c>
      <c r="N15" s="394">
        <v>75640.75</v>
      </c>
      <c r="O15" s="394">
        <v>688910.65</v>
      </c>
      <c r="P15" s="394">
        <v>1596824.45</v>
      </c>
      <c r="Q15" s="394">
        <v>15596.56</v>
      </c>
      <c r="R15" s="394">
        <v>1165765.7</v>
      </c>
      <c r="S15" s="394"/>
      <c r="T15" s="394"/>
      <c r="U15" s="394">
        <v>57300</v>
      </c>
      <c r="V15" s="394"/>
      <c r="W15" s="394"/>
      <c r="X15" s="379">
        <v>74800.479999999996</v>
      </c>
      <c r="Y15" s="460">
        <f t="shared" si="1"/>
        <v>31164359.729999993</v>
      </c>
      <c r="Z15" s="395">
        <v>-14025</v>
      </c>
      <c r="AA15" s="395">
        <v>13114.45</v>
      </c>
      <c r="AB15" s="395">
        <v>2332346.35</v>
      </c>
      <c r="AC15" s="395"/>
      <c r="AD15" s="395">
        <v>1491603.12</v>
      </c>
      <c r="AE15" s="395">
        <v>-31961.05</v>
      </c>
      <c r="AF15" s="395">
        <v>27119.65</v>
      </c>
      <c r="AG15" s="395"/>
      <c r="AH15" s="395">
        <v>2632430.5299999998</v>
      </c>
      <c r="AI15" s="395">
        <v>253999.6</v>
      </c>
      <c r="AJ15" s="395"/>
      <c r="AK15" s="395"/>
      <c r="AL15" s="452">
        <v>72571.3</v>
      </c>
      <c r="AM15" s="460">
        <f t="shared" si="2"/>
        <v>6777198.9500000002</v>
      </c>
      <c r="AN15" s="395">
        <v>68</v>
      </c>
      <c r="AO15" s="398">
        <v>7634</v>
      </c>
      <c r="AP15" s="455">
        <v>-120552.78</v>
      </c>
      <c r="AQ15" s="465"/>
      <c r="AR15" s="465">
        <v>-50041.19</v>
      </c>
      <c r="AS15" s="470">
        <v>1.3</v>
      </c>
      <c r="AT15" s="516"/>
      <c r="AU15" s="516"/>
      <c r="AV15" s="516"/>
      <c r="AW15" s="516"/>
      <c r="AX15" s="516"/>
      <c r="AY15" s="516"/>
      <c r="AZ15" s="522"/>
      <c r="BA15" s="522"/>
      <c r="BB15" s="522"/>
      <c r="BC15" s="522"/>
      <c r="BD15" s="522"/>
      <c r="BE15" s="522"/>
      <c r="BF15" s="522"/>
      <c r="BG15" s="522"/>
    </row>
    <row r="16" spans="1:67" x14ac:dyDescent="0.25">
      <c r="A16" s="338">
        <v>5410</v>
      </c>
      <c r="B16" s="485" t="s">
        <v>130</v>
      </c>
      <c r="C16" s="390">
        <v>1995922.34</v>
      </c>
      <c r="D16" s="390">
        <v>578932.27</v>
      </c>
      <c r="E16" s="388"/>
      <c r="F16" s="390">
        <v>0</v>
      </c>
      <c r="G16" s="390">
        <v>20435.400000000001</v>
      </c>
      <c r="H16" s="390">
        <v>2125.5</v>
      </c>
      <c r="I16" s="390">
        <v>0</v>
      </c>
      <c r="J16" s="390">
        <v>90778.81</v>
      </c>
      <c r="K16" s="390">
        <v>11095.15</v>
      </c>
      <c r="L16" s="390">
        <v>574185.19999999995</v>
      </c>
      <c r="M16" s="331">
        <f t="shared" si="0"/>
        <v>3273474.67</v>
      </c>
      <c r="N16" s="394">
        <v>6858.4</v>
      </c>
      <c r="O16" s="394">
        <v>223995</v>
      </c>
      <c r="P16" s="394">
        <v>117342.75</v>
      </c>
      <c r="Q16" s="394">
        <v>4965.3</v>
      </c>
      <c r="R16" s="394">
        <v>93741.4</v>
      </c>
      <c r="S16" s="394">
        <v>4417.5</v>
      </c>
      <c r="T16" s="394">
        <v>150</v>
      </c>
      <c r="U16" s="394">
        <v>16750</v>
      </c>
      <c r="V16" s="394">
        <v>715</v>
      </c>
      <c r="W16" s="394"/>
      <c r="X16" s="379">
        <v>2706.11</v>
      </c>
      <c r="Y16" s="460">
        <f t="shared" si="1"/>
        <v>3745116.1299999994</v>
      </c>
      <c r="Z16" s="395">
        <v>27408.1</v>
      </c>
      <c r="AA16" s="395"/>
      <c r="AB16" s="395">
        <v>476364.95</v>
      </c>
      <c r="AC16" s="395"/>
      <c r="AD16" s="395">
        <v>284082.32</v>
      </c>
      <c r="AE16" s="395">
        <v>6490.65</v>
      </c>
      <c r="AF16" s="395"/>
      <c r="AG16" s="395"/>
      <c r="AH16" s="395">
        <v>317426.84999999998</v>
      </c>
      <c r="AI16" s="395">
        <v>57653.35</v>
      </c>
      <c r="AJ16" s="395"/>
      <c r="AK16" s="395">
        <v>32944.75</v>
      </c>
      <c r="AL16" s="452"/>
      <c r="AM16" s="460">
        <f t="shared" si="2"/>
        <v>1202370.9700000002</v>
      </c>
      <c r="AN16" s="395">
        <v>77</v>
      </c>
      <c r="AO16" s="398">
        <v>1180</v>
      </c>
      <c r="AP16" s="455">
        <v>-46117.599999999999</v>
      </c>
      <c r="AQ16" s="465"/>
      <c r="AR16" s="465">
        <v>-397.44</v>
      </c>
      <c r="AS16" s="470">
        <v>1.5</v>
      </c>
      <c r="AT16" s="516"/>
      <c r="AU16" s="516"/>
      <c r="AV16" s="516"/>
      <c r="AW16" s="516"/>
      <c r="AX16" s="516"/>
      <c r="AY16" s="516"/>
      <c r="AZ16" s="522"/>
      <c r="BA16" s="522"/>
      <c r="BB16" s="522"/>
      <c r="BC16" s="522"/>
      <c r="BD16" s="522"/>
      <c r="BE16" s="522"/>
      <c r="BF16" s="522"/>
      <c r="BG16" s="522"/>
    </row>
    <row r="17" spans="1:59" x14ac:dyDescent="0.25">
      <c r="A17" s="338">
        <v>5411</v>
      </c>
      <c r="B17" s="485" t="s">
        <v>131</v>
      </c>
      <c r="C17" s="390">
        <v>2762612.3</v>
      </c>
      <c r="D17" s="390">
        <v>1194553.5</v>
      </c>
      <c r="E17" s="388"/>
      <c r="F17" s="390">
        <v>0</v>
      </c>
      <c r="G17" s="390">
        <v>91289.9</v>
      </c>
      <c r="H17" s="390">
        <v>9007.2000000000007</v>
      </c>
      <c r="I17" s="390">
        <v>115498.45</v>
      </c>
      <c r="J17" s="390">
        <v>172898.25</v>
      </c>
      <c r="K17" s="390">
        <v>22562.15</v>
      </c>
      <c r="L17" s="390">
        <v>1217182.95</v>
      </c>
      <c r="M17" s="331">
        <f t="shared" si="0"/>
        <v>5585604.7000000002</v>
      </c>
      <c r="N17" s="394">
        <v>22248.05</v>
      </c>
      <c r="O17" s="394">
        <v>191122.9</v>
      </c>
      <c r="P17" s="394">
        <v>436124.45</v>
      </c>
      <c r="Q17" s="394">
        <v>11983.24</v>
      </c>
      <c r="R17" s="394">
        <v>285985.05</v>
      </c>
      <c r="S17" s="394"/>
      <c r="T17" s="394"/>
      <c r="U17" s="394">
        <v>11350</v>
      </c>
      <c r="V17" s="394"/>
      <c r="W17" s="394">
        <v>6977.5</v>
      </c>
      <c r="X17" s="379">
        <v>12030.32</v>
      </c>
      <c r="Y17" s="460">
        <f t="shared" si="1"/>
        <v>6563426.2100000009</v>
      </c>
      <c r="Z17" s="395">
        <v>23778.41</v>
      </c>
      <c r="AA17" s="395"/>
      <c r="AB17" s="395">
        <v>377111.1</v>
      </c>
      <c r="AC17" s="395"/>
      <c r="AD17" s="395">
        <v>504967.13</v>
      </c>
      <c r="AE17" s="395">
        <v>35552.800000000003</v>
      </c>
      <c r="AF17" s="395"/>
      <c r="AG17" s="395"/>
      <c r="AH17" s="395">
        <v>1274625.3799999999</v>
      </c>
      <c r="AI17" s="395">
        <v>97642</v>
      </c>
      <c r="AJ17" s="395"/>
      <c r="AK17" s="395">
        <v>27897</v>
      </c>
      <c r="AL17" s="452"/>
      <c r="AM17" s="460">
        <f t="shared" si="2"/>
        <v>2341573.8199999998</v>
      </c>
      <c r="AN17" s="395">
        <v>76</v>
      </c>
      <c r="AO17" s="398">
        <v>1466</v>
      </c>
      <c r="AP17" s="455">
        <v>-29780.3</v>
      </c>
      <c r="AQ17" s="465"/>
      <c r="AR17" s="465">
        <v>-2357.0100000000002</v>
      </c>
      <c r="AS17" s="470">
        <v>1.5</v>
      </c>
      <c r="AT17" s="516"/>
      <c r="AU17" s="516"/>
      <c r="AV17" s="516"/>
      <c r="AW17" s="516"/>
      <c r="AX17" s="516"/>
      <c r="AY17" s="516"/>
      <c r="AZ17" s="522"/>
      <c r="BA17" s="522"/>
      <c r="BB17" s="522"/>
      <c r="BC17" s="522"/>
      <c r="BD17" s="522"/>
      <c r="BE17" s="522"/>
      <c r="BF17" s="522"/>
      <c r="BG17" s="522"/>
    </row>
    <row r="18" spans="1:59" x14ac:dyDescent="0.25">
      <c r="A18" s="338">
        <v>5412</v>
      </c>
      <c r="B18" s="485" t="s">
        <v>132</v>
      </c>
      <c r="C18" s="390">
        <v>1134887.54</v>
      </c>
      <c r="D18" s="390">
        <v>94894.45</v>
      </c>
      <c r="E18" s="388"/>
      <c r="F18" s="390">
        <v>0</v>
      </c>
      <c r="G18" s="390">
        <v>55997.8</v>
      </c>
      <c r="H18" s="390">
        <v>12133.55</v>
      </c>
      <c r="I18" s="390">
        <v>0</v>
      </c>
      <c r="J18" s="390">
        <v>124988.42</v>
      </c>
      <c r="K18" s="390">
        <v>37931.25</v>
      </c>
      <c r="L18" s="390">
        <v>220516.4</v>
      </c>
      <c r="M18" s="331">
        <f t="shared" si="0"/>
        <v>1681349.41</v>
      </c>
      <c r="N18" s="394">
        <v>257000.25</v>
      </c>
      <c r="O18" s="394">
        <v>0</v>
      </c>
      <c r="P18" s="394">
        <v>390203</v>
      </c>
      <c r="Q18" s="394">
        <v>10379.57</v>
      </c>
      <c r="R18" s="394">
        <v>61549.05</v>
      </c>
      <c r="S18" s="394"/>
      <c r="T18" s="394"/>
      <c r="U18" s="394">
        <v>5350</v>
      </c>
      <c r="V18" s="394"/>
      <c r="W18" s="394"/>
      <c r="X18" s="379">
        <v>8172.14</v>
      </c>
      <c r="Y18" s="460">
        <f t="shared" si="1"/>
        <v>2414003.42</v>
      </c>
      <c r="Z18" s="395">
        <v>15754.9</v>
      </c>
      <c r="AA18" s="395"/>
      <c r="AB18" s="395">
        <v>241402.4</v>
      </c>
      <c r="AC18" s="395"/>
      <c r="AD18" s="395">
        <v>55774.41</v>
      </c>
      <c r="AE18" s="395">
        <v>18905.849999999999</v>
      </c>
      <c r="AF18" s="395"/>
      <c r="AG18" s="395"/>
      <c r="AH18" s="395">
        <v>269</v>
      </c>
      <c r="AI18" s="395">
        <v>62546.8</v>
      </c>
      <c r="AJ18" s="395"/>
      <c r="AK18" s="395"/>
      <c r="AL18" s="452"/>
      <c r="AM18" s="460">
        <f t="shared" si="2"/>
        <v>394653.35999999993</v>
      </c>
      <c r="AN18" s="395">
        <v>69</v>
      </c>
      <c r="AO18" s="398">
        <v>889</v>
      </c>
      <c r="AP18" s="455">
        <v>-24854.75</v>
      </c>
      <c r="AQ18" s="465"/>
      <c r="AR18" s="465">
        <v>-120.95</v>
      </c>
      <c r="AS18" s="470">
        <v>1</v>
      </c>
      <c r="AT18" s="516"/>
      <c r="AU18" s="516"/>
      <c r="AV18" s="516"/>
      <c r="AW18" s="516"/>
      <c r="AX18" s="516"/>
      <c r="AY18" s="516"/>
      <c r="AZ18" s="522"/>
      <c r="BA18" s="522"/>
      <c r="BB18" s="522"/>
      <c r="BC18" s="522"/>
      <c r="BD18" s="522"/>
      <c r="BE18" s="522"/>
      <c r="BF18" s="522"/>
      <c r="BG18" s="522"/>
    </row>
    <row r="19" spans="1:59" x14ac:dyDescent="0.25">
      <c r="A19" s="338">
        <v>5413</v>
      </c>
      <c r="B19" s="485" t="s">
        <v>133</v>
      </c>
      <c r="C19" s="390">
        <v>2566280.35</v>
      </c>
      <c r="D19" s="390">
        <v>185445.91</v>
      </c>
      <c r="E19" s="388"/>
      <c r="F19" s="390">
        <v>0</v>
      </c>
      <c r="G19" s="390">
        <v>164746.1</v>
      </c>
      <c r="H19" s="390">
        <v>9136.2999999999993</v>
      </c>
      <c r="I19" s="390">
        <v>0</v>
      </c>
      <c r="J19" s="390">
        <v>69128.09</v>
      </c>
      <c r="K19" s="390">
        <v>33987.300000000003</v>
      </c>
      <c r="L19" s="390">
        <v>359187.85</v>
      </c>
      <c r="M19" s="331">
        <f t="shared" si="0"/>
        <v>3387911.9</v>
      </c>
      <c r="N19" s="394">
        <v>275376.59999999998</v>
      </c>
      <c r="O19" s="394">
        <v>5414</v>
      </c>
      <c r="P19" s="394">
        <v>40660.800000000003</v>
      </c>
      <c r="Q19" s="394">
        <v>35230.839999999997</v>
      </c>
      <c r="R19" s="394">
        <v>234295.95</v>
      </c>
      <c r="S19" s="394"/>
      <c r="T19" s="394"/>
      <c r="U19" s="394">
        <v>14850</v>
      </c>
      <c r="V19" s="394"/>
      <c r="W19" s="394"/>
      <c r="X19" s="379">
        <v>20856.650000000001</v>
      </c>
      <c r="Y19" s="460">
        <f t="shared" si="1"/>
        <v>4014596.7399999998</v>
      </c>
      <c r="Z19" s="395">
        <v>27029</v>
      </c>
      <c r="AA19" s="395">
        <v>6807</v>
      </c>
      <c r="AB19" s="395">
        <v>145627.70000000001</v>
      </c>
      <c r="AC19" s="395"/>
      <c r="AD19" s="395">
        <v>225749.98</v>
      </c>
      <c r="AE19" s="395">
        <v>38150</v>
      </c>
      <c r="AF19" s="395">
        <v>33186</v>
      </c>
      <c r="AG19" s="395"/>
      <c r="AH19" s="395">
        <v>1602</v>
      </c>
      <c r="AI19" s="395">
        <v>68510.45</v>
      </c>
      <c r="AJ19" s="395"/>
      <c r="AK19" s="395">
        <v>20074.400000000001</v>
      </c>
      <c r="AL19" s="452"/>
      <c r="AM19" s="460">
        <f t="shared" si="2"/>
        <v>566736.53</v>
      </c>
      <c r="AN19" s="395">
        <v>68</v>
      </c>
      <c r="AO19" s="398">
        <v>1868</v>
      </c>
      <c r="AP19" s="455">
        <v>-119303.93</v>
      </c>
      <c r="AQ19" s="465"/>
      <c r="AR19" s="465">
        <v>-322.97000000000003</v>
      </c>
      <c r="AS19" s="470">
        <v>1.2</v>
      </c>
      <c r="AT19" s="516"/>
      <c r="AU19" s="516"/>
      <c r="AV19" s="516"/>
      <c r="AW19" s="516"/>
      <c r="AX19" s="516"/>
      <c r="AY19" s="516"/>
      <c r="AZ19" s="522"/>
      <c r="BA19" s="522"/>
      <c r="BB19" s="522"/>
      <c r="BC19" s="522"/>
      <c r="BD19" s="522"/>
      <c r="BE19" s="522"/>
      <c r="BF19" s="522"/>
      <c r="BG19" s="522"/>
    </row>
    <row r="20" spans="1:59" x14ac:dyDescent="0.25">
      <c r="A20" s="338">
        <v>5414</v>
      </c>
      <c r="B20" s="485" t="s">
        <v>134</v>
      </c>
      <c r="C20" s="390">
        <v>7518171.6699999999</v>
      </c>
      <c r="D20" s="390">
        <v>1268760</v>
      </c>
      <c r="E20" s="388"/>
      <c r="F20" s="390">
        <v>0</v>
      </c>
      <c r="G20" s="390">
        <v>339775.15</v>
      </c>
      <c r="H20" s="390">
        <v>152721.60000000001</v>
      </c>
      <c r="I20" s="390">
        <v>60504.7</v>
      </c>
      <c r="J20" s="390">
        <v>377905.1</v>
      </c>
      <c r="K20" s="390">
        <v>170265.60000000001</v>
      </c>
      <c r="L20" s="390">
        <v>1233070.3</v>
      </c>
      <c r="M20" s="331">
        <f t="shared" si="0"/>
        <v>11121174.119999999</v>
      </c>
      <c r="N20" s="394">
        <v>1579016.8</v>
      </c>
      <c r="O20" s="394">
        <v>125495</v>
      </c>
      <c r="P20" s="394">
        <v>395929.45</v>
      </c>
      <c r="Q20" s="394">
        <v>114730.6</v>
      </c>
      <c r="R20" s="394">
        <v>291274.25</v>
      </c>
      <c r="S20" s="394"/>
      <c r="T20" s="394"/>
      <c r="U20" s="394">
        <v>23460</v>
      </c>
      <c r="V20" s="394"/>
      <c r="W20" s="394"/>
      <c r="X20" s="379">
        <v>59073.45</v>
      </c>
      <c r="Y20" s="460">
        <f t="shared" si="1"/>
        <v>13710153.669999998</v>
      </c>
      <c r="Z20" s="395">
        <v>74007</v>
      </c>
      <c r="AA20" s="395"/>
      <c r="AB20" s="395">
        <v>1310750</v>
      </c>
      <c r="AC20" s="395"/>
      <c r="AD20" s="395">
        <v>880114</v>
      </c>
      <c r="AE20" s="395">
        <v>86406</v>
      </c>
      <c r="AF20" s="395"/>
      <c r="AG20" s="395"/>
      <c r="AH20" s="395">
        <v>54523</v>
      </c>
      <c r="AI20" s="395">
        <v>211342</v>
      </c>
      <c r="AJ20" s="395"/>
      <c r="AK20" s="395">
        <v>120767</v>
      </c>
      <c r="AL20" s="452"/>
      <c r="AM20" s="460">
        <f t="shared" si="2"/>
        <v>2737909</v>
      </c>
      <c r="AN20" s="395">
        <v>67.5</v>
      </c>
      <c r="AO20" s="398">
        <v>5837</v>
      </c>
      <c r="AP20" s="455">
        <v>-525365.79</v>
      </c>
      <c r="AQ20" s="465"/>
      <c r="AR20" s="465">
        <v>-5477.89</v>
      </c>
      <c r="AS20" s="470">
        <v>1</v>
      </c>
      <c r="AT20" s="516"/>
      <c r="AU20" s="516"/>
      <c r="AV20" s="516"/>
      <c r="AW20" s="516"/>
      <c r="AX20" s="516"/>
      <c r="AY20" s="516"/>
      <c r="AZ20" s="522"/>
      <c r="BA20" s="522"/>
      <c r="BB20" s="522"/>
      <c r="BC20" s="522"/>
      <c r="BD20" s="522"/>
      <c r="BE20" s="522"/>
      <c r="BF20" s="522"/>
      <c r="BG20" s="522"/>
    </row>
    <row r="21" spans="1:59" x14ac:dyDescent="0.25">
      <c r="A21" s="338">
        <v>5415</v>
      </c>
      <c r="B21" s="485" t="s">
        <v>72</v>
      </c>
      <c r="C21" s="390">
        <v>2092581.95</v>
      </c>
      <c r="D21" s="390">
        <v>313907.99</v>
      </c>
      <c r="E21" s="388"/>
      <c r="F21" s="390">
        <v>0</v>
      </c>
      <c r="G21" s="390">
        <v>39694.5</v>
      </c>
      <c r="H21" s="390">
        <v>5909.75</v>
      </c>
      <c r="I21" s="390">
        <v>-1112.8</v>
      </c>
      <c r="J21" s="390">
        <v>50941.15</v>
      </c>
      <c r="K21" s="390">
        <v>8446.2000000000007</v>
      </c>
      <c r="L21" s="390">
        <v>363802.15</v>
      </c>
      <c r="M21" s="331">
        <f t="shared" si="0"/>
        <v>2874170.89</v>
      </c>
      <c r="N21" s="394">
        <v>40570.300000000003</v>
      </c>
      <c r="O21" s="394">
        <v>301698.3</v>
      </c>
      <c r="P21" s="394">
        <v>36502.699999999997</v>
      </c>
      <c r="Q21" s="394">
        <v>3993.56</v>
      </c>
      <c r="R21" s="394">
        <v>4057.75</v>
      </c>
      <c r="S21" s="394"/>
      <c r="T21" s="394"/>
      <c r="U21" s="394">
        <v>7400</v>
      </c>
      <c r="V21" s="394"/>
      <c r="W21" s="394"/>
      <c r="X21" s="379">
        <v>5470.09</v>
      </c>
      <c r="Y21" s="460">
        <f t="shared" si="1"/>
        <v>3273863.59</v>
      </c>
      <c r="Z21" s="395">
        <v>12803.4</v>
      </c>
      <c r="AA21" s="395"/>
      <c r="AB21" s="395">
        <v>205673.3</v>
      </c>
      <c r="AC21" s="395"/>
      <c r="AD21" s="395">
        <v>45573.19</v>
      </c>
      <c r="AE21" s="395">
        <v>11115.3</v>
      </c>
      <c r="AF21" s="395"/>
      <c r="AG21" s="395"/>
      <c r="AH21" s="395">
        <v>29279.9</v>
      </c>
      <c r="AI21" s="395">
        <v>54713.599999999999</v>
      </c>
      <c r="AJ21" s="395"/>
      <c r="AK21" s="395"/>
      <c r="AL21" s="452">
        <v>54713.3</v>
      </c>
      <c r="AM21" s="460">
        <f t="shared" si="2"/>
        <v>413871.99</v>
      </c>
      <c r="AN21" s="395">
        <v>71.5</v>
      </c>
      <c r="AO21" s="398">
        <v>1070</v>
      </c>
      <c r="AP21" s="455">
        <v>-33484.75</v>
      </c>
      <c r="AQ21" s="465"/>
      <c r="AR21" s="465">
        <v>-798.47</v>
      </c>
      <c r="AS21" s="470">
        <v>1.5</v>
      </c>
      <c r="AT21" s="516"/>
      <c r="AU21" s="516"/>
      <c r="AV21" s="516"/>
      <c r="AW21" s="516"/>
      <c r="AX21" s="516"/>
      <c r="AY21" s="516"/>
      <c r="AZ21" s="522"/>
      <c r="BA21" s="522"/>
      <c r="BB21" s="522"/>
      <c r="BC21" s="522"/>
      <c r="BD21" s="522"/>
      <c r="BE21" s="522"/>
      <c r="BF21" s="522"/>
      <c r="BG21" s="522"/>
    </row>
    <row r="22" spans="1:59" x14ac:dyDescent="0.25">
      <c r="A22" s="338">
        <v>5421</v>
      </c>
      <c r="B22" s="485" t="s">
        <v>73</v>
      </c>
      <c r="C22" s="390">
        <v>3647344.41</v>
      </c>
      <c r="D22" s="390">
        <v>554544.91</v>
      </c>
      <c r="E22" s="388"/>
      <c r="F22" s="390">
        <v>0</v>
      </c>
      <c r="G22" s="390">
        <v>21678.95</v>
      </c>
      <c r="H22" s="390">
        <v>41017.050000000003</v>
      </c>
      <c r="I22" s="390">
        <v>67515.199999999997</v>
      </c>
      <c r="J22" s="390">
        <v>292311.67999999999</v>
      </c>
      <c r="K22" s="390">
        <v>12858.9</v>
      </c>
      <c r="L22" s="390">
        <v>301256.09999999998</v>
      </c>
      <c r="M22" s="331">
        <f t="shared" si="0"/>
        <v>4938527.2</v>
      </c>
      <c r="N22" s="394">
        <v>37966.6</v>
      </c>
      <c r="O22" s="394">
        <v>44006.400000000001</v>
      </c>
      <c r="P22" s="394">
        <v>77387.399999999994</v>
      </c>
      <c r="Q22" s="394">
        <v>2464.04</v>
      </c>
      <c r="R22" s="394">
        <v>60347.75</v>
      </c>
      <c r="S22" s="394"/>
      <c r="T22" s="394">
        <v>2278.6999999999998</v>
      </c>
      <c r="U22" s="394">
        <v>9400</v>
      </c>
      <c r="V22" s="394"/>
      <c r="W22" s="394"/>
      <c r="X22" s="379">
        <v>7520.19</v>
      </c>
      <c r="Y22" s="460">
        <f t="shared" si="1"/>
        <v>5179898.2800000012</v>
      </c>
      <c r="Z22" s="395">
        <v>15137.04</v>
      </c>
      <c r="AA22" s="395"/>
      <c r="AB22" s="395">
        <v>237847.83</v>
      </c>
      <c r="AC22" s="395"/>
      <c r="AD22" s="395">
        <v>217387.63</v>
      </c>
      <c r="AE22" s="395">
        <v>21582.959999999999</v>
      </c>
      <c r="AF22" s="395"/>
      <c r="AG22" s="395"/>
      <c r="AH22" s="395"/>
      <c r="AI22" s="395"/>
      <c r="AJ22" s="395"/>
      <c r="AK22" s="395"/>
      <c r="AL22" s="452"/>
      <c r="AM22" s="460">
        <f t="shared" si="2"/>
        <v>491955.46</v>
      </c>
      <c r="AN22" s="395">
        <v>74</v>
      </c>
      <c r="AO22" s="398">
        <v>1457</v>
      </c>
      <c r="AP22" s="455">
        <v>-36044.699999999997</v>
      </c>
      <c r="AQ22" s="465"/>
      <c r="AR22" s="465">
        <v>-5260.21</v>
      </c>
      <c r="AS22" s="470">
        <v>1</v>
      </c>
      <c r="AT22" s="516"/>
      <c r="AU22" s="516"/>
      <c r="AV22" s="516"/>
      <c r="AW22" s="516"/>
      <c r="AX22" s="516"/>
      <c r="AY22" s="516"/>
      <c r="AZ22" s="522"/>
      <c r="BA22" s="522"/>
      <c r="BB22" s="522"/>
      <c r="BC22" s="522"/>
      <c r="BD22" s="522"/>
      <c r="BE22" s="522"/>
      <c r="BF22" s="522"/>
      <c r="BG22" s="522"/>
    </row>
    <row r="23" spans="1:59" x14ac:dyDescent="0.25">
      <c r="A23" s="338">
        <v>5422</v>
      </c>
      <c r="B23" s="485" t="s">
        <v>74</v>
      </c>
      <c r="C23" s="390">
        <v>8608600.1899999995</v>
      </c>
      <c r="D23" s="390">
        <v>187077.49</v>
      </c>
      <c r="E23" s="388"/>
      <c r="F23" s="390">
        <v>0</v>
      </c>
      <c r="G23" s="390">
        <v>5158799.7</v>
      </c>
      <c r="H23" s="390">
        <v>46828.45</v>
      </c>
      <c r="I23" s="390">
        <v>319908</v>
      </c>
      <c r="J23" s="390">
        <v>541853.35</v>
      </c>
      <c r="K23" s="390">
        <v>182483.5</v>
      </c>
      <c r="L23" s="390">
        <v>994846.68</v>
      </c>
      <c r="M23" s="331">
        <f t="shared" si="0"/>
        <v>16040397.359999998</v>
      </c>
      <c r="N23" s="394">
        <v>1045403.05</v>
      </c>
      <c r="O23" s="394">
        <v>132137.9</v>
      </c>
      <c r="P23" s="394">
        <v>447632.6</v>
      </c>
      <c r="Q23" s="394">
        <v>37116.94</v>
      </c>
      <c r="R23" s="394">
        <v>440850.9</v>
      </c>
      <c r="S23" s="394"/>
      <c r="T23" s="394">
        <v>16738.400000000001</v>
      </c>
      <c r="U23" s="394">
        <v>23150</v>
      </c>
      <c r="V23" s="394"/>
      <c r="W23" s="394"/>
      <c r="X23" s="379">
        <v>624398.88</v>
      </c>
      <c r="Y23" s="460">
        <f t="shared" si="1"/>
        <v>18807826.029999994</v>
      </c>
      <c r="Z23" s="395">
        <v>99791.25</v>
      </c>
      <c r="AA23" s="395"/>
      <c r="AB23" s="395">
        <v>290566.93</v>
      </c>
      <c r="AC23" s="395"/>
      <c r="AD23" s="395">
        <v>253741.14</v>
      </c>
      <c r="AE23" s="395">
        <v>66843</v>
      </c>
      <c r="AF23" s="395"/>
      <c r="AG23" s="395"/>
      <c r="AH23" s="395"/>
      <c r="AI23" s="395">
        <v>223058.85</v>
      </c>
      <c r="AJ23" s="395"/>
      <c r="AK23" s="395"/>
      <c r="AL23" s="452"/>
      <c r="AM23" s="460">
        <f t="shared" si="2"/>
        <v>934001.17</v>
      </c>
      <c r="AN23" s="395">
        <v>68.5</v>
      </c>
      <c r="AO23" s="398">
        <v>3241</v>
      </c>
      <c r="AP23" s="455">
        <v>-91855.75</v>
      </c>
      <c r="AQ23" s="465"/>
      <c r="AR23" s="465">
        <v>-6465.77</v>
      </c>
      <c r="AS23" s="470">
        <v>1</v>
      </c>
      <c r="AT23" s="516"/>
      <c r="AU23" s="516"/>
      <c r="AV23" s="516"/>
      <c r="AW23" s="516"/>
      <c r="AX23" s="516"/>
      <c r="AY23" s="516"/>
      <c r="AZ23" s="522"/>
      <c r="BA23" s="522"/>
      <c r="BB23" s="522"/>
      <c r="BC23" s="522"/>
      <c r="BD23" s="522"/>
      <c r="BE23" s="522"/>
      <c r="BF23" s="522"/>
      <c r="BG23" s="522"/>
    </row>
    <row r="24" spans="1:59" x14ac:dyDescent="0.25">
      <c r="A24" s="338">
        <v>5423</v>
      </c>
      <c r="B24" s="485" t="s">
        <v>75</v>
      </c>
      <c r="C24" s="390">
        <v>1064057.79</v>
      </c>
      <c r="D24" s="390">
        <v>95526.720000000001</v>
      </c>
      <c r="E24" s="388"/>
      <c r="F24" s="390">
        <v>2900</v>
      </c>
      <c r="G24" s="390">
        <v>2477.1999999999998</v>
      </c>
      <c r="H24" s="390">
        <v>1456.15</v>
      </c>
      <c r="I24" s="390">
        <v>0</v>
      </c>
      <c r="J24" s="390">
        <v>22628</v>
      </c>
      <c r="K24" s="390">
        <v>2520.85</v>
      </c>
      <c r="L24" s="390">
        <v>39954.75</v>
      </c>
      <c r="M24" s="331">
        <f t="shared" si="0"/>
        <v>1231521.46</v>
      </c>
      <c r="N24" s="394">
        <v>23095.75</v>
      </c>
      <c r="O24" s="394">
        <v>0</v>
      </c>
      <c r="P24" s="394">
        <v>42278.65</v>
      </c>
      <c r="Q24" s="394">
        <v>0</v>
      </c>
      <c r="R24" s="394">
        <v>21474</v>
      </c>
      <c r="S24" s="394">
        <v>125</v>
      </c>
      <c r="T24" s="394">
        <v>822.3</v>
      </c>
      <c r="U24" s="394">
        <v>2025</v>
      </c>
      <c r="V24" s="394"/>
      <c r="W24" s="394"/>
      <c r="X24" s="379">
        <v>471.79</v>
      </c>
      <c r="Y24" s="460">
        <f t="shared" si="1"/>
        <v>1321813.95</v>
      </c>
      <c r="Z24" s="395">
        <v>1077</v>
      </c>
      <c r="AA24" s="395"/>
      <c r="AB24" s="395">
        <v>152487.75</v>
      </c>
      <c r="AC24" s="395"/>
      <c r="AD24" s="395">
        <v>27640</v>
      </c>
      <c r="AE24" s="395"/>
      <c r="AF24" s="395"/>
      <c r="AG24" s="395"/>
      <c r="AH24" s="395"/>
      <c r="AI24" s="395">
        <v>10976.3</v>
      </c>
      <c r="AJ24" s="395"/>
      <c r="AK24" s="395"/>
      <c r="AL24" s="452"/>
      <c r="AM24" s="460">
        <f t="shared" si="2"/>
        <v>192181.05</v>
      </c>
      <c r="AN24" s="395">
        <v>73</v>
      </c>
      <c r="AO24" s="398">
        <v>562</v>
      </c>
      <c r="AP24" s="455">
        <v>-22543.01</v>
      </c>
      <c r="AQ24" s="465"/>
      <c r="AR24" s="465">
        <v>-28.57</v>
      </c>
      <c r="AS24" s="470">
        <v>0.5</v>
      </c>
      <c r="AT24" s="516"/>
      <c r="AU24" s="516"/>
      <c r="AV24" s="516"/>
      <c r="AW24" s="516"/>
      <c r="AX24" s="516"/>
      <c r="AY24" s="516"/>
      <c r="AZ24" s="522"/>
      <c r="BA24" s="522"/>
      <c r="BB24" s="522"/>
      <c r="BC24" s="522"/>
      <c r="BD24" s="522"/>
      <c r="BE24" s="522"/>
      <c r="BF24" s="522"/>
      <c r="BG24" s="522"/>
    </row>
    <row r="25" spans="1:59" x14ac:dyDescent="0.25">
      <c r="A25" s="338">
        <v>5424</v>
      </c>
      <c r="B25" s="485" t="s">
        <v>76</v>
      </c>
      <c r="C25" s="390">
        <v>563266.75</v>
      </c>
      <c r="D25" s="390">
        <v>46223.47</v>
      </c>
      <c r="E25" s="388"/>
      <c r="F25" s="390">
        <v>0</v>
      </c>
      <c r="G25" s="390">
        <v>535</v>
      </c>
      <c r="H25" s="390">
        <v>585.9</v>
      </c>
      <c r="I25" s="390">
        <v>38612.949999999997</v>
      </c>
      <c r="J25" s="390">
        <v>4367.42</v>
      </c>
      <c r="K25" s="390">
        <v>766</v>
      </c>
      <c r="L25" s="390">
        <v>50423.4</v>
      </c>
      <c r="M25" s="331">
        <f t="shared" si="0"/>
        <v>704780.89</v>
      </c>
      <c r="N25" s="394">
        <v>0</v>
      </c>
      <c r="O25" s="394">
        <v>0</v>
      </c>
      <c r="P25" s="394">
        <v>14315.85</v>
      </c>
      <c r="Q25" s="394">
        <v>401.9</v>
      </c>
      <c r="R25" s="394">
        <v>29602.85</v>
      </c>
      <c r="S25" s="394"/>
      <c r="T25" s="394"/>
      <c r="U25" s="394">
        <v>1850</v>
      </c>
      <c r="V25" s="394"/>
      <c r="W25" s="394">
        <v>9446.86</v>
      </c>
      <c r="X25" s="379">
        <v>134.44999999999999</v>
      </c>
      <c r="Y25" s="460">
        <f t="shared" si="1"/>
        <v>760532.79999999993</v>
      </c>
      <c r="Z25" s="395"/>
      <c r="AA25" s="395"/>
      <c r="AB25" s="395">
        <v>54116.800000000003</v>
      </c>
      <c r="AC25" s="395">
        <v>10478.35</v>
      </c>
      <c r="AD25" s="395">
        <v>13227.55</v>
      </c>
      <c r="AE25" s="395"/>
      <c r="AF25" s="395"/>
      <c r="AG25" s="395"/>
      <c r="AH25" s="395"/>
      <c r="AI25" s="395">
        <v>7476.7</v>
      </c>
      <c r="AJ25" s="395"/>
      <c r="AK25" s="395"/>
      <c r="AL25" s="452"/>
      <c r="AM25" s="460">
        <f t="shared" si="2"/>
        <v>85299.4</v>
      </c>
      <c r="AN25" s="395">
        <v>75.5</v>
      </c>
      <c r="AO25" s="398">
        <v>313</v>
      </c>
      <c r="AP25" s="455">
        <v>-17136.48</v>
      </c>
      <c r="AQ25" s="465"/>
      <c r="AR25" s="465">
        <v>0</v>
      </c>
      <c r="AS25" s="470">
        <v>1</v>
      </c>
      <c r="AT25" s="516"/>
      <c r="AU25" s="516"/>
      <c r="AV25" s="516"/>
      <c r="AW25" s="516"/>
      <c r="AX25" s="516"/>
      <c r="AY25" s="516"/>
      <c r="AZ25" s="522"/>
      <c r="BA25" s="522"/>
      <c r="BB25" s="522"/>
      <c r="BC25" s="522"/>
      <c r="BD25" s="522"/>
      <c r="BE25" s="522"/>
      <c r="BF25" s="522"/>
      <c r="BG25" s="522"/>
    </row>
    <row r="26" spans="1:59" x14ac:dyDescent="0.25">
      <c r="A26" s="338">
        <v>5425</v>
      </c>
      <c r="B26" s="485" t="s">
        <v>77</v>
      </c>
      <c r="C26" s="390">
        <v>2028303.79</v>
      </c>
      <c r="D26" s="390">
        <v>238915.91</v>
      </c>
      <c r="E26" s="388"/>
      <c r="F26" s="390">
        <v>0</v>
      </c>
      <c r="G26" s="390">
        <v>192982.2</v>
      </c>
      <c r="H26" s="390">
        <v>2396.65</v>
      </c>
      <c r="I26" s="390">
        <v>0</v>
      </c>
      <c r="J26" s="390">
        <v>142233.89000000001</v>
      </c>
      <c r="K26" s="390">
        <v>-12948.1</v>
      </c>
      <c r="L26" s="390">
        <v>121003.55</v>
      </c>
      <c r="M26" s="331">
        <f t="shared" si="0"/>
        <v>2712887.89</v>
      </c>
      <c r="N26" s="394">
        <v>61405.1</v>
      </c>
      <c r="O26" s="394">
        <v>53054.7</v>
      </c>
      <c r="P26" s="394">
        <v>102111.85</v>
      </c>
      <c r="Q26" s="394">
        <v>44838.27</v>
      </c>
      <c r="R26" s="394">
        <v>95170.1</v>
      </c>
      <c r="S26" s="394">
        <v>525</v>
      </c>
      <c r="T26" s="394">
        <v>3085.75</v>
      </c>
      <c r="U26" s="394">
        <v>12200</v>
      </c>
      <c r="V26" s="394"/>
      <c r="W26" s="394"/>
      <c r="X26" s="379">
        <v>23435.08</v>
      </c>
      <c r="Y26" s="460">
        <f t="shared" si="1"/>
        <v>3108713.7400000007</v>
      </c>
      <c r="Z26" s="395">
        <v>77081</v>
      </c>
      <c r="AA26" s="395"/>
      <c r="AB26" s="395">
        <v>193333.85</v>
      </c>
      <c r="AC26" s="395"/>
      <c r="AD26" s="395">
        <v>180043.01</v>
      </c>
      <c r="AE26" s="395">
        <v>38380</v>
      </c>
      <c r="AF26" s="395"/>
      <c r="AG26" s="395"/>
      <c r="AH26" s="395"/>
      <c r="AI26" s="395">
        <v>55081.7</v>
      </c>
      <c r="AJ26" s="395"/>
      <c r="AK26" s="395"/>
      <c r="AL26" s="452"/>
      <c r="AM26" s="460">
        <f t="shared" si="2"/>
        <v>543919.55999999994</v>
      </c>
      <c r="AN26" s="395">
        <v>69</v>
      </c>
      <c r="AO26" s="398">
        <v>1627</v>
      </c>
      <c r="AP26" s="455">
        <v>-94131.28</v>
      </c>
      <c r="AQ26" s="465"/>
      <c r="AR26" s="465">
        <v>-27.35</v>
      </c>
      <c r="AS26" s="470">
        <v>0.57999999999999996</v>
      </c>
      <c r="AT26" s="516"/>
      <c r="AU26" s="516"/>
      <c r="AV26" s="516"/>
      <c r="AW26" s="516"/>
      <c r="AX26" s="516"/>
      <c r="AY26" s="516"/>
      <c r="AZ26" s="522"/>
      <c r="BA26" s="522"/>
      <c r="BB26" s="522"/>
      <c r="BC26" s="522"/>
      <c r="BD26" s="522"/>
      <c r="BE26" s="522"/>
      <c r="BF26" s="522"/>
      <c r="BG26" s="522"/>
    </row>
    <row r="27" spans="1:59" x14ac:dyDescent="0.25">
      <c r="A27" s="338">
        <v>5426</v>
      </c>
      <c r="B27" s="485" t="s">
        <v>71</v>
      </c>
      <c r="C27" s="390">
        <v>2048478.28</v>
      </c>
      <c r="D27" s="390">
        <v>661296.6</v>
      </c>
      <c r="E27" s="388"/>
      <c r="F27" s="390">
        <v>0</v>
      </c>
      <c r="G27" s="390">
        <v>-698.25</v>
      </c>
      <c r="H27" s="390">
        <v>2405.9</v>
      </c>
      <c r="I27" s="390">
        <v>619980.80000000005</v>
      </c>
      <c r="J27" s="390">
        <v>31633.53</v>
      </c>
      <c r="K27" s="390">
        <v>-1742.2</v>
      </c>
      <c r="L27" s="390">
        <v>293111.05</v>
      </c>
      <c r="M27" s="331">
        <f t="shared" si="0"/>
        <v>3654465.7099999995</v>
      </c>
      <c r="N27" s="394">
        <v>12909.65</v>
      </c>
      <c r="O27" s="394">
        <v>10073.6</v>
      </c>
      <c r="P27" s="394">
        <v>180712.4</v>
      </c>
      <c r="Q27" s="394">
        <v>0</v>
      </c>
      <c r="R27" s="394">
        <v>90087.7</v>
      </c>
      <c r="S27" s="394"/>
      <c r="T27" s="394"/>
      <c r="U27" s="394">
        <v>4320</v>
      </c>
      <c r="V27" s="394"/>
      <c r="W27" s="394"/>
      <c r="X27" s="379">
        <v>204.83</v>
      </c>
      <c r="Y27" s="460">
        <f t="shared" si="1"/>
        <v>3952773.8899999997</v>
      </c>
      <c r="Z27" s="395">
        <v>66580</v>
      </c>
      <c r="AA27" s="395"/>
      <c r="AB27" s="395">
        <v>213961</v>
      </c>
      <c r="AC27" s="395"/>
      <c r="AD27" s="395">
        <v>24260.25</v>
      </c>
      <c r="AE27" s="395">
        <v>37600</v>
      </c>
      <c r="AF27" s="395"/>
      <c r="AG27" s="395"/>
      <c r="AH27" s="395"/>
      <c r="AI27" s="395"/>
      <c r="AJ27" s="395"/>
      <c r="AK27" s="395"/>
      <c r="AL27" s="452"/>
      <c r="AM27" s="460">
        <f t="shared" si="2"/>
        <v>342401.25</v>
      </c>
      <c r="AN27" s="395">
        <v>64.5</v>
      </c>
      <c r="AO27" s="398">
        <v>477</v>
      </c>
      <c r="AP27" s="455">
        <v>-14852.89</v>
      </c>
      <c r="AQ27" s="465"/>
      <c r="AR27" s="465">
        <v>-4586.82</v>
      </c>
      <c r="AS27" s="470">
        <v>1.2</v>
      </c>
      <c r="AT27" s="516"/>
      <c r="AU27" s="516"/>
      <c r="AV27" s="516"/>
      <c r="AW27" s="516"/>
      <c r="AX27" s="516"/>
      <c r="AY27" s="516"/>
      <c r="AZ27" s="522"/>
      <c r="BA27" s="522"/>
      <c r="BB27" s="522"/>
      <c r="BC27" s="522"/>
      <c r="BD27" s="522"/>
      <c r="BE27" s="522"/>
      <c r="BF27" s="522"/>
      <c r="BG27" s="522"/>
    </row>
    <row r="28" spans="1:59" x14ac:dyDescent="0.25">
      <c r="A28" s="338">
        <v>5427</v>
      </c>
      <c r="B28" s="485" t="s">
        <v>340</v>
      </c>
      <c r="C28" s="390">
        <v>3096414.06</v>
      </c>
      <c r="D28" s="390">
        <v>959149.35</v>
      </c>
      <c r="E28" s="388"/>
      <c r="F28" s="390">
        <v>0</v>
      </c>
      <c r="G28" s="390">
        <v>37522.449999999997</v>
      </c>
      <c r="H28" s="390">
        <v>5049.25</v>
      </c>
      <c r="I28" s="390">
        <v>504282.15</v>
      </c>
      <c r="J28" s="390">
        <v>51538.01</v>
      </c>
      <c r="K28" s="390">
        <v>-319.75</v>
      </c>
      <c r="L28" s="390">
        <v>470098.5</v>
      </c>
      <c r="M28" s="331">
        <f t="shared" si="0"/>
        <v>5123734.0200000005</v>
      </c>
      <c r="N28" s="394">
        <v>11820.25</v>
      </c>
      <c r="O28" s="394">
        <v>0</v>
      </c>
      <c r="P28" s="394">
        <v>119520.9</v>
      </c>
      <c r="Q28" s="394">
        <v>6191.36</v>
      </c>
      <c r="R28" s="394">
        <v>78166.850000000006</v>
      </c>
      <c r="S28" s="394"/>
      <c r="T28" s="394">
        <v>244</v>
      </c>
      <c r="U28" s="394">
        <v>4200</v>
      </c>
      <c r="V28" s="394"/>
      <c r="W28" s="394"/>
      <c r="X28" s="379">
        <v>5106.34</v>
      </c>
      <c r="Y28" s="460">
        <f t="shared" si="1"/>
        <v>5348983.7200000007</v>
      </c>
      <c r="Z28" s="395">
        <v>82625</v>
      </c>
      <c r="AA28" s="395"/>
      <c r="AB28" s="395">
        <v>201810.15</v>
      </c>
      <c r="AC28" s="395"/>
      <c r="AD28" s="395">
        <v>91148.65</v>
      </c>
      <c r="AE28" s="395"/>
      <c r="AF28" s="395"/>
      <c r="AG28" s="395"/>
      <c r="AH28" s="395"/>
      <c r="AI28" s="395"/>
      <c r="AJ28" s="395"/>
      <c r="AK28" s="395"/>
      <c r="AL28" s="452"/>
      <c r="AM28" s="460">
        <f t="shared" si="2"/>
        <v>375583.80000000005</v>
      </c>
      <c r="AN28" s="395">
        <v>64</v>
      </c>
      <c r="AO28" s="398">
        <v>869</v>
      </c>
      <c r="AP28" s="455">
        <v>-97265.64</v>
      </c>
      <c r="AQ28" s="465"/>
      <c r="AR28" s="465">
        <v>0</v>
      </c>
      <c r="AS28" s="470">
        <v>1.3</v>
      </c>
      <c r="AT28" s="516"/>
      <c r="AU28" s="516"/>
      <c r="AV28" s="516"/>
      <c r="AW28" s="516"/>
      <c r="AX28" s="516"/>
      <c r="AY28" s="516"/>
      <c r="AZ28" s="522"/>
      <c r="BA28" s="522"/>
      <c r="BB28" s="522"/>
      <c r="BC28" s="522"/>
      <c r="BD28" s="522"/>
      <c r="BE28" s="522"/>
      <c r="BF28" s="522"/>
      <c r="BG28" s="522"/>
    </row>
    <row r="29" spans="1:59" x14ac:dyDescent="0.25">
      <c r="A29" s="338">
        <v>5428</v>
      </c>
      <c r="B29" s="485" t="s">
        <v>341</v>
      </c>
      <c r="C29" s="390">
        <v>4065143.36</v>
      </c>
      <c r="D29" s="390">
        <v>490874.68</v>
      </c>
      <c r="E29" s="388"/>
      <c r="F29" s="390">
        <v>0</v>
      </c>
      <c r="G29" s="390">
        <v>106214.75</v>
      </c>
      <c r="H29" s="390">
        <v>7067.1</v>
      </c>
      <c r="I29" s="390">
        <v>0</v>
      </c>
      <c r="J29" s="390">
        <v>204065.92000000001</v>
      </c>
      <c r="K29" s="390">
        <v>16220.5</v>
      </c>
      <c r="L29" s="390">
        <v>456917.15</v>
      </c>
      <c r="M29" s="331">
        <f t="shared" si="0"/>
        <v>5346503.46</v>
      </c>
      <c r="N29" s="394">
        <v>249456.7</v>
      </c>
      <c r="O29" s="394">
        <v>539194.1</v>
      </c>
      <c r="P29" s="394">
        <v>228165.85</v>
      </c>
      <c r="Q29" s="394">
        <v>3726.29</v>
      </c>
      <c r="R29" s="394">
        <v>68445.399999999994</v>
      </c>
      <c r="S29" s="394">
        <v>450</v>
      </c>
      <c r="T29" s="394">
        <v>400</v>
      </c>
      <c r="U29" s="394">
        <v>15600</v>
      </c>
      <c r="V29" s="394"/>
      <c r="W29" s="394"/>
      <c r="X29" s="379">
        <v>13587.8</v>
      </c>
      <c r="Y29" s="460">
        <f t="shared" si="1"/>
        <v>6465529.5999999996</v>
      </c>
      <c r="Z29" s="395">
        <v>39301.550000000003</v>
      </c>
      <c r="AA29" s="395">
        <v>4918.3500000000004</v>
      </c>
      <c r="AB29" s="395">
        <v>290756.77</v>
      </c>
      <c r="AC29" s="395"/>
      <c r="AD29" s="395">
        <v>221787.41</v>
      </c>
      <c r="AE29" s="395">
        <v>39301.449999999997</v>
      </c>
      <c r="AF29" s="395">
        <v>4918.3999999999996</v>
      </c>
      <c r="AG29" s="395"/>
      <c r="AH29" s="395"/>
      <c r="AI29" s="395">
        <v>44582.15</v>
      </c>
      <c r="AJ29" s="395"/>
      <c r="AK29" s="395"/>
      <c r="AL29" s="452"/>
      <c r="AM29" s="460">
        <f t="shared" si="2"/>
        <v>645566.08000000007</v>
      </c>
      <c r="AN29" s="395">
        <v>74.5</v>
      </c>
      <c r="AO29" s="398">
        <v>2307</v>
      </c>
      <c r="AP29" s="455">
        <v>-58057.22</v>
      </c>
      <c r="AQ29" s="465"/>
      <c r="AR29" s="465">
        <v>-212.36</v>
      </c>
      <c r="AS29" s="470">
        <v>1.2</v>
      </c>
      <c r="AT29" s="516"/>
      <c r="AU29" s="516"/>
      <c r="AV29" s="516"/>
      <c r="AW29" s="516"/>
      <c r="AX29" s="516"/>
      <c r="AY29" s="516"/>
      <c r="AZ29" s="522"/>
      <c r="BA29" s="522"/>
      <c r="BB29" s="522"/>
      <c r="BC29" s="522"/>
      <c r="BD29" s="522"/>
      <c r="BE29" s="522"/>
      <c r="BF29" s="522"/>
      <c r="BG29" s="522"/>
    </row>
    <row r="30" spans="1:59" x14ac:dyDescent="0.25">
      <c r="A30" s="338">
        <v>5429</v>
      </c>
      <c r="B30" s="485" t="s">
        <v>361</v>
      </c>
      <c r="C30" s="390">
        <v>998736.44</v>
      </c>
      <c r="D30" s="390">
        <v>138044.16</v>
      </c>
      <c r="E30" s="388"/>
      <c r="F30" s="390">
        <v>0</v>
      </c>
      <c r="G30" s="390">
        <v>13341</v>
      </c>
      <c r="H30" s="390">
        <v>3253.85</v>
      </c>
      <c r="I30" s="390">
        <v>0</v>
      </c>
      <c r="J30" s="390">
        <v>9020.59</v>
      </c>
      <c r="K30" s="390">
        <v>3793.9</v>
      </c>
      <c r="L30" s="390">
        <v>101881.3</v>
      </c>
      <c r="M30" s="331">
        <f t="shared" si="0"/>
        <v>1268071.24</v>
      </c>
      <c r="N30" s="394">
        <v>0</v>
      </c>
      <c r="O30" s="394">
        <v>0</v>
      </c>
      <c r="P30" s="394">
        <v>85378.4</v>
      </c>
      <c r="Q30" s="394">
        <v>104.2</v>
      </c>
      <c r="R30" s="394">
        <v>7985.1</v>
      </c>
      <c r="S30" s="394"/>
      <c r="T30" s="394"/>
      <c r="U30" s="394">
        <v>4815</v>
      </c>
      <c r="V30" s="394"/>
      <c r="W30" s="394"/>
      <c r="X30" s="379">
        <v>1990.5</v>
      </c>
      <c r="Y30" s="460">
        <f t="shared" si="1"/>
        <v>1368344.44</v>
      </c>
      <c r="Z30" s="395">
        <v>9925</v>
      </c>
      <c r="AA30" s="395" t="s">
        <v>584</v>
      </c>
      <c r="AB30" s="395" t="s">
        <v>584</v>
      </c>
      <c r="AC30" s="395" t="s">
        <v>584</v>
      </c>
      <c r="AD30" s="395">
        <v>47370</v>
      </c>
      <c r="AE30" s="395">
        <v>9925</v>
      </c>
      <c r="AF30" s="395" t="s">
        <v>584</v>
      </c>
      <c r="AG30" s="395" t="s">
        <v>584</v>
      </c>
      <c r="AH30" s="395">
        <v>3415.9</v>
      </c>
      <c r="AI30" s="395"/>
      <c r="AJ30" s="395"/>
      <c r="AK30" s="395"/>
      <c r="AL30" s="452"/>
      <c r="AM30" s="460">
        <f t="shared" si="2"/>
        <v>70635.899999999994</v>
      </c>
      <c r="AN30" s="395">
        <v>77.5</v>
      </c>
      <c r="AO30" s="398">
        <v>494</v>
      </c>
      <c r="AP30" s="455">
        <v>-19217.95</v>
      </c>
      <c r="AQ30" s="465"/>
      <c r="AR30" s="465">
        <v>-38.01</v>
      </c>
      <c r="AS30" s="470">
        <v>1</v>
      </c>
      <c r="AT30" s="516"/>
      <c r="AU30" s="516"/>
      <c r="AV30" s="516"/>
      <c r="AW30" s="516"/>
      <c r="AX30" s="516"/>
      <c r="AY30" s="516"/>
      <c r="AZ30" s="522"/>
      <c r="BA30" s="522"/>
      <c r="BB30" s="522"/>
      <c r="BC30" s="522"/>
      <c r="BD30" s="522"/>
      <c r="BE30" s="522"/>
      <c r="BF30" s="522"/>
      <c r="BG30" s="522"/>
    </row>
    <row r="31" spans="1:59" x14ac:dyDescent="0.25">
      <c r="A31" s="338">
        <v>5430</v>
      </c>
      <c r="B31" s="485" t="s">
        <v>362</v>
      </c>
      <c r="C31" s="390">
        <v>961123.91</v>
      </c>
      <c r="D31" s="390">
        <v>97223.13</v>
      </c>
      <c r="E31" s="388"/>
      <c r="F31" s="390">
        <v>0</v>
      </c>
      <c r="G31" s="390">
        <v>-2883.75</v>
      </c>
      <c r="H31" s="390">
        <v>2776.45</v>
      </c>
      <c r="I31" s="390">
        <v>0</v>
      </c>
      <c r="J31" s="390">
        <v>23189.25</v>
      </c>
      <c r="K31" s="390">
        <v>756.8</v>
      </c>
      <c r="L31" s="390">
        <v>94155.8</v>
      </c>
      <c r="M31" s="331">
        <f t="shared" si="0"/>
        <v>1176341.5900000001</v>
      </c>
      <c r="N31" s="394">
        <v>6870.3</v>
      </c>
      <c r="O31" s="394">
        <v>0</v>
      </c>
      <c r="P31" s="394">
        <v>61825.5</v>
      </c>
      <c r="Q31" s="394">
        <v>0</v>
      </c>
      <c r="R31" s="394">
        <v>21966.95</v>
      </c>
      <c r="S31" s="394"/>
      <c r="T31" s="394"/>
      <c r="U31" s="394">
        <v>3360</v>
      </c>
      <c r="V31" s="394"/>
      <c r="W31" s="394"/>
      <c r="X31" s="379">
        <v>-12.87</v>
      </c>
      <c r="Y31" s="460">
        <f t="shared" si="1"/>
        <v>1270351.47</v>
      </c>
      <c r="Z31" s="395"/>
      <c r="AA31" s="395"/>
      <c r="AB31" s="395">
        <v>55209.95</v>
      </c>
      <c r="AC31" s="395"/>
      <c r="AD31" s="395">
        <v>44024.800000000003</v>
      </c>
      <c r="AE31" s="395"/>
      <c r="AF31" s="395"/>
      <c r="AG31" s="395"/>
      <c r="AH31" s="395"/>
      <c r="AI31" s="395"/>
      <c r="AJ31" s="395"/>
      <c r="AK31" s="395"/>
      <c r="AL31" s="452"/>
      <c r="AM31" s="460">
        <f t="shared" si="2"/>
        <v>99234.75</v>
      </c>
      <c r="AN31" s="395">
        <v>77.5</v>
      </c>
      <c r="AO31" s="398">
        <v>481</v>
      </c>
      <c r="AP31" s="455">
        <v>-25464.82</v>
      </c>
      <c r="AQ31" s="465"/>
      <c r="AR31" s="465">
        <v>-108.97</v>
      </c>
      <c r="AS31" s="470">
        <v>1</v>
      </c>
      <c r="AT31" s="516"/>
      <c r="AU31" s="516"/>
      <c r="AV31" s="516"/>
      <c r="AW31" s="516"/>
      <c r="AX31" s="516"/>
      <c r="AY31" s="516"/>
      <c r="AZ31" s="522"/>
      <c r="BA31" s="522"/>
      <c r="BB31" s="522"/>
      <c r="BC31" s="522"/>
      <c r="BD31" s="522"/>
      <c r="BE31" s="522"/>
      <c r="BF31" s="522"/>
      <c r="BG31" s="522"/>
    </row>
    <row r="32" spans="1:59" x14ac:dyDescent="0.25">
      <c r="A32" s="338">
        <v>5431</v>
      </c>
      <c r="B32" s="485" t="s">
        <v>363</v>
      </c>
      <c r="C32" s="390">
        <v>562913.55000000005</v>
      </c>
      <c r="D32" s="390">
        <v>51730.8</v>
      </c>
      <c r="E32" s="388"/>
      <c r="F32" s="390">
        <v>0</v>
      </c>
      <c r="G32" s="390">
        <v>877.6</v>
      </c>
      <c r="H32" s="390">
        <v>226.85</v>
      </c>
      <c r="I32" s="390">
        <v>0</v>
      </c>
      <c r="J32" s="390">
        <v>25776.17</v>
      </c>
      <c r="K32" s="390">
        <v>283.85000000000002</v>
      </c>
      <c r="L32" s="390">
        <v>51837.3</v>
      </c>
      <c r="M32" s="331">
        <f t="shared" si="0"/>
        <v>693646.12000000011</v>
      </c>
      <c r="N32" s="394">
        <v>178.1</v>
      </c>
      <c r="O32" s="394">
        <v>66740.100000000006</v>
      </c>
      <c r="P32" s="394">
        <v>38146.949999999997</v>
      </c>
      <c r="Q32" s="394">
        <v>77.349999999999994</v>
      </c>
      <c r="R32" s="394">
        <v>68319.649999999994</v>
      </c>
      <c r="S32" s="394"/>
      <c r="T32" s="394">
        <v>130</v>
      </c>
      <c r="U32" s="394">
        <v>2200</v>
      </c>
      <c r="V32" s="394"/>
      <c r="W32" s="394"/>
      <c r="X32" s="379">
        <v>132.47999999999999</v>
      </c>
      <c r="Y32" s="460">
        <f t="shared" si="1"/>
        <v>869570.75</v>
      </c>
      <c r="Z32" s="395">
        <v>20053.400000000001</v>
      </c>
      <c r="AA32" s="395"/>
      <c r="AB32" s="395">
        <v>102150</v>
      </c>
      <c r="AC32" s="395"/>
      <c r="AD32" s="395">
        <v>21942.35</v>
      </c>
      <c r="AE32" s="395">
        <v>890.4</v>
      </c>
      <c r="AF32" s="395"/>
      <c r="AG32" s="395"/>
      <c r="AH32" s="395"/>
      <c r="AI32" s="395"/>
      <c r="AJ32" s="395"/>
      <c r="AK32" s="395"/>
      <c r="AL32" s="452"/>
      <c r="AM32" s="460">
        <f t="shared" si="2"/>
        <v>145036.15</v>
      </c>
      <c r="AN32" s="395">
        <v>74</v>
      </c>
      <c r="AO32" s="398">
        <v>330</v>
      </c>
      <c r="AP32" s="455">
        <v>-790.65</v>
      </c>
      <c r="AQ32" s="465"/>
      <c r="AR32" s="465">
        <v>-2388.17</v>
      </c>
      <c r="AS32" s="470">
        <v>1</v>
      </c>
      <c r="AT32" s="516"/>
      <c r="AU32" s="516"/>
      <c r="AV32" s="516"/>
      <c r="AW32" s="516"/>
      <c r="AX32" s="516"/>
      <c r="AY32" s="516"/>
      <c r="AZ32" s="522"/>
      <c r="BA32" s="522"/>
      <c r="BB32" s="522"/>
      <c r="BC32" s="522"/>
      <c r="BD32" s="522"/>
      <c r="BE32" s="522"/>
      <c r="BF32" s="522"/>
      <c r="BG32" s="522"/>
    </row>
    <row r="33" spans="1:59" x14ac:dyDescent="0.25">
      <c r="A33" s="338">
        <v>5432</v>
      </c>
      <c r="B33" s="485" t="s">
        <v>364</v>
      </c>
      <c r="C33" s="390">
        <v>1022163.94</v>
      </c>
      <c r="D33" s="390">
        <v>97460.85</v>
      </c>
      <c r="E33" s="388"/>
      <c r="F33" s="390">
        <v>0</v>
      </c>
      <c r="G33" s="390">
        <v>2782.85</v>
      </c>
      <c r="H33" s="390">
        <v>123</v>
      </c>
      <c r="I33" s="390">
        <v>0</v>
      </c>
      <c r="J33" s="390">
        <v>39753.660000000003</v>
      </c>
      <c r="K33" s="390">
        <v>5497.3</v>
      </c>
      <c r="L33" s="390">
        <v>95275.5</v>
      </c>
      <c r="M33" s="331">
        <f t="shared" si="0"/>
        <v>1263057.1000000001</v>
      </c>
      <c r="N33" s="394">
        <v>17115.900000000001</v>
      </c>
      <c r="O33" s="394">
        <v>13433.1</v>
      </c>
      <c r="P33" s="394">
        <v>43749.4</v>
      </c>
      <c r="Q33" s="394">
        <v>0</v>
      </c>
      <c r="R33" s="394">
        <v>53098.65</v>
      </c>
      <c r="S33" s="394"/>
      <c r="T33" s="394"/>
      <c r="U33" s="394">
        <v>4175</v>
      </c>
      <c r="V33" s="394"/>
      <c r="W33" s="394"/>
      <c r="X33" s="379">
        <v>348.55</v>
      </c>
      <c r="Y33" s="460">
        <f t="shared" si="1"/>
        <v>1394977.7</v>
      </c>
      <c r="Z33" s="395">
        <v>28029.25</v>
      </c>
      <c r="AA33" s="395"/>
      <c r="AB33" s="395">
        <v>76736.3</v>
      </c>
      <c r="AC33" s="395"/>
      <c r="AD33" s="395">
        <v>48295</v>
      </c>
      <c r="AE33" s="395">
        <v>10152</v>
      </c>
      <c r="AF33" s="395"/>
      <c r="AG33" s="395"/>
      <c r="AH33" s="395"/>
      <c r="AI33" s="395">
        <v>10005.799999999999</v>
      </c>
      <c r="AJ33" s="395"/>
      <c r="AK33" s="395"/>
      <c r="AL33" s="452"/>
      <c r="AM33" s="460">
        <f t="shared" si="2"/>
        <v>173218.34999999998</v>
      </c>
      <c r="AN33" s="395">
        <v>75</v>
      </c>
      <c r="AO33" s="398">
        <v>523</v>
      </c>
      <c r="AP33" s="455">
        <v>-31192.400000000001</v>
      </c>
      <c r="AQ33" s="465"/>
      <c r="AR33" s="465">
        <v>0</v>
      </c>
      <c r="AS33" s="470">
        <v>1</v>
      </c>
      <c r="AT33" s="516"/>
      <c r="AU33" s="516"/>
      <c r="AV33" s="516"/>
      <c r="AW33" s="516"/>
      <c r="AX33" s="516"/>
      <c r="AY33" s="516"/>
      <c r="AZ33" s="522"/>
      <c r="BA33" s="522"/>
      <c r="BB33" s="522"/>
      <c r="BC33" s="522"/>
      <c r="BD33" s="522"/>
      <c r="BE33" s="522"/>
      <c r="BF33" s="522"/>
      <c r="BG33" s="522"/>
    </row>
    <row r="34" spans="1:59" x14ac:dyDescent="0.25">
      <c r="A34" s="338">
        <v>5434</v>
      </c>
      <c r="B34" s="485" t="s">
        <v>365</v>
      </c>
      <c r="C34" s="390">
        <v>2601347.3199999998</v>
      </c>
      <c r="D34" s="390">
        <v>0</v>
      </c>
      <c r="E34" s="388"/>
      <c r="F34" s="390">
        <v>0</v>
      </c>
      <c r="G34" s="390">
        <v>13483.25</v>
      </c>
      <c r="H34" s="390">
        <v>3251.85</v>
      </c>
      <c r="I34" s="390">
        <v>0</v>
      </c>
      <c r="J34" s="390">
        <v>30028.28</v>
      </c>
      <c r="K34" s="390">
        <v>2850.7</v>
      </c>
      <c r="L34" s="390">
        <v>281498.65000000002</v>
      </c>
      <c r="M34" s="331">
        <f t="shared" si="0"/>
        <v>2932460.05</v>
      </c>
      <c r="N34" s="394">
        <v>27638.1</v>
      </c>
      <c r="O34" s="394">
        <v>16832.8</v>
      </c>
      <c r="P34" s="394">
        <v>94465.05</v>
      </c>
      <c r="Q34" s="394">
        <v>601.76</v>
      </c>
      <c r="R34" s="394">
        <v>102197.45</v>
      </c>
      <c r="S34" s="394">
        <v>761.1</v>
      </c>
      <c r="T34" s="394"/>
      <c r="U34" s="394">
        <v>10040</v>
      </c>
      <c r="V34" s="394"/>
      <c r="W34" s="394"/>
      <c r="X34" s="379">
        <v>2007.32</v>
      </c>
      <c r="Y34" s="460">
        <f t="shared" si="1"/>
        <v>3187003.6299999994</v>
      </c>
      <c r="Z34" s="395"/>
      <c r="AA34" s="395"/>
      <c r="AB34" s="395">
        <v>110487.5</v>
      </c>
      <c r="AC34" s="395"/>
      <c r="AD34" s="395">
        <v>99627.45</v>
      </c>
      <c r="AE34" s="395"/>
      <c r="AF34" s="395"/>
      <c r="AG34" s="395"/>
      <c r="AH34" s="395">
        <v>10723.05</v>
      </c>
      <c r="AI34" s="395"/>
      <c r="AJ34" s="395"/>
      <c r="AK34" s="395"/>
      <c r="AL34" s="452"/>
      <c r="AM34" s="460">
        <f t="shared" si="2"/>
        <v>220838</v>
      </c>
      <c r="AN34" s="395">
        <v>69.5</v>
      </c>
      <c r="AO34" s="398">
        <v>1074</v>
      </c>
      <c r="AP34" s="455">
        <v>-52776.88</v>
      </c>
      <c r="AQ34" s="465"/>
      <c r="AR34" s="465">
        <v>0</v>
      </c>
      <c r="AS34" s="470">
        <v>1.2</v>
      </c>
      <c r="AT34" s="516"/>
      <c r="AU34" s="516"/>
      <c r="AV34" s="516"/>
      <c r="AW34" s="516"/>
      <c r="AX34" s="516"/>
      <c r="AY34" s="516"/>
      <c r="AZ34" s="522"/>
      <c r="BA34" s="522"/>
      <c r="BB34" s="522"/>
      <c r="BC34" s="522"/>
      <c r="BD34" s="522"/>
      <c r="BE34" s="522"/>
      <c r="BF34" s="522"/>
      <c r="BG34" s="522"/>
    </row>
    <row r="35" spans="1:59" x14ac:dyDescent="0.25">
      <c r="A35" s="338">
        <v>5435</v>
      </c>
      <c r="B35" s="485" t="s">
        <v>342</v>
      </c>
      <c r="C35" s="390">
        <v>1505496.82</v>
      </c>
      <c r="D35" s="390">
        <v>195673.15</v>
      </c>
      <c r="E35" s="388"/>
      <c r="F35" s="390">
        <v>0</v>
      </c>
      <c r="G35" s="390">
        <v>26748.95</v>
      </c>
      <c r="H35" s="390">
        <v>186.2</v>
      </c>
      <c r="I35" s="390">
        <v>0</v>
      </c>
      <c r="J35" s="390">
        <v>-8020.53</v>
      </c>
      <c r="K35" s="390">
        <v>0</v>
      </c>
      <c r="L35" s="390">
        <v>125868.9</v>
      </c>
      <c r="M35" s="331">
        <f t="shared" si="0"/>
        <v>1845953.4899999998</v>
      </c>
      <c r="N35" s="394">
        <v>18525.05</v>
      </c>
      <c r="O35" s="394">
        <v>0</v>
      </c>
      <c r="P35" s="394">
        <v>87831.55</v>
      </c>
      <c r="Q35" s="394">
        <v>2137.23</v>
      </c>
      <c r="R35" s="394">
        <v>40476.35</v>
      </c>
      <c r="S35" s="394"/>
      <c r="T35" s="394">
        <v>120</v>
      </c>
      <c r="U35" s="394">
        <v>5040</v>
      </c>
      <c r="V35" s="394"/>
      <c r="W35" s="394"/>
      <c r="X35" s="379">
        <v>3230.79</v>
      </c>
      <c r="Y35" s="460">
        <f t="shared" si="1"/>
        <v>2003314.46</v>
      </c>
      <c r="Z35" s="395">
        <v>1543.6</v>
      </c>
      <c r="AA35" s="395"/>
      <c r="AB35" s="395">
        <v>88283.94</v>
      </c>
      <c r="AC35" s="395"/>
      <c r="AD35" s="395">
        <v>57100</v>
      </c>
      <c r="AE35" s="395">
        <v>6615.45</v>
      </c>
      <c r="AF35" s="395"/>
      <c r="AG35" s="395"/>
      <c r="AH35" s="395"/>
      <c r="AI35" s="395">
        <v>11739</v>
      </c>
      <c r="AJ35" s="395"/>
      <c r="AK35" s="395"/>
      <c r="AL35" s="452"/>
      <c r="AM35" s="460">
        <f t="shared" si="2"/>
        <v>165281.99000000002</v>
      </c>
      <c r="AN35" s="395">
        <v>69</v>
      </c>
      <c r="AO35" s="398">
        <v>683</v>
      </c>
      <c r="AP35" s="455">
        <v>-33132.080000000002</v>
      </c>
      <c r="AQ35" s="465"/>
      <c r="AR35" s="465">
        <v>-280.23</v>
      </c>
      <c r="AS35" s="470">
        <v>1</v>
      </c>
      <c r="AT35" s="516"/>
      <c r="AU35" s="516"/>
      <c r="AV35" s="516"/>
      <c r="AW35" s="516"/>
      <c r="AX35" s="516"/>
      <c r="AY35" s="516"/>
      <c r="AZ35" s="522"/>
      <c r="BA35" s="522"/>
      <c r="BB35" s="522"/>
      <c r="BC35" s="522"/>
      <c r="BD35" s="522"/>
      <c r="BE35" s="522"/>
      <c r="BF35" s="522"/>
      <c r="BG35" s="522"/>
    </row>
    <row r="36" spans="1:59" x14ac:dyDescent="0.25">
      <c r="A36" s="338">
        <v>5436</v>
      </c>
      <c r="B36" s="485" t="s">
        <v>343</v>
      </c>
      <c r="C36" s="390">
        <v>1187247.43</v>
      </c>
      <c r="D36" s="390">
        <v>72432.31</v>
      </c>
      <c r="E36" s="388"/>
      <c r="F36" s="390">
        <v>0</v>
      </c>
      <c r="G36" s="390">
        <v>7340.35</v>
      </c>
      <c r="H36" s="390">
        <v>-99.85</v>
      </c>
      <c r="I36" s="390">
        <v>0</v>
      </c>
      <c r="J36" s="390">
        <v>-2382.0300000000002</v>
      </c>
      <c r="K36" s="390">
        <v>0</v>
      </c>
      <c r="L36" s="390">
        <v>69876.95</v>
      </c>
      <c r="M36" s="331">
        <f t="shared" si="0"/>
        <v>1334415.1599999999</v>
      </c>
      <c r="N36" s="394">
        <v>171.1</v>
      </c>
      <c r="O36" s="394">
        <v>8820.4</v>
      </c>
      <c r="P36" s="394">
        <v>51717.1</v>
      </c>
      <c r="Q36" s="394">
        <v>5914.13</v>
      </c>
      <c r="R36" s="394">
        <v>1182.3</v>
      </c>
      <c r="S36" s="394"/>
      <c r="T36" s="394"/>
      <c r="U36" s="394">
        <v>3268.75</v>
      </c>
      <c r="V36" s="394"/>
      <c r="W36" s="394"/>
      <c r="X36" s="379">
        <v>868.48</v>
      </c>
      <c r="Y36" s="460">
        <f t="shared" si="1"/>
        <v>1406357.42</v>
      </c>
      <c r="Z36" s="395">
        <v>7872</v>
      </c>
      <c r="AA36" s="395"/>
      <c r="AB36" s="395">
        <v>40630</v>
      </c>
      <c r="AC36" s="395"/>
      <c r="AD36" s="395">
        <v>39490</v>
      </c>
      <c r="AE36" s="395">
        <v>7872</v>
      </c>
      <c r="AF36" s="395"/>
      <c r="AG36" s="395"/>
      <c r="AH36" s="395"/>
      <c r="AI36" s="395"/>
      <c r="AJ36" s="395"/>
      <c r="AK36" s="395"/>
      <c r="AL36" s="452"/>
      <c r="AM36" s="460">
        <f t="shared" si="2"/>
        <v>95864</v>
      </c>
      <c r="AN36" s="395">
        <v>81</v>
      </c>
      <c r="AO36" s="398">
        <v>461</v>
      </c>
      <c r="AP36" s="455">
        <v>-702</v>
      </c>
      <c r="AQ36" s="465"/>
      <c r="AR36" s="465">
        <v>-758.29</v>
      </c>
      <c r="AS36" s="470">
        <v>0.8</v>
      </c>
      <c r="AT36" s="516"/>
      <c r="AU36" s="516"/>
      <c r="AV36" s="516"/>
      <c r="AW36" s="516"/>
      <c r="AX36" s="516"/>
      <c r="AY36" s="516"/>
      <c r="AZ36" s="522"/>
      <c r="BA36" s="522"/>
      <c r="BB36" s="522"/>
      <c r="BC36" s="522"/>
      <c r="BD36" s="522"/>
      <c r="BE36" s="522"/>
      <c r="BF36" s="522"/>
      <c r="BG36" s="522"/>
    </row>
    <row r="37" spans="1:59" x14ac:dyDescent="0.25">
      <c r="A37" s="338">
        <v>5437</v>
      </c>
      <c r="B37" s="485" t="s">
        <v>344</v>
      </c>
      <c r="C37" s="390">
        <v>937254.5</v>
      </c>
      <c r="D37" s="390">
        <v>85412.5</v>
      </c>
      <c r="E37" s="388"/>
      <c r="F37" s="390">
        <v>0</v>
      </c>
      <c r="G37" s="390">
        <v>48932.800000000003</v>
      </c>
      <c r="H37" s="390">
        <v>446.1</v>
      </c>
      <c r="I37" s="390">
        <v>0</v>
      </c>
      <c r="J37" s="390">
        <v>-63166.080000000002</v>
      </c>
      <c r="K37" s="390">
        <v>746.35</v>
      </c>
      <c r="L37" s="390">
        <v>69011.05</v>
      </c>
      <c r="M37" s="331">
        <f t="shared" si="0"/>
        <v>1078637.2200000002</v>
      </c>
      <c r="N37" s="394">
        <v>0</v>
      </c>
      <c r="O37" s="394">
        <v>0</v>
      </c>
      <c r="P37" s="394">
        <v>65452.7</v>
      </c>
      <c r="Q37" s="394">
        <v>0</v>
      </c>
      <c r="R37" s="394">
        <v>42105.9</v>
      </c>
      <c r="S37" s="394"/>
      <c r="T37" s="394"/>
      <c r="U37" s="394">
        <v>4125</v>
      </c>
      <c r="V37" s="394"/>
      <c r="W37" s="394"/>
      <c r="X37" s="379">
        <v>5922.85</v>
      </c>
      <c r="Y37" s="460">
        <f t="shared" si="1"/>
        <v>1196243.6700000002</v>
      </c>
      <c r="Z37" s="395">
        <v>2157.98</v>
      </c>
      <c r="AA37" s="395"/>
      <c r="AB37" s="395">
        <v>54646.8</v>
      </c>
      <c r="AC37" s="395"/>
      <c r="AD37" s="395">
        <v>40211.199999999997</v>
      </c>
      <c r="AE37" s="395">
        <v>1838</v>
      </c>
      <c r="AF37" s="395"/>
      <c r="AG37" s="395"/>
      <c r="AH37" s="395"/>
      <c r="AI37" s="395"/>
      <c r="AJ37" s="395"/>
      <c r="AK37" s="395"/>
      <c r="AL37" s="452"/>
      <c r="AM37" s="460">
        <f t="shared" si="2"/>
        <v>98853.98000000001</v>
      </c>
      <c r="AN37" s="395">
        <v>80</v>
      </c>
      <c r="AO37" s="398">
        <v>423</v>
      </c>
      <c r="AP37" s="455">
        <v>-12796.07</v>
      </c>
      <c r="AQ37" s="465"/>
      <c r="AR37" s="465">
        <v>-411.53</v>
      </c>
      <c r="AS37" s="470">
        <v>1</v>
      </c>
      <c r="AT37" s="516"/>
      <c r="AU37" s="516"/>
      <c r="AV37" s="516"/>
      <c r="AW37" s="516"/>
      <c r="AX37" s="516"/>
      <c r="AY37" s="516"/>
      <c r="AZ37" s="522"/>
      <c r="BA37" s="522"/>
      <c r="BB37" s="522"/>
      <c r="BC37" s="522"/>
      <c r="BD37" s="522"/>
      <c r="BE37" s="522"/>
      <c r="BF37" s="522"/>
      <c r="BG37" s="522"/>
    </row>
    <row r="38" spans="1:59" x14ac:dyDescent="0.25">
      <c r="A38" s="338">
        <v>5451</v>
      </c>
      <c r="B38" s="485" t="s">
        <v>345</v>
      </c>
      <c r="C38" s="390">
        <v>5023992.76</v>
      </c>
      <c r="D38" s="390">
        <v>539463.47</v>
      </c>
      <c r="E38" s="388"/>
      <c r="F38" s="390">
        <v>0</v>
      </c>
      <c r="G38" s="390">
        <v>1500278.3</v>
      </c>
      <c r="H38" s="390">
        <v>48890.400000000001</v>
      </c>
      <c r="I38" s="390">
        <v>0</v>
      </c>
      <c r="J38" s="390">
        <v>376921.76</v>
      </c>
      <c r="K38" s="390">
        <v>171098.05</v>
      </c>
      <c r="L38" s="390">
        <v>1466170.35</v>
      </c>
      <c r="M38" s="331">
        <f t="shared" si="0"/>
        <v>9126815.0899999999</v>
      </c>
      <c r="N38" s="394">
        <v>537089.1</v>
      </c>
      <c r="O38" s="394">
        <v>107992.3</v>
      </c>
      <c r="P38" s="394">
        <v>379904.45</v>
      </c>
      <c r="Q38" s="394">
        <v>101555.19</v>
      </c>
      <c r="R38" s="394">
        <v>134929.70000000001</v>
      </c>
      <c r="S38" s="394">
        <v>36491.449999999997</v>
      </c>
      <c r="T38" s="394">
        <v>200</v>
      </c>
      <c r="U38" s="394">
        <v>25300</v>
      </c>
      <c r="V38" s="394"/>
      <c r="W38" s="394"/>
      <c r="X38" s="379">
        <v>185817.96</v>
      </c>
      <c r="Y38" s="460">
        <f t="shared" si="1"/>
        <v>10636095.239999998</v>
      </c>
      <c r="Z38" s="395">
        <v>153016.4</v>
      </c>
      <c r="AA38" s="395">
        <v>2835</v>
      </c>
      <c r="AB38" s="395">
        <v>974559.6</v>
      </c>
      <c r="AC38" s="395"/>
      <c r="AD38" s="395">
        <v>504435.25</v>
      </c>
      <c r="AE38" s="395">
        <v>85618</v>
      </c>
      <c r="AF38" s="395">
        <v>-10789.45</v>
      </c>
      <c r="AG38" s="395"/>
      <c r="AH38" s="395">
        <v>309695.3</v>
      </c>
      <c r="AI38" s="395"/>
      <c r="AJ38" s="395"/>
      <c r="AK38" s="395"/>
      <c r="AL38" s="452"/>
      <c r="AM38" s="460">
        <f t="shared" si="2"/>
        <v>2019370.1</v>
      </c>
      <c r="AN38" s="395">
        <v>66.5</v>
      </c>
      <c r="AO38" s="398">
        <v>4482</v>
      </c>
      <c r="AP38" s="455">
        <v>-312503.08</v>
      </c>
      <c r="AQ38" s="465"/>
      <c r="AR38" s="465">
        <v>-1157.72</v>
      </c>
      <c r="AS38" s="470">
        <v>1.5</v>
      </c>
      <c r="AT38" s="516"/>
      <c r="AU38" s="516"/>
      <c r="AV38" s="516"/>
      <c r="AW38" s="516"/>
      <c r="AX38" s="516"/>
      <c r="AY38" s="516"/>
      <c r="AZ38" s="522"/>
      <c r="BA38" s="522"/>
      <c r="BB38" s="522"/>
      <c r="BC38" s="522"/>
      <c r="BD38" s="522"/>
      <c r="BE38" s="522"/>
      <c r="BF38" s="522"/>
      <c r="BG38" s="522"/>
    </row>
    <row r="39" spans="1:59" x14ac:dyDescent="0.25">
      <c r="A39" s="338">
        <v>5456</v>
      </c>
      <c r="B39" s="485" t="s">
        <v>346</v>
      </c>
      <c r="C39" s="390">
        <v>3072603.9</v>
      </c>
      <c r="D39" s="390">
        <v>327297.08</v>
      </c>
      <c r="E39" s="388"/>
      <c r="F39" s="390">
        <v>0</v>
      </c>
      <c r="G39" s="390">
        <v>37844.6</v>
      </c>
      <c r="H39" s="390">
        <v>1657.9</v>
      </c>
      <c r="I39" s="390">
        <v>0</v>
      </c>
      <c r="J39" s="390">
        <v>34218.730000000003</v>
      </c>
      <c r="K39" s="390">
        <v>-7000.35</v>
      </c>
      <c r="L39" s="390">
        <v>511943.6</v>
      </c>
      <c r="M39" s="331">
        <f t="shared" si="0"/>
        <v>3978565.46</v>
      </c>
      <c r="N39" s="394">
        <v>5787.35</v>
      </c>
      <c r="O39" s="394">
        <v>34794.400000000001</v>
      </c>
      <c r="P39" s="394">
        <v>234467.75</v>
      </c>
      <c r="Q39" s="394">
        <v>42.93</v>
      </c>
      <c r="R39" s="394">
        <v>92485.75</v>
      </c>
      <c r="S39" s="394"/>
      <c r="T39" s="394"/>
      <c r="U39" s="394">
        <v>15850</v>
      </c>
      <c r="V39" s="394"/>
      <c r="W39" s="394"/>
      <c r="X39" s="379">
        <v>4738.2</v>
      </c>
      <c r="Y39" s="460">
        <f t="shared" si="1"/>
        <v>4366731.84</v>
      </c>
      <c r="Z39" s="395">
        <v>58262.95</v>
      </c>
      <c r="AA39" s="395"/>
      <c r="AB39" s="395">
        <v>155706.5</v>
      </c>
      <c r="AC39" s="395"/>
      <c r="AD39" s="395">
        <v>245844.77</v>
      </c>
      <c r="AE39" s="395">
        <v>23499.75</v>
      </c>
      <c r="AF39" s="395"/>
      <c r="AG39" s="395"/>
      <c r="AH39" s="395">
        <v>121345.1</v>
      </c>
      <c r="AI39" s="395"/>
      <c r="AJ39" s="395"/>
      <c r="AK39" s="395"/>
      <c r="AL39" s="452"/>
      <c r="AM39" s="460">
        <f t="shared" si="2"/>
        <v>604659.06999999995</v>
      </c>
      <c r="AN39" s="395">
        <v>59</v>
      </c>
      <c r="AO39" s="398">
        <v>1780</v>
      </c>
      <c r="AP39" s="455">
        <v>-22900.59</v>
      </c>
      <c r="AQ39" s="465"/>
      <c r="AR39" s="465">
        <v>-409.07</v>
      </c>
      <c r="AS39" s="470">
        <v>1.5</v>
      </c>
      <c r="AT39" s="516"/>
      <c r="AU39" s="516"/>
      <c r="AV39" s="516"/>
      <c r="AW39" s="516"/>
      <c r="AX39" s="516"/>
      <c r="AY39" s="516"/>
      <c r="AZ39" s="522"/>
      <c r="BA39" s="522"/>
      <c r="BB39" s="522"/>
      <c r="BC39" s="522"/>
      <c r="BD39" s="522"/>
      <c r="BE39" s="522"/>
      <c r="BF39" s="522"/>
      <c r="BG39" s="522"/>
    </row>
    <row r="40" spans="1:59" x14ac:dyDescent="0.25">
      <c r="A40" s="338">
        <v>5458</v>
      </c>
      <c r="B40" s="485" t="s">
        <v>347</v>
      </c>
      <c r="C40" s="390">
        <v>1623427.51</v>
      </c>
      <c r="D40" s="390">
        <v>237541.87</v>
      </c>
      <c r="E40" s="388"/>
      <c r="F40" s="390">
        <v>0</v>
      </c>
      <c r="G40" s="390">
        <v>12767.8</v>
      </c>
      <c r="H40" s="390">
        <v>1829.35</v>
      </c>
      <c r="I40" s="390">
        <v>0</v>
      </c>
      <c r="J40" s="390">
        <v>49454.2</v>
      </c>
      <c r="K40" s="390">
        <v>22318.75</v>
      </c>
      <c r="L40" s="390">
        <v>306000.45</v>
      </c>
      <c r="M40" s="331">
        <f t="shared" si="0"/>
        <v>2253339.9300000002</v>
      </c>
      <c r="N40" s="394">
        <v>3878.8</v>
      </c>
      <c r="O40" s="394">
        <v>12968.6</v>
      </c>
      <c r="P40" s="394">
        <v>89368.4</v>
      </c>
      <c r="Q40" s="394">
        <v>30227.78</v>
      </c>
      <c r="R40" s="394">
        <v>60517.3</v>
      </c>
      <c r="S40" s="394"/>
      <c r="T40" s="394"/>
      <c r="U40" s="394">
        <v>10700</v>
      </c>
      <c r="V40" s="394"/>
      <c r="W40" s="394"/>
      <c r="X40" s="379">
        <v>1750.88</v>
      </c>
      <c r="Y40" s="460">
        <f t="shared" si="1"/>
        <v>2462751.6899999995</v>
      </c>
      <c r="Z40" s="395">
        <v>2144.9499999999998</v>
      </c>
      <c r="AA40" s="395">
        <v>2532.65</v>
      </c>
      <c r="AB40" s="395">
        <v>159376.95000000001</v>
      </c>
      <c r="AC40" s="395"/>
      <c r="AD40" s="395">
        <v>88033.75</v>
      </c>
      <c r="AE40" s="395">
        <v>2144.9499999999998</v>
      </c>
      <c r="AF40" s="395">
        <v>2532.65</v>
      </c>
      <c r="AG40" s="395"/>
      <c r="AH40" s="395">
        <v>29879.200000000001</v>
      </c>
      <c r="AI40" s="395">
        <v>25199.35</v>
      </c>
      <c r="AJ40" s="395"/>
      <c r="AK40" s="395"/>
      <c r="AL40" s="452"/>
      <c r="AM40" s="460">
        <f t="shared" si="2"/>
        <v>311844.45</v>
      </c>
      <c r="AN40" s="395">
        <v>66</v>
      </c>
      <c r="AO40" s="398">
        <v>881</v>
      </c>
      <c r="AP40" s="455">
        <v>-57688.77</v>
      </c>
      <c r="AQ40" s="465"/>
      <c r="AR40" s="465">
        <v>-535</v>
      </c>
      <c r="AS40" s="470">
        <v>1.5</v>
      </c>
      <c r="AT40" s="516"/>
      <c r="AU40" s="516"/>
      <c r="AV40" s="516"/>
      <c r="AW40" s="516"/>
      <c r="AX40" s="516"/>
      <c r="AY40" s="516"/>
      <c r="AZ40" s="522"/>
      <c r="BA40" s="522"/>
      <c r="BB40" s="522"/>
      <c r="BC40" s="522"/>
      <c r="BD40" s="522"/>
      <c r="BE40" s="522"/>
      <c r="BF40" s="522"/>
      <c r="BG40" s="522"/>
    </row>
    <row r="41" spans="1:59" x14ac:dyDescent="0.25">
      <c r="A41" s="338">
        <v>5464</v>
      </c>
      <c r="B41" s="485" t="s">
        <v>428</v>
      </c>
      <c r="C41" s="390">
        <v>5639565.2400000002</v>
      </c>
      <c r="D41" s="390">
        <v>1086046.95</v>
      </c>
      <c r="E41" s="388"/>
      <c r="F41" s="390">
        <v>0</v>
      </c>
      <c r="G41" s="390">
        <v>37325.15</v>
      </c>
      <c r="H41" s="390">
        <v>8099.25</v>
      </c>
      <c r="I41" s="390">
        <v>0</v>
      </c>
      <c r="J41" s="390">
        <v>71492.95</v>
      </c>
      <c r="K41" s="390">
        <v>14232.3</v>
      </c>
      <c r="L41" s="390">
        <v>1024904.1</v>
      </c>
      <c r="M41" s="331">
        <f t="shared" si="0"/>
        <v>7881665.9400000004</v>
      </c>
      <c r="N41" s="394">
        <v>1564.15</v>
      </c>
      <c r="O41" s="394">
        <v>31224.799999999999</v>
      </c>
      <c r="P41" s="394">
        <v>305626.15000000002</v>
      </c>
      <c r="Q41" s="394">
        <v>9482.2800000000007</v>
      </c>
      <c r="R41" s="394">
        <v>127042.1</v>
      </c>
      <c r="S41" s="394">
        <v>575</v>
      </c>
      <c r="T41" s="394">
        <v>4239.55</v>
      </c>
      <c r="U41" s="394">
        <v>25100</v>
      </c>
      <c r="V41" s="394"/>
      <c r="W41" s="394"/>
      <c r="X41" s="379">
        <v>5448.52</v>
      </c>
      <c r="Y41" s="460">
        <f t="shared" si="1"/>
        <v>8391968.4900000002</v>
      </c>
      <c r="Z41" s="395">
        <v>190946.35</v>
      </c>
      <c r="AA41" s="395">
        <v>105480.55</v>
      </c>
      <c r="AB41" s="395">
        <v>451132.8</v>
      </c>
      <c r="AC41" s="395"/>
      <c r="AD41" s="395">
        <v>346407.79</v>
      </c>
      <c r="AE41" s="395">
        <v>168510.4</v>
      </c>
      <c r="AF41" s="395"/>
      <c r="AG41" s="395"/>
      <c r="AH41" s="395">
        <v>228237.5</v>
      </c>
      <c r="AI41" s="395"/>
      <c r="AJ41" s="395">
        <v>121179.15</v>
      </c>
      <c r="AK41" s="395"/>
      <c r="AL41" s="452"/>
      <c r="AM41" s="460">
        <f t="shared" si="2"/>
        <v>1611894.5399999998</v>
      </c>
      <c r="AN41" s="395">
        <v>67</v>
      </c>
      <c r="AO41" s="398">
        <v>3360</v>
      </c>
      <c r="AP41" s="455">
        <v>-75302.34</v>
      </c>
      <c r="AQ41" s="465"/>
      <c r="AR41" s="465">
        <v>-2639.33</v>
      </c>
      <c r="AS41" s="470">
        <v>1.5</v>
      </c>
      <c r="AT41" s="516"/>
      <c r="AU41" s="516"/>
      <c r="AV41" s="516"/>
      <c r="AW41" s="516"/>
      <c r="AX41" s="516"/>
      <c r="AY41" s="516"/>
      <c r="AZ41" s="522"/>
      <c r="BA41" s="522"/>
      <c r="BB41" s="522"/>
      <c r="BC41" s="522"/>
      <c r="BD41" s="522"/>
      <c r="BE41" s="522"/>
      <c r="BF41" s="522"/>
      <c r="BG41" s="522"/>
    </row>
    <row r="42" spans="1:59" x14ac:dyDescent="0.25">
      <c r="A42" s="338">
        <v>5471</v>
      </c>
      <c r="B42" s="485" t="s">
        <v>348</v>
      </c>
      <c r="C42" s="390">
        <v>1130154.1499999999</v>
      </c>
      <c r="D42" s="390">
        <v>108398.85</v>
      </c>
      <c r="E42" s="388"/>
      <c r="F42" s="390">
        <v>0</v>
      </c>
      <c r="G42" s="390">
        <v>14746.65</v>
      </c>
      <c r="H42" s="390">
        <v>1631.9</v>
      </c>
      <c r="I42" s="390">
        <v>0</v>
      </c>
      <c r="J42" s="390">
        <v>49518.400000000001</v>
      </c>
      <c r="K42" s="390">
        <v>4158.25</v>
      </c>
      <c r="L42" s="390">
        <v>118449.1</v>
      </c>
      <c r="M42" s="331">
        <f t="shared" si="0"/>
        <v>1427057.2999999998</v>
      </c>
      <c r="N42" s="394">
        <v>24383.75</v>
      </c>
      <c r="O42" s="394">
        <v>5068.6000000000004</v>
      </c>
      <c r="P42" s="394">
        <v>46619.8</v>
      </c>
      <c r="Q42" s="394">
        <v>0</v>
      </c>
      <c r="R42" s="394">
        <v>4257.8500000000004</v>
      </c>
      <c r="S42" s="394"/>
      <c r="T42" s="394"/>
      <c r="U42" s="394">
        <v>5100</v>
      </c>
      <c r="V42" s="394"/>
      <c r="W42" s="394"/>
      <c r="X42" s="379">
        <v>1964.56</v>
      </c>
      <c r="Y42" s="460">
        <f t="shared" si="1"/>
        <v>1514451.86</v>
      </c>
      <c r="Z42" s="395">
        <v>41262.5</v>
      </c>
      <c r="AA42" s="395"/>
      <c r="AB42" s="395">
        <v>99465.5</v>
      </c>
      <c r="AC42" s="395"/>
      <c r="AD42" s="395">
        <v>23261.4</v>
      </c>
      <c r="AE42" s="395">
        <v>14165.15</v>
      </c>
      <c r="AF42" s="395"/>
      <c r="AG42" s="395"/>
      <c r="AH42" s="395"/>
      <c r="AI42" s="395"/>
      <c r="AJ42" s="395"/>
      <c r="AK42" s="395"/>
      <c r="AL42" s="452"/>
      <c r="AM42" s="460">
        <f t="shared" si="2"/>
        <v>178154.55</v>
      </c>
      <c r="AN42" s="395">
        <v>70</v>
      </c>
      <c r="AO42" s="398">
        <v>636</v>
      </c>
      <c r="AP42" s="455">
        <v>-14777.53</v>
      </c>
      <c r="AQ42" s="465"/>
      <c r="AR42" s="465">
        <v>-435.55</v>
      </c>
      <c r="AS42" s="470">
        <v>0.9</v>
      </c>
      <c r="AT42" s="516"/>
      <c r="AU42" s="516"/>
      <c r="AV42" s="516"/>
      <c r="AW42" s="516"/>
      <c r="AX42" s="516"/>
      <c r="AY42" s="516"/>
      <c r="AZ42" s="522"/>
      <c r="BA42" s="522"/>
      <c r="BB42" s="522"/>
      <c r="BC42" s="522"/>
      <c r="BD42" s="522"/>
      <c r="BE42" s="522"/>
      <c r="BF42" s="522"/>
      <c r="BG42" s="522"/>
    </row>
    <row r="43" spans="1:59" x14ac:dyDescent="0.25">
      <c r="A43" s="338">
        <v>5472</v>
      </c>
      <c r="B43" s="485" t="s">
        <v>349</v>
      </c>
      <c r="C43" s="390">
        <v>1234639.1200000001</v>
      </c>
      <c r="D43" s="390">
        <v>111357.63</v>
      </c>
      <c r="E43" s="388"/>
      <c r="F43" s="390">
        <v>0</v>
      </c>
      <c r="G43" s="390">
        <v>14403.9</v>
      </c>
      <c r="H43" s="390">
        <v>26.9</v>
      </c>
      <c r="I43" s="390">
        <v>0</v>
      </c>
      <c r="J43" s="390">
        <v>25542.11</v>
      </c>
      <c r="K43" s="390">
        <v>640.25</v>
      </c>
      <c r="L43" s="390">
        <v>92037.65</v>
      </c>
      <c r="M43" s="331">
        <f t="shared" si="0"/>
        <v>1478647.5599999998</v>
      </c>
      <c r="N43" s="394">
        <v>0</v>
      </c>
      <c r="O43" s="394">
        <v>0</v>
      </c>
      <c r="P43" s="394">
        <v>112701.35</v>
      </c>
      <c r="Q43" s="394">
        <v>10497.55</v>
      </c>
      <c r="R43" s="394">
        <v>61656.800000000003</v>
      </c>
      <c r="S43" s="394"/>
      <c r="T43" s="394">
        <v>122.25</v>
      </c>
      <c r="U43" s="394">
        <v>2070</v>
      </c>
      <c r="V43" s="394"/>
      <c r="W43" s="394"/>
      <c r="X43" s="379">
        <v>1730.93</v>
      </c>
      <c r="Y43" s="460">
        <f t="shared" si="1"/>
        <v>1667426.44</v>
      </c>
      <c r="Z43" s="395">
        <v>55692</v>
      </c>
      <c r="AA43" s="395">
        <v>48137.1</v>
      </c>
      <c r="AB43" s="395"/>
      <c r="AC43" s="395">
        <v>61641.85</v>
      </c>
      <c r="AD43" s="395">
        <v>47370</v>
      </c>
      <c r="AE43" s="395">
        <v>55024</v>
      </c>
      <c r="AF43" s="395"/>
      <c r="AG43" s="395"/>
      <c r="AH43" s="395"/>
      <c r="AI43" s="395"/>
      <c r="AJ43" s="395"/>
      <c r="AK43" s="395"/>
      <c r="AL43" s="452"/>
      <c r="AM43" s="460">
        <f t="shared" si="2"/>
        <v>267864.95</v>
      </c>
      <c r="AN43" s="395">
        <v>72</v>
      </c>
      <c r="AO43" s="398">
        <v>490</v>
      </c>
      <c r="AP43" s="455">
        <v>-38254.06</v>
      </c>
      <c r="AQ43" s="465"/>
      <c r="AR43" s="465">
        <v>-2314.36</v>
      </c>
      <c r="AS43" s="470">
        <v>1</v>
      </c>
      <c r="AT43" s="516"/>
      <c r="AU43" s="516"/>
      <c r="AV43" s="516"/>
      <c r="AW43" s="516"/>
      <c r="AX43" s="516"/>
      <c r="AY43" s="516"/>
      <c r="AZ43" s="522"/>
      <c r="BA43" s="522"/>
      <c r="BB43" s="522"/>
      <c r="BC43" s="522"/>
      <c r="BD43" s="522"/>
      <c r="BE43" s="522"/>
      <c r="BF43" s="522"/>
      <c r="BG43" s="522"/>
    </row>
    <row r="44" spans="1:59" x14ac:dyDescent="0.25">
      <c r="A44" s="338">
        <v>5473</v>
      </c>
      <c r="B44" s="485" t="s">
        <v>209</v>
      </c>
      <c r="C44" s="390">
        <v>2091780.69</v>
      </c>
      <c r="D44" s="390">
        <v>247907.76</v>
      </c>
      <c r="E44" s="388"/>
      <c r="F44" s="390">
        <v>0</v>
      </c>
      <c r="G44" s="390">
        <v>25721.55</v>
      </c>
      <c r="H44" s="390">
        <v>683.65</v>
      </c>
      <c r="I44" s="390">
        <v>0</v>
      </c>
      <c r="J44" s="390">
        <v>15808.71</v>
      </c>
      <c r="K44" s="390">
        <v>6176.2</v>
      </c>
      <c r="L44" s="390">
        <v>186339.9</v>
      </c>
      <c r="M44" s="331">
        <f t="shared" si="0"/>
        <v>2574418.46</v>
      </c>
      <c r="N44" s="394">
        <v>5808.45</v>
      </c>
      <c r="O44" s="394">
        <v>0</v>
      </c>
      <c r="P44" s="394">
        <v>36017.35</v>
      </c>
      <c r="Q44" s="394">
        <v>7627.71</v>
      </c>
      <c r="R44" s="394">
        <v>57547.95</v>
      </c>
      <c r="S44" s="394"/>
      <c r="T44" s="394"/>
      <c r="U44" s="394">
        <v>4960</v>
      </c>
      <c r="V44" s="394"/>
      <c r="W44" s="394"/>
      <c r="X44" s="379">
        <v>3167.22</v>
      </c>
      <c r="Y44" s="460">
        <f t="shared" si="1"/>
        <v>2689547.1400000006</v>
      </c>
      <c r="Z44" s="395">
        <v>27254.78</v>
      </c>
      <c r="AA44" s="395"/>
      <c r="AB44" s="395">
        <v>151438.54999999999</v>
      </c>
      <c r="AC44" s="395"/>
      <c r="AD44" s="395">
        <v>108878.11</v>
      </c>
      <c r="AE44" s="395"/>
      <c r="AF44" s="395"/>
      <c r="AG44" s="395"/>
      <c r="AH44" s="395"/>
      <c r="AI44" s="395"/>
      <c r="AJ44" s="395"/>
      <c r="AK44" s="395"/>
      <c r="AL44" s="452"/>
      <c r="AM44" s="460">
        <f t="shared" si="2"/>
        <v>287571.44</v>
      </c>
      <c r="AN44" s="395">
        <v>67.5</v>
      </c>
      <c r="AO44" s="398">
        <v>999</v>
      </c>
      <c r="AP44" s="455">
        <v>-35099.97</v>
      </c>
      <c r="AQ44" s="465"/>
      <c r="AR44" s="465">
        <v>-291.43</v>
      </c>
      <c r="AS44" s="470">
        <v>1</v>
      </c>
      <c r="AT44" s="516"/>
      <c r="AU44" s="516"/>
      <c r="AV44" s="516"/>
      <c r="AW44" s="516"/>
      <c r="AX44" s="516"/>
      <c r="AY44" s="516"/>
      <c r="AZ44" s="522"/>
      <c r="BA44" s="522"/>
      <c r="BB44" s="522"/>
      <c r="BC44" s="522"/>
      <c r="BD44" s="522"/>
      <c r="BE44" s="522"/>
      <c r="BF44" s="522"/>
      <c r="BG44" s="522"/>
    </row>
    <row r="45" spans="1:59" x14ac:dyDescent="0.25">
      <c r="A45" s="338">
        <v>5474</v>
      </c>
      <c r="B45" s="485" t="s">
        <v>210</v>
      </c>
      <c r="C45" s="390">
        <v>818241.83</v>
      </c>
      <c r="D45" s="390">
        <v>83387.72</v>
      </c>
      <c r="E45" s="388"/>
      <c r="F45" s="390">
        <v>0</v>
      </c>
      <c r="G45" s="390">
        <v>2916.5</v>
      </c>
      <c r="H45" s="390">
        <v>143.65</v>
      </c>
      <c r="I45" s="390">
        <v>37654</v>
      </c>
      <c r="J45" s="390">
        <v>3514.83</v>
      </c>
      <c r="K45" s="390">
        <v>665</v>
      </c>
      <c r="L45" s="390">
        <v>85667.15</v>
      </c>
      <c r="M45" s="331">
        <f t="shared" si="0"/>
        <v>1032190.6799999999</v>
      </c>
      <c r="N45" s="394">
        <v>2422.9499999999998</v>
      </c>
      <c r="O45" s="394">
        <v>1548.3</v>
      </c>
      <c r="P45" s="394">
        <v>30913.15</v>
      </c>
      <c r="Q45" s="394">
        <v>0</v>
      </c>
      <c r="R45" s="394">
        <v>74635.199999999997</v>
      </c>
      <c r="S45" s="394"/>
      <c r="T45" s="394"/>
      <c r="U45" s="394">
        <v>1725</v>
      </c>
      <c r="V45" s="394"/>
      <c r="W45" s="394"/>
      <c r="X45" s="379">
        <v>367.06</v>
      </c>
      <c r="Y45" s="460">
        <f t="shared" si="1"/>
        <v>1143802.3399999999</v>
      </c>
      <c r="Z45" s="395">
        <v>62034</v>
      </c>
      <c r="AA45" s="395"/>
      <c r="AB45" s="395">
        <v>66590.2</v>
      </c>
      <c r="AC45" s="395"/>
      <c r="AD45" s="395">
        <v>34219.15</v>
      </c>
      <c r="AE45" s="395">
        <v>17724</v>
      </c>
      <c r="AF45" s="395"/>
      <c r="AG45" s="395"/>
      <c r="AH45" s="395"/>
      <c r="AI45" s="395"/>
      <c r="AJ45" s="395"/>
      <c r="AK45" s="395"/>
      <c r="AL45" s="452"/>
      <c r="AM45" s="460">
        <f t="shared" si="2"/>
        <v>180567.35</v>
      </c>
      <c r="AN45" s="395">
        <v>77</v>
      </c>
      <c r="AO45" s="398">
        <v>391</v>
      </c>
      <c r="AP45" s="455">
        <v>-3161.84</v>
      </c>
      <c r="AQ45" s="465"/>
      <c r="AR45" s="465">
        <v>-63.88</v>
      </c>
      <c r="AS45" s="470">
        <v>1.2</v>
      </c>
      <c r="AT45" s="516"/>
      <c r="AU45" s="516"/>
      <c r="AV45" s="516"/>
      <c r="AW45" s="516"/>
      <c r="AX45" s="516"/>
      <c r="AY45" s="516"/>
      <c r="AZ45" s="522"/>
      <c r="BA45" s="522"/>
      <c r="BB45" s="522"/>
      <c r="BC45" s="522"/>
      <c r="BD45" s="522"/>
      <c r="BE45" s="522"/>
      <c r="BF45" s="522"/>
      <c r="BG45" s="522"/>
    </row>
    <row r="46" spans="1:59" x14ac:dyDescent="0.25">
      <c r="A46" s="338">
        <v>5475</v>
      </c>
      <c r="B46" s="485" t="s">
        <v>371</v>
      </c>
      <c r="C46" s="390">
        <v>223447.6</v>
      </c>
      <c r="D46" s="390">
        <v>58009.88</v>
      </c>
      <c r="E46" s="388"/>
      <c r="F46" s="390">
        <v>0</v>
      </c>
      <c r="G46" s="390">
        <v>248.65</v>
      </c>
      <c r="H46" s="390">
        <v>180.4</v>
      </c>
      <c r="I46" s="390">
        <v>0</v>
      </c>
      <c r="J46" s="390">
        <v>3838.68</v>
      </c>
      <c r="K46" s="390">
        <v>0</v>
      </c>
      <c r="L46" s="390">
        <v>22788.3</v>
      </c>
      <c r="M46" s="331">
        <f t="shared" si="0"/>
        <v>308513.51</v>
      </c>
      <c r="N46" s="394">
        <v>0</v>
      </c>
      <c r="O46" s="394">
        <v>0</v>
      </c>
      <c r="P46" s="394">
        <v>22431.05</v>
      </c>
      <c r="Q46" s="394">
        <v>0</v>
      </c>
      <c r="R46" s="394">
        <v>1096.75</v>
      </c>
      <c r="S46" s="394"/>
      <c r="T46" s="394"/>
      <c r="U46" s="394">
        <v>450</v>
      </c>
      <c r="V46" s="394"/>
      <c r="W46" s="394"/>
      <c r="X46" s="379">
        <v>51.46</v>
      </c>
      <c r="Y46" s="460">
        <f t="shared" si="1"/>
        <v>332542.77</v>
      </c>
      <c r="Z46" s="395"/>
      <c r="AA46" s="395"/>
      <c r="AB46" s="395">
        <v>25420</v>
      </c>
      <c r="AC46" s="395"/>
      <c r="AD46" s="395">
        <v>16971.55</v>
      </c>
      <c r="AE46" s="395"/>
      <c r="AF46" s="395"/>
      <c r="AG46" s="395"/>
      <c r="AH46" s="395"/>
      <c r="AI46" s="395"/>
      <c r="AJ46" s="395"/>
      <c r="AK46" s="395"/>
      <c r="AL46" s="452"/>
      <c r="AM46" s="460">
        <f t="shared" si="2"/>
        <v>42391.55</v>
      </c>
      <c r="AN46" s="395">
        <v>77</v>
      </c>
      <c r="AO46" s="398">
        <v>152</v>
      </c>
      <c r="AP46" s="455">
        <v>-10215.799999999999</v>
      </c>
      <c r="AQ46" s="465"/>
      <c r="AR46" s="465">
        <v>0</v>
      </c>
      <c r="AS46" s="470">
        <v>1</v>
      </c>
      <c r="AT46" s="516"/>
      <c r="AU46" s="516"/>
      <c r="AV46" s="516"/>
      <c r="AW46" s="516"/>
      <c r="AX46" s="516"/>
      <c r="AY46" s="516"/>
      <c r="AZ46" s="522"/>
      <c r="BA46" s="522"/>
      <c r="BB46" s="522"/>
      <c r="BC46" s="522"/>
      <c r="BD46" s="522"/>
      <c r="BE46" s="522"/>
      <c r="BF46" s="522"/>
      <c r="BG46" s="522"/>
    </row>
    <row r="47" spans="1:59" x14ac:dyDescent="0.25">
      <c r="A47" s="338">
        <v>5476</v>
      </c>
      <c r="B47" s="485" t="s">
        <v>372</v>
      </c>
      <c r="C47" s="390">
        <v>737166.77</v>
      </c>
      <c r="D47" s="390">
        <v>84319.91</v>
      </c>
      <c r="E47" s="388"/>
      <c r="F47" s="390">
        <v>0</v>
      </c>
      <c r="G47" s="390">
        <v>618.5</v>
      </c>
      <c r="H47" s="390">
        <v>-2132.9</v>
      </c>
      <c r="I47" s="390">
        <v>0</v>
      </c>
      <c r="J47" s="390">
        <v>-1416.62</v>
      </c>
      <c r="K47" s="390">
        <v>0</v>
      </c>
      <c r="L47" s="390">
        <v>61081.15</v>
      </c>
      <c r="M47" s="331">
        <f t="shared" si="0"/>
        <v>879636.81</v>
      </c>
      <c r="N47" s="394">
        <v>0</v>
      </c>
      <c r="O47" s="394">
        <v>5367.6</v>
      </c>
      <c r="P47" s="394">
        <v>7150</v>
      </c>
      <c r="Q47" s="394">
        <v>15596.19</v>
      </c>
      <c r="R47" s="394">
        <v>713.5</v>
      </c>
      <c r="S47" s="394"/>
      <c r="T47" s="394"/>
      <c r="U47" s="394">
        <v>2950</v>
      </c>
      <c r="V47" s="394"/>
      <c r="W47" s="394"/>
      <c r="X47" s="379">
        <v>-181.65</v>
      </c>
      <c r="Y47" s="460">
        <f t="shared" si="1"/>
        <v>911232.45</v>
      </c>
      <c r="Z47" s="395"/>
      <c r="AA47" s="395"/>
      <c r="AB47" s="395">
        <v>16762.5</v>
      </c>
      <c r="AC47" s="395"/>
      <c r="AD47" s="395">
        <v>16609.099999999999</v>
      </c>
      <c r="AE47" s="395"/>
      <c r="AF47" s="395"/>
      <c r="AG47" s="395"/>
      <c r="AH47" s="395"/>
      <c r="AI47" s="395"/>
      <c r="AJ47" s="395"/>
      <c r="AK47" s="395"/>
      <c r="AL47" s="452"/>
      <c r="AM47" s="460">
        <f t="shared" si="2"/>
        <v>33371.599999999999</v>
      </c>
      <c r="AN47" s="395">
        <v>74</v>
      </c>
      <c r="AO47" s="398">
        <v>317</v>
      </c>
      <c r="AP47" s="455">
        <v>-17755.439999999999</v>
      </c>
      <c r="AQ47" s="465"/>
      <c r="AR47" s="465">
        <v>-1180.55</v>
      </c>
      <c r="AS47" s="470">
        <v>1</v>
      </c>
      <c r="AT47" s="516"/>
      <c r="AU47" s="516"/>
      <c r="AV47" s="516"/>
      <c r="AW47" s="516"/>
      <c r="AX47" s="516"/>
      <c r="AY47" s="516"/>
      <c r="AZ47" s="522"/>
      <c r="BA47" s="522"/>
      <c r="BB47" s="522"/>
      <c r="BC47" s="522"/>
      <c r="BD47" s="522"/>
      <c r="BE47" s="522"/>
      <c r="BF47" s="522"/>
      <c r="BG47" s="522"/>
    </row>
    <row r="48" spans="1:59" x14ac:dyDescent="0.25">
      <c r="A48" s="338">
        <v>5477</v>
      </c>
      <c r="B48" s="485" t="s">
        <v>373</v>
      </c>
      <c r="C48" s="390">
        <v>7766039.6500000004</v>
      </c>
      <c r="D48" s="390">
        <v>866499.74</v>
      </c>
      <c r="E48" s="388"/>
      <c r="F48" s="390">
        <v>0</v>
      </c>
      <c r="G48" s="390">
        <v>350504.5</v>
      </c>
      <c r="H48" s="390">
        <v>-1521.3</v>
      </c>
      <c r="I48" s="390">
        <v>0</v>
      </c>
      <c r="J48" s="390">
        <v>225196.08</v>
      </c>
      <c r="K48" s="390">
        <v>42523.75</v>
      </c>
      <c r="L48" s="390">
        <v>724533.6</v>
      </c>
      <c r="M48" s="331">
        <f t="shared" si="0"/>
        <v>9973776.0199999996</v>
      </c>
      <c r="N48" s="394">
        <v>78423.75</v>
      </c>
      <c r="O48" s="394">
        <v>48641.4</v>
      </c>
      <c r="P48" s="394">
        <v>1133035.8999999999</v>
      </c>
      <c r="Q48" s="394">
        <v>84909.06</v>
      </c>
      <c r="R48" s="394">
        <v>234708.25</v>
      </c>
      <c r="S48" s="394"/>
      <c r="T48" s="394"/>
      <c r="U48" s="394">
        <v>20600</v>
      </c>
      <c r="V48" s="394"/>
      <c r="W48" s="394"/>
      <c r="X48" s="379">
        <v>41859.449999999997</v>
      </c>
      <c r="Y48" s="460">
        <f t="shared" si="1"/>
        <v>11615953.83</v>
      </c>
      <c r="Z48" s="395">
        <v>142864.6</v>
      </c>
      <c r="AA48" s="395">
        <v>112848</v>
      </c>
      <c r="AB48" s="395">
        <v>501762.35</v>
      </c>
      <c r="AC48" s="395">
        <v>557400.9</v>
      </c>
      <c r="AD48" s="395">
        <v>395881.25</v>
      </c>
      <c r="AE48" s="395">
        <v>136640.45000000001</v>
      </c>
      <c r="AF48" s="395"/>
      <c r="AG48" s="395"/>
      <c r="AH48" s="395">
        <v>382.2</v>
      </c>
      <c r="AI48" s="395">
        <v>76905.350000000006</v>
      </c>
      <c r="AJ48" s="395"/>
      <c r="AK48" s="395"/>
      <c r="AL48" s="452">
        <v>16544</v>
      </c>
      <c r="AM48" s="460">
        <f t="shared" si="2"/>
        <v>1941229.1</v>
      </c>
      <c r="AN48" s="395">
        <v>69.5</v>
      </c>
      <c r="AO48" s="398">
        <v>4222</v>
      </c>
      <c r="AP48" s="455">
        <v>-1816304.42</v>
      </c>
      <c r="AQ48" s="465"/>
      <c r="AR48" s="465">
        <v>-3034.85</v>
      </c>
      <c r="AS48" s="470">
        <v>1</v>
      </c>
      <c r="AT48" s="516"/>
      <c r="AU48" s="516"/>
      <c r="AV48" s="516"/>
      <c r="AW48" s="516"/>
      <c r="AX48" s="516"/>
      <c r="AY48" s="516"/>
      <c r="AZ48" s="522"/>
      <c r="BA48" s="522"/>
      <c r="BB48" s="522"/>
      <c r="BC48" s="522"/>
      <c r="BD48" s="522"/>
      <c r="BE48" s="522"/>
      <c r="BF48" s="522"/>
      <c r="BG48" s="522"/>
    </row>
    <row r="49" spans="1:59" x14ac:dyDescent="0.25">
      <c r="A49" s="338">
        <v>5478</v>
      </c>
      <c r="B49" s="485" t="s">
        <v>240</v>
      </c>
      <c r="C49" s="390">
        <v>966556.11</v>
      </c>
      <c r="D49" s="390">
        <v>147856.32999999999</v>
      </c>
      <c r="E49" s="388"/>
      <c r="F49" s="390">
        <v>0</v>
      </c>
      <c r="G49" s="390">
        <v>-13448.65</v>
      </c>
      <c r="H49" s="390">
        <v>700.2</v>
      </c>
      <c r="I49" s="390">
        <v>0</v>
      </c>
      <c r="J49" s="390">
        <v>35788.699999999997</v>
      </c>
      <c r="K49" s="390">
        <v>250</v>
      </c>
      <c r="L49" s="390">
        <v>80550.25</v>
      </c>
      <c r="M49" s="331">
        <f t="shared" si="0"/>
        <v>1218252.94</v>
      </c>
      <c r="N49" s="394">
        <v>0</v>
      </c>
      <c r="O49" s="394">
        <v>0</v>
      </c>
      <c r="P49" s="394">
        <v>0</v>
      </c>
      <c r="Q49" s="394">
        <v>5569.15</v>
      </c>
      <c r="R49" s="394">
        <v>9277.4500000000007</v>
      </c>
      <c r="S49" s="394"/>
      <c r="T49" s="394"/>
      <c r="U49" s="394">
        <v>1925</v>
      </c>
      <c r="V49" s="394"/>
      <c r="W49" s="394"/>
      <c r="X49" s="379">
        <v>-1529.14</v>
      </c>
      <c r="Y49" s="460">
        <f t="shared" si="1"/>
        <v>1233495.3999999999</v>
      </c>
      <c r="Z49" s="395">
        <v>140</v>
      </c>
      <c r="AA49" s="395"/>
      <c r="AB49" s="395">
        <v>32446.2</v>
      </c>
      <c r="AC49" s="395"/>
      <c r="AD49" s="395">
        <v>28779.7</v>
      </c>
      <c r="AE49" s="395">
        <v>140</v>
      </c>
      <c r="AF49" s="395"/>
      <c r="AG49" s="395"/>
      <c r="AH49" s="395"/>
      <c r="AI49" s="395"/>
      <c r="AJ49" s="395"/>
      <c r="AK49" s="395"/>
      <c r="AL49" s="452"/>
      <c r="AM49" s="460">
        <f t="shared" si="2"/>
        <v>61505.9</v>
      </c>
      <c r="AN49" s="395">
        <v>74</v>
      </c>
      <c r="AO49" s="398">
        <v>491</v>
      </c>
      <c r="AP49" s="455">
        <v>-16720.62</v>
      </c>
      <c r="AQ49" s="465"/>
      <c r="AR49" s="465">
        <v>-1.49</v>
      </c>
      <c r="AS49" s="470">
        <v>1</v>
      </c>
      <c r="AT49" s="516"/>
      <c r="AU49" s="516"/>
      <c r="AV49" s="516"/>
      <c r="AW49" s="516"/>
      <c r="AX49" s="516"/>
      <c r="AY49" s="516"/>
      <c r="AZ49" s="522"/>
      <c r="BA49" s="522"/>
      <c r="BB49" s="522"/>
      <c r="BC49" s="522"/>
      <c r="BD49" s="522"/>
      <c r="BE49" s="522"/>
      <c r="BF49" s="522"/>
      <c r="BG49" s="522"/>
    </row>
    <row r="50" spans="1:59" x14ac:dyDescent="0.25">
      <c r="A50" s="338">
        <v>5479</v>
      </c>
      <c r="B50" s="485" t="s">
        <v>241</v>
      </c>
      <c r="C50" s="390">
        <v>1050972.1499999999</v>
      </c>
      <c r="D50" s="390">
        <v>90873.41</v>
      </c>
      <c r="E50" s="388"/>
      <c r="F50" s="390">
        <v>0</v>
      </c>
      <c r="G50" s="390">
        <v>14717.4</v>
      </c>
      <c r="H50" s="390">
        <v>788</v>
      </c>
      <c r="I50" s="390">
        <v>136813.5</v>
      </c>
      <c r="J50" s="390">
        <v>11675.49</v>
      </c>
      <c r="K50" s="390">
        <v>1973.25</v>
      </c>
      <c r="L50" s="390">
        <v>85764.75</v>
      </c>
      <c r="M50" s="331">
        <f t="shared" si="0"/>
        <v>1393577.9499999997</v>
      </c>
      <c r="N50" s="394">
        <v>8570.9500000000007</v>
      </c>
      <c r="O50" s="394">
        <v>0</v>
      </c>
      <c r="P50" s="394">
        <v>88973.3</v>
      </c>
      <c r="Q50" s="394">
        <v>0</v>
      </c>
      <c r="R50" s="394">
        <v>73291</v>
      </c>
      <c r="S50" s="394">
        <v>650.20000000000005</v>
      </c>
      <c r="T50" s="394"/>
      <c r="U50" s="394">
        <v>2040</v>
      </c>
      <c r="V50" s="394"/>
      <c r="W50" s="394"/>
      <c r="X50" s="379">
        <v>1859.82</v>
      </c>
      <c r="Y50" s="460">
        <f t="shared" si="1"/>
        <v>1568963.2199999997</v>
      </c>
      <c r="Z50" s="395">
        <v>823.5</v>
      </c>
      <c r="AA50" s="395"/>
      <c r="AB50" s="395">
        <v>68720</v>
      </c>
      <c r="AC50" s="395"/>
      <c r="AD50" s="395">
        <v>72943.350000000006</v>
      </c>
      <c r="AE50" s="395"/>
      <c r="AF50" s="395">
        <v>11539.2</v>
      </c>
      <c r="AG50" s="395"/>
      <c r="AH50" s="395"/>
      <c r="AI50" s="395">
        <v>13144.45</v>
      </c>
      <c r="AJ50" s="395"/>
      <c r="AK50" s="395"/>
      <c r="AL50" s="452"/>
      <c r="AM50" s="460">
        <f t="shared" si="2"/>
        <v>167170.50000000003</v>
      </c>
      <c r="AN50" s="395">
        <v>77</v>
      </c>
      <c r="AO50" s="398">
        <v>527</v>
      </c>
      <c r="AP50" s="455">
        <v>-4126.4399999999996</v>
      </c>
      <c r="AQ50" s="465"/>
      <c r="AR50" s="465">
        <v>0</v>
      </c>
      <c r="AS50" s="470">
        <v>1</v>
      </c>
      <c r="AT50" s="516"/>
      <c r="AU50" s="516"/>
      <c r="AV50" s="516"/>
      <c r="AW50" s="516"/>
      <c r="AX50" s="516"/>
      <c r="AY50" s="516"/>
      <c r="AZ50" s="522"/>
      <c r="BA50" s="522"/>
      <c r="BB50" s="522"/>
      <c r="BC50" s="522"/>
      <c r="BD50" s="522"/>
      <c r="BE50" s="522"/>
      <c r="BF50" s="522"/>
      <c r="BG50" s="522"/>
    </row>
    <row r="51" spans="1:59" x14ac:dyDescent="0.25">
      <c r="A51" s="338">
        <v>5480</v>
      </c>
      <c r="B51" s="485" t="s">
        <v>242</v>
      </c>
      <c r="C51" s="390">
        <v>2101504.6</v>
      </c>
      <c r="D51" s="390">
        <v>252833.16</v>
      </c>
      <c r="E51" s="388"/>
      <c r="F51" s="390">
        <v>0</v>
      </c>
      <c r="G51" s="390">
        <v>15177.3</v>
      </c>
      <c r="H51" s="390">
        <v>14154.4</v>
      </c>
      <c r="I51" s="390">
        <v>0</v>
      </c>
      <c r="J51" s="390">
        <v>21681</v>
      </c>
      <c r="K51" s="390">
        <v>11300.15</v>
      </c>
      <c r="L51" s="390">
        <v>368315.1</v>
      </c>
      <c r="M51" s="331">
        <f t="shared" si="0"/>
        <v>2784965.71</v>
      </c>
      <c r="N51" s="394">
        <v>204900.85</v>
      </c>
      <c r="O51" s="394">
        <v>0</v>
      </c>
      <c r="P51" s="394">
        <v>155782</v>
      </c>
      <c r="Q51" s="394">
        <v>11525.4</v>
      </c>
      <c r="R51" s="394">
        <v>54282.8</v>
      </c>
      <c r="S51" s="394"/>
      <c r="T51" s="394"/>
      <c r="U51" s="394">
        <v>9450</v>
      </c>
      <c r="V51" s="394"/>
      <c r="W51" s="394"/>
      <c r="X51" s="379">
        <v>3518.25</v>
      </c>
      <c r="Y51" s="460">
        <f t="shared" si="1"/>
        <v>3224425.01</v>
      </c>
      <c r="Z51" s="395">
        <v>-11403.7</v>
      </c>
      <c r="AA51" s="395"/>
      <c r="AB51" s="395"/>
      <c r="AC51" s="395">
        <v>147272.85</v>
      </c>
      <c r="AD51" s="395">
        <v>75878.600000000006</v>
      </c>
      <c r="AE51" s="395">
        <v>-8506.0499999999993</v>
      </c>
      <c r="AF51" s="395"/>
      <c r="AG51" s="395"/>
      <c r="AH51" s="395">
        <v>4745.5</v>
      </c>
      <c r="AI51" s="395">
        <v>67123.149999999994</v>
      </c>
      <c r="AJ51" s="395"/>
      <c r="AK51" s="395"/>
      <c r="AL51" s="452"/>
      <c r="AM51" s="460">
        <f t="shared" si="2"/>
        <v>275110.34999999998</v>
      </c>
      <c r="AN51" s="395">
        <v>66</v>
      </c>
      <c r="AO51" s="398">
        <v>1048</v>
      </c>
      <c r="AP51" s="455">
        <v>-33354.28</v>
      </c>
      <c r="AQ51" s="465"/>
      <c r="AR51" s="465">
        <v>-758.12</v>
      </c>
      <c r="AS51" s="470">
        <v>1.2</v>
      </c>
      <c r="AT51" s="516"/>
      <c r="AU51" s="516"/>
      <c r="AV51" s="516"/>
      <c r="AW51" s="516"/>
      <c r="AX51" s="516"/>
      <c r="AY51" s="516"/>
      <c r="AZ51" s="522"/>
      <c r="BA51" s="522"/>
      <c r="BB51" s="522"/>
      <c r="BC51" s="522"/>
      <c r="BD51" s="522"/>
      <c r="BE51" s="522"/>
      <c r="BF51" s="522"/>
      <c r="BG51" s="522"/>
    </row>
    <row r="52" spans="1:59" x14ac:dyDescent="0.25">
      <c r="A52" s="338">
        <v>5481</v>
      </c>
      <c r="B52" s="485" t="s">
        <v>243</v>
      </c>
      <c r="C52" s="390">
        <v>380456.01</v>
      </c>
      <c r="D52" s="390">
        <v>115243.38</v>
      </c>
      <c r="E52" s="388"/>
      <c r="F52" s="390">
        <v>0</v>
      </c>
      <c r="G52" s="390">
        <v>60479.9</v>
      </c>
      <c r="H52" s="390">
        <v>89.5</v>
      </c>
      <c r="I52" s="390">
        <v>0</v>
      </c>
      <c r="J52" s="390">
        <v>4904.03</v>
      </c>
      <c r="K52" s="390">
        <v>0</v>
      </c>
      <c r="L52" s="390">
        <v>39166.050000000003</v>
      </c>
      <c r="M52" s="331">
        <f t="shared" si="0"/>
        <v>600338.87000000011</v>
      </c>
      <c r="N52" s="394">
        <v>0</v>
      </c>
      <c r="O52" s="394">
        <v>0</v>
      </c>
      <c r="P52" s="394">
        <v>6491.55</v>
      </c>
      <c r="Q52" s="394">
        <v>3326.95</v>
      </c>
      <c r="R52" s="394">
        <v>1182</v>
      </c>
      <c r="S52" s="394"/>
      <c r="T52" s="394"/>
      <c r="U52" s="394">
        <v>800</v>
      </c>
      <c r="V52" s="394"/>
      <c r="W52" s="394"/>
      <c r="X52" s="379">
        <v>7265.11</v>
      </c>
      <c r="Y52" s="460">
        <f t="shared" si="1"/>
        <v>619404.4800000001</v>
      </c>
      <c r="Z52" s="395"/>
      <c r="AA52" s="395"/>
      <c r="AB52" s="395">
        <v>67788.5</v>
      </c>
      <c r="AC52" s="395"/>
      <c r="AD52" s="395">
        <v>16104</v>
      </c>
      <c r="AE52" s="395"/>
      <c r="AF52" s="395"/>
      <c r="AG52" s="395"/>
      <c r="AH52" s="395"/>
      <c r="AI52" s="395"/>
      <c r="AJ52" s="395"/>
      <c r="AK52" s="395"/>
      <c r="AL52" s="452"/>
      <c r="AM52" s="460">
        <f t="shared" si="2"/>
        <v>83892.5</v>
      </c>
      <c r="AN52" s="395">
        <v>75</v>
      </c>
      <c r="AO52" s="398">
        <v>224</v>
      </c>
      <c r="AP52" s="455">
        <v>-1618.39</v>
      </c>
      <c r="AQ52" s="465"/>
      <c r="AR52" s="465">
        <v>0</v>
      </c>
      <c r="AS52" s="470">
        <v>1</v>
      </c>
      <c r="AT52" s="516"/>
      <c r="AU52" s="516"/>
      <c r="AV52" s="516"/>
      <c r="AW52" s="516"/>
      <c r="AX52" s="516"/>
      <c r="AY52" s="516"/>
      <c r="AZ52" s="522"/>
      <c r="BA52" s="522"/>
      <c r="BB52" s="522"/>
      <c r="BC52" s="522"/>
      <c r="BD52" s="522"/>
      <c r="BE52" s="522"/>
      <c r="BF52" s="522"/>
      <c r="BG52" s="522"/>
    </row>
    <row r="53" spans="1:59" x14ac:dyDescent="0.25">
      <c r="A53" s="338">
        <v>5482</v>
      </c>
      <c r="B53" s="485" t="s">
        <v>244</v>
      </c>
      <c r="C53" s="390">
        <v>1442397.62</v>
      </c>
      <c r="D53" s="390">
        <v>181554.29</v>
      </c>
      <c r="E53" s="388"/>
      <c r="F53" s="390">
        <v>0</v>
      </c>
      <c r="G53" s="390">
        <v>985295.05</v>
      </c>
      <c r="H53" s="390">
        <v>18409.25</v>
      </c>
      <c r="I53" s="390">
        <v>0</v>
      </c>
      <c r="J53" s="390">
        <v>74027.98</v>
      </c>
      <c r="K53" s="390">
        <v>41453.800000000003</v>
      </c>
      <c r="L53" s="390">
        <v>426745.35</v>
      </c>
      <c r="M53" s="331">
        <f t="shared" si="0"/>
        <v>3169883.34</v>
      </c>
      <c r="N53" s="394">
        <v>338711.25</v>
      </c>
      <c r="O53" s="394">
        <v>11323.9</v>
      </c>
      <c r="P53" s="394">
        <v>57954.25</v>
      </c>
      <c r="Q53" s="394">
        <v>6323.09</v>
      </c>
      <c r="R53" s="394">
        <v>35836.949999999997</v>
      </c>
      <c r="S53" s="394"/>
      <c r="T53" s="394"/>
      <c r="U53" s="394">
        <v>11400</v>
      </c>
      <c r="V53" s="394"/>
      <c r="W53" s="394"/>
      <c r="X53" s="379">
        <v>120391.2</v>
      </c>
      <c r="Y53" s="460">
        <f t="shared" si="1"/>
        <v>3751823.98</v>
      </c>
      <c r="Z53" s="395">
        <v>71936</v>
      </c>
      <c r="AA53" s="395"/>
      <c r="AB53" s="395">
        <v>293060.45</v>
      </c>
      <c r="AC53" s="395"/>
      <c r="AD53" s="395">
        <v>123244.55</v>
      </c>
      <c r="AE53" s="395"/>
      <c r="AF53" s="395"/>
      <c r="AG53" s="395"/>
      <c r="AH53" s="395"/>
      <c r="AI53" s="395">
        <v>610841.15</v>
      </c>
      <c r="AJ53" s="395"/>
      <c r="AK53" s="395"/>
      <c r="AL53" s="452"/>
      <c r="AM53" s="460">
        <f t="shared" si="2"/>
        <v>1099082.1499999999</v>
      </c>
      <c r="AN53" s="395">
        <v>46</v>
      </c>
      <c r="AO53" s="398">
        <v>1220</v>
      </c>
      <c r="AP53" s="455">
        <v>-33996.83</v>
      </c>
      <c r="AQ53" s="465"/>
      <c r="AR53" s="465">
        <v>-652.01</v>
      </c>
      <c r="AS53" s="470">
        <v>1</v>
      </c>
      <c r="AT53" s="516"/>
      <c r="AU53" s="516"/>
      <c r="AV53" s="516"/>
      <c r="AW53" s="516"/>
      <c r="AX53" s="516"/>
      <c r="AY53" s="516"/>
      <c r="AZ53" s="522"/>
      <c r="BA53" s="522"/>
      <c r="BB53" s="522"/>
      <c r="BC53" s="522"/>
      <c r="BD53" s="522"/>
      <c r="BE53" s="522"/>
      <c r="BF53" s="522"/>
      <c r="BG53" s="522"/>
    </row>
    <row r="54" spans="1:59" x14ac:dyDescent="0.25">
      <c r="A54" s="338">
        <v>5483</v>
      </c>
      <c r="B54" s="485" t="s">
        <v>140</v>
      </c>
      <c r="C54" s="390">
        <v>671967.59</v>
      </c>
      <c r="D54" s="390">
        <v>82723.63</v>
      </c>
      <c r="E54" s="388"/>
      <c r="F54" s="390">
        <v>0</v>
      </c>
      <c r="G54" s="390">
        <v>8051.95</v>
      </c>
      <c r="H54" s="390">
        <v>1124.8499999999999</v>
      </c>
      <c r="I54" s="390">
        <v>0</v>
      </c>
      <c r="J54" s="390">
        <v>1743.05</v>
      </c>
      <c r="K54" s="390">
        <v>702</v>
      </c>
      <c r="L54" s="390">
        <v>56873.65</v>
      </c>
      <c r="M54" s="331">
        <f t="shared" si="0"/>
        <v>823186.72</v>
      </c>
      <c r="N54" s="394">
        <v>0</v>
      </c>
      <c r="O54" s="394">
        <v>0</v>
      </c>
      <c r="P54" s="394">
        <v>16280</v>
      </c>
      <c r="Q54" s="394">
        <v>0</v>
      </c>
      <c r="R54" s="394">
        <v>2916.7</v>
      </c>
      <c r="S54" s="394"/>
      <c r="T54" s="394"/>
      <c r="U54" s="394">
        <v>1410</v>
      </c>
      <c r="V54" s="394"/>
      <c r="W54" s="394"/>
      <c r="X54" s="379">
        <v>1100.73</v>
      </c>
      <c r="Y54" s="460">
        <f t="shared" si="1"/>
        <v>844894.14999999991</v>
      </c>
      <c r="Z54" s="395">
        <v>3500</v>
      </c>
      <c r="AA54" s="395"/>
      <c r="AB54" s="395">
        <v>53849.7</v>
      </c>
      <c r="AC54" s="395"/>
      <c r="AD54" s="395">
        <v>32454.55</v>
      </c>
      <c r="AE54" s="395"/>
      <c r="AF54" s="395"/>
      <c r="AG54" s="395"/>
      <c r="AH54" s="395"/>
      <c r="AI54" s="395"/>
      <c r="AJ54" s="395"/>
      <c r="AK54" s="395"/>
      <c r="AL54" s="452"/>
      <c r="AM54" s="460">
        <f t="shared" si="2"/>
        <v>89804.25</v>
      </c>
      <c r="AN54" s="395">
        <v>76</v>
      </c>
      <c r="AO54" s="398">
        <v>319</v>
      </c>
      <c r="AP54" s="455">
        <v>-247.76</v>
      </c>
      <c r="AQ54" s="465"/>
      <c r="AR54" s="465">
        <v>-1695.75</v>
      </c>
      <c r="AS54" s="470">
        <v>1</v>
      </c>
      <c r="AT54" s="516"/>
      <c r="AU54" s="516"/>
      <c r="AV54" s="516"/>
      <c r="AW54" s="516"/>
      <c r="AX54" s="516"/>
      <c r="AY54" s="516"/>
      <c r="AZ54" s="522"/>
      <c r="BA54" s="522"/>
      <c r="BB54" s="522"/>
      <c r="BC54" s="522"/>
      <c r="BD54" s="522"/>
      <c r="BE54" s="522"/>
      <c r="BF54" s="522"/>
      <c r="BG54" s="522"/>
    </row>
    <row r="55" spans="1:59" x14ac:dyDescent="0.25">
      <c r="A55" s="338">
        <v>5484</v>
      </c>
      <c r="B55" s="485" t="s">
        <v>141</v>
      </c>
      <c r="C55" s="390">
        <v>2004003.49</v>
      </c>
      <c r="D55" s="390">
        <v>240591.06</v>
      </c>
      <c r="E55" s="388"/>
      <c r="F55" s="390">
        <v>0</v>
      </c>
      <c r="G55" s="390">
        <v>93288.85</v>
      </c>
      <c r="H55" s="390">
        <v>2937.5</v>
      </c>
      <c r="I55" s="390">
        <v>0</v>
      </c>
      <c r="J55" s="390">
        <v>55357.64</v>
      </c>
      <c r="K55" s="390">
        <v>7066.75</v>
      </c>
      <c r="L55" s="390">
        <v>184181.25</v>
      </c>
      <c r="M55" s="331">
        <f t="shared" si="0"/>
        <v>2587426.54</v>
      </c>
      <c r="N55" s="394">
        <v>25418.75</v>
      </c>
      <c r="O55" s="394">
        <v>60233</v>
      </c>
      <c r="P55" s="394">
        <v>119899.25</v>
      </c>
      <c r="Q55" s="394">
        <v>2417.2399999999998</v>
      </c>
      <c r="R55" s="394">
        <v>29382.85</v>
      </c>
      <c r="S55" s="394"/>
      <c r="T55" s="394"/>
      <c r="U55" s="394">
        <v>6200</v>
      </c>
      <c r="V55" s="394"/>
      <c r="W55" s="394"/>
      <c r="X55" s="379">
        <v>11542.05</v>
      </c>
      <c r="Y55" s="460">
        <f t="shared" si="1"/>
        <v>2842519.68</v>
      </c>
      <c r="Z55" s="395">
        <v>17712</v>
      </c>
      <c r="AA55" s="395"/>
      <c r="AB55" s="395">
        <v>131414.95000000001</v>
      </c>
      <c r="AC55" s="395"/>
      <c r="AD55" s="395">
        <v>71587.5</v>
      </c>
      <c r="AE55" s="395">
        <v>15309</v>
      </c>
      <c r="AF55" s="395"/>
      <c r="AG55" s="395"/>
      <c r="AH55" s="395"/>
      <c r="AI55" s="395"/>
      <c r="AJ55" s="395"/>
      <c r="AK55" s="395"/>
      <c r="AL55" s="452"/>
      <c r="AM55" s="460">
        <f t="shared" si="2"/>
        <v>236023.45</v>
      </c>
      <c r="AN55" s="395">
        <v>74</v>
      </c>
      <c r="AO55" s="398">
        <v>996</v>
      </c>
      <c r="AP55" s="455">
        <v>-11351.64</v>
      </c>
      <c r="AQ55" s="465"/>
      <c r="AR55" s="465">
        <v>-257.26</v>
      </c>
      <c r="AS55" s="470">
        <v>1</v>
      </c>
      <c r="AT55" s="516"/>
      <c r="AU55" s="516"/>
      <c r="AV55" s="516"/>
      <c r="AW55" s="516"/>
      <c r="AX55" s="516"/>
      <c r="AY55" s="516"/>
      <c r="AZ55" s="522"/>
      <c r="BA55" s="522"/>
      <c r="BB55" s="522"/>
      <c r="BC55" s="522"/>
      <c r="BD55" s="522"/>
      <c r="BE55" s="522"/>
      <c r="BF55" s="522"/>
      <c r="BG55" s="522"/>
    </row>
    <row r="56" spans="1:59" x14ac:dyDescent="0.25">
      <c r="A56" s="338">
        <v>5485</v>
      </c>
      <c r="B56" s="485" t="s">
        <v>142</v>
      </c>
      <c r="C56" s="390">
        <v>756576.18</v>
      </c>
      <c r="D56" s="390">
        <v>162807.43</v>
      </c>
      <c r="E56" s="388"/>
      <c r="F56" s="390">
        <v>0</v>
      </c>
      <c r="G56" s="390">
        <v>12652.85</v>
      </c>
      <c r="H56" s="390">
        <v>187.7</v>
      </c>
      <c r="I56" s="390">
        <v>0</v>
      </c>
      <c r="J56" s="390">
        <v>24736.73</v>
      </c>
      <c r="K56" s="390">
        <v>319</v>
      </c>
      <c r="L56" s="390">
        <v>76196.850000000006</v>
      </c>
      <c r="M56" s="331">
        <f t="shared" si="0"/>
        <v>1033476.74</v>
      </c>
      <c r="N56" s="394">
        <v>13845.05</v>
      </c>
      <c r="O56" s="394">
        <v>2707.8</v>
      </c>
      <c r="P56" s="394">
        <v>99344.4</v>
      </c>
      <c r="Q56" s="394">
        <v>20445.93</v>
      </c>
      <c r="R56" s="394">
        <v>52274.400000000001</v>
      </c>
      <c r="S56" s="394"/>
      <c r="T56" s="394"/>
      <c r="U56" s="394">
        <v>1340</v>
      </c>
      <c r="V56" s="394"/>
      <c r="W56" s="394"/>
      <c r="X56" s="379">
        <v>1540.18</v>
      </c>
      <c r="Y56" s="460">
        <f t="shared" si="1"/>
        <v>1224974.4999999998</v>
      </c>
      <c r="Z56" s="395">
        <v>61048</v>
      </c>
      <c r="AA56" s="395"/>
      <c r="AB56" s="395">
        <v>76734.7</v>
      </c>
      <c r="AC56" s="395"/>
      <c r="AD56" s="395">
        <v>27248.5</v>
      </c>
      <c r="AE56" s="395">
        <v>38145</v>
      </c>
      <c r="AF56" s="395"/>
      <c r="AG56" s="395"/>
      <c r="AH56" s="395"/>
      <c r="AI56" s="395"/>
      <c r="AJ56" s="395"/>
      <c r="AK56" s="395"/>
      <c r="AL56" s="452"/>
      <c r="AM56" s="460">
        <f t="shared" si="2"/>
        <v>203176.2</v>
      </c>
      <c r="AN56" s="395">
        <v>70</v>
      </c>
      <c r="AO56" s="398">
        <v>406</v>
      </c>
      <c r="AP56" s="455">
        <v>-37256.61</v>
      </c>
      <c r="AQ56" s="465"/>
      <c r="AR56" s="465">
        <v>-241.55</v>
      </c>
      <c r="AS56" s="470">
        <v>1</v>
      </c>
      <c r="AT56" s="516"/>
      <c r="AU56" s="516"/>
      <c r="AV56" s="516"/>
      <c r="AW56" s="516"/>
      <c r="AX56" s="516"/>
      <c r="AY56" s="516"/>
      <c r="AZ56" s="522"/>
      <c r="BA56" s="522"/>
      <c r="BB56" s="522"/>
      <c r="BC56" s="522"/>
      <c r="BD56" s="522"/>
      <c r="BE56" s="522"/>
      <c r="BF56" s="522"/>
      <c r="BG56" s="522"/>
    </row>
    <row r="57" spans="1:59" x14ac:dyDescent="0.25">
      <c r="A57" s="338">
        <v>5486</v>
      </c>
      <c r="B57" s="485" t="s">
        <v>1</v>
      </c>
      <c r="C57" s="390">
        <v>2186883.33</v>
      </c>
      <c r="D57" s="390">
        <v>337681.32</v>
      </c>
      <c r="E57" s="388"/>
      <c r="F57" s="390">
        <v>0</v>
      </c>
      <c r="G57" s="390">
        <v>16509.400000000001</v>
      </c>
      <c r="H57" s="390">
        <v>3294.8</v>
      </c>
      <c r="I57" s="390">
        <v>35256</v>
      </c>
      <c r="J57" s="390">
        <v>46072.47</v>
      </c>
      <c r="K57" s="390">
        <v>9098.7999999999993</v>
      </c>
      <c r="L57" s="390">
        <v>193552.3</v>
      </c>
      <c r="M57" s="331">
        <f t="shared" si="0"/>
        <v>2828348.4199999995</v>
      </c>
      <c r="N57" s="394">
        <v>54932.45</v>
      </c>
      <c r="O57" s="394">
        <v>18816.5</v>
      </c>
      <c r="P57" s="394">
        <v>42994.75</v>
      </c>
      <c r="Q57" s="394">
        <v>5606.47</v>
      </c>
      <c r="R57" s="394">
        <v>49697.45</v>
      </c>
      <c r="S57" s="394"/>
      <c r="T57" s="394"/>
      <c r="U57" s="394">
        <v>9750</v>
      </c>
      <c r="V57" s="394"/>
      <c r="W57" s="394"/>
      <c r="X57" s="379">
        <v>2375.4499999999998</v>
      </c>
      <c r="Y57" s="460">
        <f t="shared" si="1"/>
        <v>3012521.49</v>
      </c>
      <c r="Z57" s="395">
        <v>16054.6</v>
      </c>
      <c r="AA57" s="395"/>
      <c r="AB57" s="395">
        <v>247679</v>
      </c>
      <c r="AC57" s="395"/>
      <c r="AD57" s="395">
        <v>88942.85</v>
      </c>
      <c r="AE57" s="395">
        <v>16054.6</v>
      </c>
      <c r="AF57" s="395"/>
      <c r="AG57" s="395"/>
      <c r="AH57" s="395"/>
      <c r="AI57" s="395">
        <v>36111.800000000003</v>
      </c>
      <c r="AJ57" s="395"/>
      <c r="AK57" s="395"/>
      <c r="AL57" s="452"/>
      <c r="AM57" s="460">
        <f t="shared" si="2"/>
        <v>404842.84999999992</v>
      </c>
      <c r="AN57" s="395">
        <v>75</v>
      </c>
      <c r="AO57" s="398">
        <v>1065</v>
      </c>
      <c r="AP57" s="455">
        <v>-26862.79</v>
      </c>
      <c r="AQ57" s="465"/>
      <c r="AR57" s="465">
        <v>-0.52</v>
      </c>
      <c r="AS57" s="470">
        <v>1</v>
      </c>
      <c r="AT57" s="516"/>
      <c r="AU57" s="516"/>
      <c r="AV57" s="516"/>
      <c r="AW57" s="516"/>
      <c r="AX57" s="516"/>
      <c r="AY57" s="516"/>
      <c r="AZ57" s="522"/>
      <c r="BA57" s="522"/>
      <c r="BB57" s="522"/>
      <c r="BC57" s="522"/>
      <c r="BD57" s="522"/>
      <c r="BE57" s="522"/>
      <c r="BF57" s="522"/>
      <c r="BG57" s="522"/>
    </row>
    <row r="58" spans="1:59" x14ac:dyDescent="0.25">
      <c r="A58" s="338">
        <v>5487</v>
      </c>
      <c r="B58" s="485" t="s">
        <v>2</v>
      </c>
      <c r="C58" s="390">
        <v>828023.56</v>
      </c>
      <c r="D58" s="390">
        <v>61416.21</v>
      </c>
      <c r="E58" s="388"/>
      <c r="F58" s="390">
        <v>0</v>
      </c>
      <c r="G58" s="390">
        <v>-612.4</v>
      </c>
      <c r="H58" s="390">
        <v>197.5</v>
      </c>
      <c r="I58" s="390">
        <v>0</v>
      </c>
      <c r="J58" s="390">
        <v>4392.13</v>
      </c>
      <c r="K58" s="390">
        <v>994</v>
      </c>
      <c r="L58" s="390">
        <v>79012.800000000003</v>
      </c>
      <c r="M58" s="331">
        <f t="shared" si="0"/>
        <v>973423.8</v>
      </c>
      <c r="N58" s="394">
        <v>0</v>
      </c>
      <c r="O58" s="394">
        <v>282.5</v>
      </c>
      <c r="P58" s="394">
        <v>29510.55</v>
      </c>
      <c r="Q58" s="394">
        <v>384.3</v>
      </c>
      <c r="R58" s="394">
        <v>1238.05</v>
      </c>
      <c r="S58" s="394">
        <v>75</v>
      </c>
      <c r="T58" s="394"/>
      <c r="U58" s="394">
        <v>2910</v>
      </c>
      <c r="V58" s="394"/>
      <c r="W58" s="394"/>
      <c r="X58" s="379">
        <v>-49.77</v>
      </c>
      <c r="Y58" s="460">
        <f t="shared" si="1"/>
        <v>1007774.4300000002</v>
      </c>
      <c r="Z58" s="395">
        <v>1500</v>
      </c>
      <c r="AA58" s="395"/>
      <c r="AB58" s="395">
        <v>41980.25</v>
      </c>
      <c r="AC58" s="395"/>
      <c r="AD58" s="395">
        <v>40200</v>
      </c>
      <c r="AE58" s="395">
        <v>1800</v>
      </c>
      <c r="AF58" s="395"/>
      <c r="AG58" s="395"/>
      <c r="AH58" s="395">
        <v>408</v>
      </c>
      <c r="AI58" s="395">
        <v>7749.95</v>
      </c>
      <c r="AJ58" s="395"/>
      <c r="AK58" s="395"/>
      <c r="AL58" s="452"/>
      <c r="AM58" s="460">
        <f t="shared" si="2"/>
        <v>93638.2</v>
      </c>
      <c r="AN58" s="395">
        <v>75</v>
      </c>
      <c r="AO58" s="398">
        <v>459</v>
      </c>
      <c r="AP58" s="455">
        <v>-6686.12</v>
      </c>
      <c r="AQ58" s="465"/>
      <c r="AR58" s="465">
        <v>-332.3</v>
      </c>
      <c r="AS58" s="470">
        <v>1</v>
      </c>
      <c r="AT58" s="516"/>
      <c r="AU58" s="516"/>
      <c r="AV58" s="516"/>
      <c r="AW58" s="516"/>
      <c r="AX58" s="516"/>
      <c r="AY58" s="516"/>
      <c r="AZ58" s="522"/>
      <c r="BA58" s="522"/>
      <c r="BB58" s="522"/>
      <c r="BC58" s="522"/>
      <c r="BD58" s="522"/>
      <c r="BE58" s="522"/>
      <c r="BF58" s="522"/>
      <c r="BG58" s="522"/>
    </row>
    <row r="59" spans="1:59" x14ac:dyDescent="0.25">
      <c r="A59" s="338">
        <v>5488</v>
      </c>
      <c r="B59" s="485" t="s">
        <v>3</v>
      </c>
      <c r="C59" s="390">
        <v>103815.1</v>
      </c>
      <c r="D59" s="390">
        <v>10331.379999999999</v>
      </c>
      <c r="E59" s="388"/>
      <c r="F59" s="390">
        <v>0</v>
      </c>
      <c r="G59" s="390">
        <v>705.25</v>
      </c>
      <c r="H59" s="390">
        <v>211.6</v>
      </c>
      <c r="I59" s="390">
        <v>0</v>
      </c>
      <c r="J59" s="390">
        <v>2109.0500000000002</v>
      </c>
      <c r="K59" s="390">
        <v>0</v>
      </c>
      <c r="L59" s="390">
        <v>8426</v>
      </c>
      <c r="M59" s="331">
        <f t="shared" si="0"/>
        <v>125598.38000000002</v>
      </c>
      <c r="N59" s="394">
        <v>0</v>
      </c>
      <c r="O59" s="394">
        <v>0</v>
      </c>
      <c r="P59" s="394">
        <v>0</v>
      </c>
      <c r="Q59" s="394">
        <v>0</v>
      </c>
      <c r="R59" s="394">
        <v>0</v>
      </c>
      <c r="S59" s="394"/>
      <c r="T59" s="394"/>
      <c r="U59" s="394">
        <v>150</v>
      </c>
      <c r="V59" s="394"/>
      <c r="W59" s="394"/>
      <c r="X59" s="379">
        <v>109.97</v>
      </c>
      <c r="Y59" s="460">
        <f t="shared" si="1"/>
        <v>125858.35000000002</v>
      </c>
      <c r="Z59" s="395"/>
      <c r="AA59" s="395"/>
      <c r="AB59" s="395">
        <v>6512</v>
      </c>
      <c r="AC59" s="395"/>
      <c r="AD59" s="395">
        <v>5470</v>
      </c>
      <c r="AE59" s="395"/>
      <c r="AF59" s="395"/>
      <c r="AG59" s="395"/>
      <c r="AH59" s="395"/>
      <c r="AI59" s="395">
        <v>1101</v>
      </c>
      <c r="AJ59" s="395"/>
      <c r="AK59" s="395"/>
      <c r="AL59" s="452"/>
      <c r="AM59" s="460">
        <f t="shared" si="2"/>
        <v>13083</v>
      </c>
      <c r="AN59" s="395">
        <v>77</v>
      </c>
      <c r="AO59" s="398">
        <v>58</v>
      </c>
      <c r="AP59" s="455">
        <v>-15.48</v>
      </c>
      <c r="AQ59" s="465"/>
      <c r="AR59" s="465">
        <v>-16.309999999999999</v>
      </c>
      <c r="AS59" s="470">
        <v>1</v>
      </c>
      <c r="AT59" s="516"/>
      <c r="AU59" s="516"/>
      <c r="AV59" s="516"/>
      <c r="AW59" s="516"/>
      <c r="AX59" s="516"/>
      <c r="AY59" s="516"/>
      <c r="AZ59" s="522"/>
      <c r="BA59" s="522"/>
      <c r="BB59" s="522"/>
      <c r="BC59" s="522"/>
      <c r="BD59" s="522"/>
      <c r="BE59" s="522"/>
      <c r="BF59" s="522"/>
      <c r="BG59" s="522"/>
    </row>
    <row r="60" spans="1:59" x14ac:dyDescent="0.25">
      <c r="A60" s="338">
        <v>5489</v>
      </c>
      <c r="B60" s="485" t="s">
        <v>4</v>
      </c>
      <c r="C60" s="390">
        <v>1861554.17</v>
      </c>
      <c r="D60" s="390">
        <v>684808.6</v>
      </c>
      <c r="E60" s="388"/>
      <c r="F60" s="390">
        <v>0</v>
      </c>
      <c r="G60" s="390">
        <v>555479.75</v>
      </c>
      <c r="H60" s="390">
        <v>22209.45</v>
      </c>
      <c r="I60" s="390">
        <v>0</v>
      </c>
      <c r="J60" s="390">
        <v>37440.42</v>
      </c>
      <c r="K60" s="390">
        <v>6591.5</v>
      </c>
      <c r="L60" s="390">
        <v>293345.55</v>
      </c>
      <c r="M60" s="331">
        <f t="shared" si="0"/>
        <v>3461429.44</v>
      </c>
      <c r="N60" s="394">
        <v>150502.45000000001</v>
      </c>
      <c r="O60" s="394">
        <v>458.7</v>
      </c>
      <c r="P60" s="394">
        <v>245386</v>
      </c>
      <c r="Q60" s="394">
        <v>1202.4000000000001</v>
      </c>
      <c r="R60" s="394">
        <v>276699.8</v>
      </c>
      <c r="S60" s="394"/>
      <c r="T60" s="394"/>
      <c r="U60" s="394">
        <v>4590</v>
      </c>
      <c r="V60" s="394"/>
      <c r="W60" s="394"/>
      <c r="X60" s="379">
        <v>69292.02</v>
      </c>
      <c r="Y60" s="460">
        <f t="shared" si="1"/>
        <v>4209560.8099999996</v>
      </c>
      <c r="Z60" s="395">
        <v>25537.95</v>
      </c>
      <c r="AA60" s="395"/>
      <c r="AB60" s="395">
        <v>128159.85</v>
      </c>
      <c r="AC60" s="395"/>
      <c r="AD60" s="395">
        <v>87570.67</v>
      </c>
      <c r="AE60" s="395"/>
      <c r="AF60" s="395">
        <v>167063.4</v>
      </c>
      <c r="AG60" s="395"/>
      <c r="AH60" s="395"/>
      <c r="AI60" s="395"/>
      <c r="AJ60" s="395"/>
      <c r="AK60" s="395"/>
      <c r="AL60" s="452"/>
      <c r="AM60" s="460">
        <f t="shared" si="2"/>
        <v>408331.87</v>
      </c>
      <c r="AN60" s="395">
        <v>59.5</v>
      </c>
      <c r="AO60" s="398">
        <v>791</v>
      </c>
      <c r="AP60" s="455">
        <v>-49065.04</v>
      </c>
      <c r="AQ60" s="465"/>
      <c r="AR60" s="465">
        <v>-846.97</v>
      </c>
      <c r="AS60" s="470">
        <v>1</v>
      </c>
      <c r="AT60" s="516"/>
      <c r="AU60" s="516"/>
      <c r="AV60" s="516"/>
      <c r="AW60" s="516"/>
      <c r="AX60" s="516"/>
      <c r="AY60" s="516"/>
      <c r="AZ60" s="522"/>
      <c r="BA60" s="522"/>
      <c r="BB60" s="522"/>
      <c r="BC60" s="522"/>
      <c r="BD60" s="522"/>
      <c r="BE60" s="522"/>
      <c r="BF60" s="522"/>
      <c r="BG60" s="522"/>
    </row>
    <row r="61" spans="1:59" x14ac:dyDescent="0.25">
      <c r="A61" s="338">
        <v>5490</v>
      </c>
      <c r="B61" s="485" t="s">
        <v>5</v>
      </c>
      <c r="C61" s="390">
        <v>559754.14</v>
      </c>
      <c r="D61" s="390">
        <v>82620.210000000006</v>
      </c>
      <c r="E61" s="388"/>
      <c r="F61" s="390">
        <v>0</v>
      </c>
      <c r="G61" s="390">
        <v>609.79999999999995</v>
      </c>
      <c r="H61" s="390">
        <v>145.69999999999999</v>
      </c>
      <c r="I61" s="390">
        <v>0</v>
      </c>
      <c r="J61" s="390">
        <v>-683.29</v>
      </c>
      <c r="K61" s="390">
        <v>0</v>
      </c>
      <c r="L61" s="390">
        <v>46100.25</v>
      </c>
      <c r="M61" s="331">
        <f t="shared" si="0"/>
        <v>688546.80999999994</v>
      </c>
      <c r="N61" s="394">
        <v>0</v>
      </c>
      <c r="O61" s="394">
        <v>15576.4</v>
      </c>
      <c r="P61" s="394">
        <v>23760.95</v>
      </c>
      <c r="Q61" s="394">
        <v>0</v>
      </c>
      <c r="R61" s="394">
        <v>315</v>
      </c>
      <c r="S61" s="394"/>
      <c r="T61" s="394"/>
      <c r="U61" s="394">
        <v>1220</v>
      </c>
      <c r="V61" s="394"/>
      <c r="W61" s="394"/>
      <c r="X61" s="379">
        <v>90.62</v>
      </c>
      <c r="Y61" s="460">
        <f t="shared" si="1"/>
        <v>729509.77999999991</v>
      </c>
      <c r="Z61" s="395">
        <v>17860</v>
      </c>
      <c r="AA61" s="395">
        <v>906</v>
      </c>
      <c r="AB61" s="395">
        <v>33335</v>
      </c>
      <c r="AC61" s="395"/>
      <c r="AD61" s="395">
        <v>29833</v>
      </c>
      <c r="AE61" s="395">
        <v>9402</v>
      </c>
      <c r="AF61" s="395">
        <v>604</v>
      </c>
      <c r="AG61" s="395"/>
      <c r="AH61" s="395"/>
      <c r="AI61" s="395">
        <v>5355</v>
      </c>
      <c r="AJ61" s="395"/>
      <c r="AK61" s="395"/>
      <c r="AL61" s="452"/>
      <c r="AM61" s="460">
        <f t="shared" si="2"/>
        <v>97295</v>
      </c>
      <c r="AN61" s="395">
        <v>77.5</v>
      </c>
      <c r="AO61" s="398">
        <v>311</v>
      </c>
      <c r="AP61" s="455">
        <v>-17085.490000000002</v>
      </c>
      <c r="AQ61" s="465"/>
      <c r="AR61" s="465">
        <v>-718.97</v>
      </c>
      <c r="AS61" s="470">
        <v>1</v>
      </c>
      <c r="AT61" s="516"/>
      <c r="AU61" s="516"/>
      <c r="AV61" s="516"/>
      <c r="AW61" s="516"/>
      <c r="AX61" s="516"/>
      <c r="AY61" s="516"/>
      <c r="AZ61" s="522"/>
      <c r="BA61" s="522"/>
      <c r="BB61" s="522"/>
      <c r="BC61" s="522"/>
      <c r="BD61" s="522"/>
      <c r="BE61" s="522"/>
      <c r="BF61" s="522"/>
      <c r="BG61" s="522"/>
    </row>
    <row r="62" spans="1:59" x14ac:dyDescent="0.25">
      <c r="A62" s="338">
        <v>5491</v>
      </c>
      <c r="B62" s="485" t="s">
        <v>164</v>
      </c>
      <c r="C62" s="390">
        <v>897407.82</v>
      </c>
      <c r="D62" s="390">
        <v>85568.14</v>
      </c>
      <c r="E62" s="388"/>
      <c r="F62" s="390">
        <v>2590</v>
      </c>
      <c r="G62" s="390">
        <v>14293.7</v>
      </c>
      <c r="H62" s="390">
        <v>2010.45</v>
      </c>
      <c r="I62" s="390">
        <v>0</v>
      </c>
      <c r="J62" s="390">
        <v>8918.35</v>
      </c>
      <c r="K62" s="390">
        <v>1245.75</v>
      </c>
      <c r="L62" s="390">
        <v>89042.1</v>
      </c>
      <c r="M62" s="331">
        <f t="shared" si="0"/>
        <v>1101076.3099999998</v>
      </c>
      <c r="N62" s="394">
        <v>1976.15</v>
      </c>
      <c r="O62" s="394">
        <v>0</v>
      </c>
      <c r="P62" s="394">
        <v>68902.649999999994</v>
      </c>
      <c r="Q62" s="394">
        <v>705.45</v>
      </c>
      <c r="R62" s="394">
        <v>24058.55</v>
      </c>
      <c r="S62" s="394"/>
      <c r="T62" s="394"/>
      <c r="U62" s="394">
        <v>5250</v>
      </c>
      <c r="V62" s="394"/>
      <c r="W62" s="394"/>
      <c r="X62" s="379">
        <v>1955.63</v>
      </c>
      <c r="Y62" s="460">
        <f t="shared" si="1"/>
        <v>1203924.7399999995</v>
      </c>
      <c r="Z62" s="395"/>
      <c r="AA62" s="395"/>
      <c r="AB62" s="395">
        <v>65228.800000000003</v>
      </c>
      <c r="AC62" s="395"/>
      <c r="AD62" s="395">
        <v>40233</v>
      </c>
      <c r="AE62" s="395">
        <v>9000</v>
      </c>
      <c r="AF62" s="395"/>
      <c r="AG62" s="395"/>
      <c r="AH62" s="395"/>
      <c r="AI62" s="395">
        <v>11702.3</v>
      </c>
      <c r="AJ62" s="395"/>
      <c r="AK62" s="395"/>
      <c r="AL62" s="452"/>
      <c r="AM62" s="460">
        <f t="shared" si="2"/>
        <v>126164.1</v>
      </c>
      <c r="AN62" s="395">
        <v>76</v>
      </c>
      <c r="AO62" s="398">
        <v>490</v>
      </c>
      <c r="AP62" s="455">
        <v>-15167.75</v>
      </c>
      <c r="AQ62" s="465"/>
      <c r="AR62" s="465">
        <v>0</v>
      </c>
      <c r="AS62" s="470">
        <v>1</v>
      </c>
      <c r="AT62" s="516"/>
      <c r="AU62" s="516"/>
      <c r="AV62" s="516"/>
      <c r="AW62" s="516"/>
      <c r="AX62" s="516"/>
      <c r="AY62" s="516"/>
      <c r="AZ62" s="522"/>
      <c r="BA62" s="522"/>
      <c r="BB62" s="522"/>
      <c r="BC62" s="522"/>
      <c r="BD62" s="522"/>
      <c r="BE62" s="522"/>
      <c r="BF62" s="522"/>
      <c r="BG62" s="522"/>
    </row>
    <row r="63" spans="1:59" x14ac:dyDescent="0.25">
      <c r="A63" s="338">
        <v>5492</v>
      </c>
      <c r="B63" s="485" t="s">
        <v>165</v>
      </c>
      <c r="C63" s="390">
        <v>6057160.8099999996</v>
      </c>
      <c r="D63" s="390">
        <v>3670769.54</v>
      </c>
      <c r="E63" s="388"/>
      <c r="F63" s="390">
        <v>0</v>
      </c>
      <c r="G63" s="390">
        <v>34535.449999999997</v>
      </c>
      <c r="H63" s="390">
        <v>3012.05</v>
      </c>
      <c r="I63" s="390">
        <v>0</v>
      </c>
      <c r="J63" s="390">
        <v>101215.21</v>
      </c>
      <c r="K63" s="390">
        <v>4245.45</v>
      </c>
      <c r="L63" s="390">
        <v>73486.45</v>
      </c>
      <c r="M63" s="331">
        <f t="shared" si="0"/>
        <v>9944424.959999999</v>
      </c>
      <c r="N63" s="394">
        <v>6535.1</v>
      </c>
      <c r="O63" s="394">
        <v>138790.79999999999</v>
      </c>
      <c r="P63" s="394">
        <v>111883.75</v>
      </c>
      <c r="Q63" s="394">
        <v>6716.98</v>
      </c>
      <c r="R63" s="394">
        <v>69404.100000000006</v>
      </c>
      <c r="S63" s="394"/>
      <c r="T63" s="394"/>
      <c r="U63" s="394">
        <v>7260</v>
      </c>
      <c r="V63" s="394"/>
      <c r="W63" s="394"/>
      <c r="X63" s="379">
        <v>4503.71</v>
      </c>
      <c r="Y63" s="460">
        <f t="shared" si="1"/>
        <v>10289519.4</v>
      </c>
      <c r="Z63" s="395">
        <v>4320</v>
      </c>
      <c r="AA63" s="395"/>
      <c r="AB63" s="395">
        <v>18856</v>
      </c>
      <c r="AC63" s="395"/>
      <c r="AD63" s="395">
        <v>31444.799999999999</v>
      </c>
      <c r="AE63" s="395">
        <v>2707</v>
      </c>
      <c r="AF63" s="395"/>
      <c r="AG63" s="395"/>
      <c r="AH63" s="395"/>
      <c r="AI63" s="395">
        <v>27554.05</v>
      </c>
      <c r="AJ63" s="395"/>
      <c r="AK63" s="395"/>
      <c r="AL63" s="452"/>
      <c r="AM63" s="460">
        <f t="shared" si="2"/>
        <v>84881.85</v>
      </c>
      <c r="AN63" s="395">
        <v>64</v>
      </c>
      <c r="AO63" s="398">
        <v>964</v>
      </c>
      <c r="AP63" s="455">
        <v>-62889.32</v>
      </c>
      <c r="AQ63" s="465"/>
      <c r="AR63" s="465">
        <v>-6306.83</v>
      </c>
      <c r="AS63" s="470">
        <v>0.3</v>
      </c>
      <c r="AT63" s="516"/>
      <c r="AU63" s="516"/>
      <c r="AV63" s="516"/>
      <c r="AW63" s="516"/>
      <c r="AX63" s="516"/>
      <c r="AY63" s="516"/>
      <c r="AZ63" s="522"/>
      <c r="BA63" s="522"/>
      <c r="BB63" s="522"/>
      <c r="BC63" s="522"/>
      <c r="BD63" s="522"/>
      <c r="BE63" s="522"/>
      <c r="BF63" s="522"/>
      <c r="BG63" s="522"/>
    </row>
    <row r="64" spans="1:59" x14ac:dyDescent="0.25">
      <c r="A64" s="338">
        <v>5493</v>
      </c>
      <c r="B64" s="485" t="s">
        <v>166</v>
      </c>
      <c r="C64" s="390">
        <v>759812.46</v>
      </c>
      <c r="D64" s="390">
        <v>76360.600000000006</v>
      </c>
      <c r="E64" s="388"/>
      <c r="F64" s="390">
        <v>0</v>
      </c>
      <c r="G64" s="390">
        <v>25986.1</v>
      </c>
      <c r="H64" s="390">
        <v>1304.3499999999999</v>
      </c>
      <c r="I64" s="390">
        <v>0</v>
      </c>
      <c r="J64" s="390">
        <v>36469.08</v>
      </c>
      <c r="K64" s="390">
        <v>455.85</v>
      </c>
      <c r="L64" s="390">
        <v>39318.6</v>
      </c>
      <c r="M64" s="331">
        <f t="shared" si="0"/>
        <v>939707.0399999998</v>
      </c>
      <c r="N64" s="394">
        <v>72407.399999999994</v>
      </c>
      <c r="O64" s="394">
        <v>26175.5</v>
      </c>
      <c r="P64" s="394">
        <v>73882.3</v>
      </c>
      <c r="Q64" s="394">
        <v>9903.36</v>
      </c>
      <c r="R64" s="394">
        <v>23013.200000000001</v>
      </c>
      <c r="S64" s="394"/>
      <c r="T64" s="394"/>
      <c r="U64" s="394">
        <v>1825</v>
      </c>
      <c r="V64" s="394"/>
      <c r="W64" s="394"/>
      <c r="X64" s="379">
        <v>3273.4</v>
      </c>
      <c r="Y64" s="460">
        <f t="shared" si="1"/>
        <v>1150187.1999999997</v>
      </c>
      <c r="Z64" s="395">
        <v>2080</v>
      </c>
      <c r="AA64" s="395"/>
      <c r="AB64" s="395">
        <v>60833.3</v>
      </c>
      <c r="AC64" s="395"/>
      <c r="AD64" s="395">
        <v>28725.75</v>
      </c>
      <c r="AE64" s="395"/>
      <c r="AF64" s="395"/>
      <c r="AG64" s="395"/>
      <c r="AH64" s="395"/>
      <c r="AI64" s="395"/>
      <c r="AJ64" s="395"/>
      <c r="AK64" s="395"/>
      <c r="AL64" s="452"/>
      <c r="AM64" s="460">
        <f t="shared" si="2"/>
        <v>91639.05</v>
      </c>
      <c r="AN64" s="395">
        <v>73</v>
      </c>
      <c r="AO64" s="398">
        <v>462</v>
      </c>
      <c r="AP64" s="455">
        <v>-33436.629999999997</v>
      </c>
      <c r="AQ64" s="465"/>
      <c r="AR64" s="465">
        <v>-12.43</v>
      </c>
      <c r="AS64" s="470">
        <v>0.65</v>
      </c>
      <c r="AT64" s="516"/>
      <c r="AU64" s="516"/>
      <c r="AV64" s="516"/>
      <c r="AW64" s="516"/>
      <c r="AX64" s="516"/>
      <c r="AY64" s="516"/>
      <c r="AZ64" s="522"/>
      <c r="BA64" s="522"/>
      <c r="BB64" s="522"/>
      <c r="BC64" s="522"/>
      <c r="BD64" s="522"/>
      <c r="BE64" s="522"/>
      <c r="BF64" s="522"/>
      <c r="BG64" s="522"/>
    </row>
    <row r="65" spans="1:59" x14ac:dyDescent="0.25">
      <c r="A65" s="338">
        <v>5494</v>
      </c>
      <c r="B65" s="485" t="s">
        <v>167</v>
      </c>
      <c r="C65" s="390">
        <v>2250238.1</v>
      </c>
      <c r="D65" s="390">
        <v>234414.92</v>
      </c>
      <c r="E65" s="388"/>
      <c r="F65" s="390">
        <v>0</v>
      </c>
      <c r="G65" s="390">
        <v>79</v>
      </c>
      <c r="H65" s="390">
        <v>4182.8</v>
      </c>
      <c r="I65" s="390">
        <v>0</v>
      </c>
      <c r="J65" s="390">
        <v>35288.769999999997</v>
      </c>
      <c r="K65" s="390">
        <v>2805.45</v>
      </c>
      <c r="L65" s="390">
        <v>230450.85</v>
      </c>
      <c r="M65" s="331">
        <f t="shared" si="0"/>
        <v>2757459.89</v>
      </c>
      <c r="N65" s="394">
        <v>25200.400000000001</v>
      </c>
      <c r="O65" s="394">
        <v>0</v>
      </c>
      <c r="P65" s="394">
        <v>157347.6</v>
      </c>
      <c r="Q65" s="394">
        <v>32797.43</v>
      </c>
      <c r="R65" s="394">
        <v>37034.5</v>
      </c>
      <c r="S65" s="394"/>
      <c r="T65" s="394"/>
      <c r="U65" s="394">
        <v>6080</v>
      </c>
      <c r="V65" s="394"/>
      <c r="W65" s="394"/>
      <c r="X65" s="379">
        <v>511.19</v>
      </c>
      <c r="Y65" s="460">
        <f t="shared" si="1"/>
        <v>3016431.0100000002</v>
      </c>
      <c r="Z65" s="395">
        <v>26279.01</v>
      </c>
      <c r="AA65" s="395">
        <v>12989.27</v>
      </c>
      <c r="AB65" s="395">
        <v>157507.21</v>
      </c>
      <c r="AC65" s="395"/>
      <c r="AD65" s="395">
        <v>104508.62</v>
      </c>
      <c r="AE65" s="395">
        <v>42108.63</v>
      </c>
      <c r="AF65" s="395">
        <v>13306</v>
      </c>
      <c r="AG65" s="395"/>
      <c r="AH65" s="395"/>
      <c r="AI65" s="395"/>
      <c r="AJ65" s="395"/>
      <c r="AK65" s="395"/>
      <c r="AL65" s="452"/>
      <c r="AM65" s="460">
        <f t="shared" si="2"/>
        <v>356698.74</v>
      </c>
      <c r="AN65" s="395">
        <v>73</v>
      </c>
      <c r="AO65" s="398">
        <v>1128</v>
      </c>
      <c r="AP65" s="455">
        <v>-107033.01</v>
      </c>
      <c r="AQ65" s="465"/>
      <c r="AR65" s="465">
        <v>-386.89</v>
      </c>
      <c r="AS65" s="470">
        <v>1.05</v>
      </c>
      <c r="AT65" s="516"/>
      <c r="AU65" s="516"/>
      <c r="AV65" s="516"/>
      <c r="AW65" s="516"/>
      <c r="AX65" s="516"/>
      <c r="AY65" s="516"/>
      <c r="AZ65" s="522"/>
      <c r="BA65" s="522"/>
      <c r="BB65" s="522"/>
      <c r="BC65" s="522"/>
      <c r="BD65" s="522"/>
      <c r="BE65" s="522"/>
      <c r="BF65" s="522"/>
      <c r="BG65" s="522"/>
    </row>
    <row r="66" spans="1:59" x14ac:dyDescent="0.25">
      <c r="A66" s="338">
        <v>5495</v>
      </c>
      <c r="B66" s="485" t="s">
        <v>168</v>
      </c>
      <c r="C66" s="390">
        <v>5539969.3899999997</v>
      </c>
      <c r="D66" s="390">
        <v>618875.32999999996</v>
      </c>
      <c r="E66" s="388"/>
      <c r="F66" s="390">
        <v>0</v>
      </c>
      <c r="G66" s="390">
        <v>53984.85</v>
      </c>
      <c r="H66" s="390">
        <v>8451.75</v>
      </c>
      <c r="I66" s="390">
        <v>78730.81</v>
      </c>
      <c r="J66" s="390">
        <v>190029.21</v>
      </c>
      <c r="K66" s="390">
        <v>67979.850000000006</v>
      </c>
      <c r="L66" s="390">
        <v>483696.95</v>
      </c>
      <c r="M66" s="331">
        <f t="shared" si="0"/>
        <v>7041718.1399999987</v>
      </c>
      <c r="N66" s="394">
        <v>253218.8</v>
      </c>
      <c r="O66" s="394">
        <v>39110</v>
      </c>
      <c r="P66" s="394">
        <v>270017.09999999998</v>
      </c>
      <c r="Q66" s="394">
        <v>7944.7</v>
      </c>
      <c r="R66" s="394">
        <v>116011.65</v>
      </c>
      <c r="S66" s="394">
        <v>10920.1</v>
      </c>
      <c r="T66" s="394"/>
      <c r="U66" s="394">
        <v>12510</v>
      </c>
      <c r="V66" s="394"/>
      <c r="W66" s="394"/>
      <c r="X66" s="379">
        <v>7489.08</v>
      </c>
      <c r="Y66" s="460">
        <f t="shared" si="1"/>
        <v>7758939.5699999984</v>
      </c>
      <c r="Z66" s="395">
        <v>36409.550000000003</v>
      </c>
      <c r="AA66" s="395"/>
      <c r="AB66" s="395">
        <v>77929.2</v>
      </c>
      <c r="AC66" s="395">
        <v>479594.8</v>
      </c>
      <c r="AD66" s="395">
        <v>251892.5</v>
      </c>
      <c r="AE66" s="395">
        <v>13306.85</v>
      </c>
      <c r="AF66" s="395"/>
      <c r="AG66" s="395"/>
      <c r="AH66" s="395">
        <v>8078.1</v>
      </c>
      <c r="AI66" s="395">
        <v>72443.199999999997</v>
      </c>
      <c r="AJ66" s="395"/>
      <c r="AK66" s="395"/>
      <c r="AL66" s="452">
        <v>21312.35</v>
      </c>
      <c r="AM66" s="460">
        <f t="shared" si="2"/>
        <v>960966.54999999993</v>
      </c>
      <c r="AN66" s="395">
        <v>74</v>
      </c>
      <c r="AO66" s="398">
        <v>3207</v>
      </c>
      <c r="AP66" s="455">
        <v>-145970.59</v>
      </c>
      <c r="AQ66" s="465"/>
      <c r="AR66" s="465">
        <v>-2432.35</v>
      </c>
      <c r="AS66" s="470">
        <v>1</v>
      </c>
      <c r="AT66" s="516"/>
      <c r="AU66" s="516"/>
      <c r="AV66" s="516"/>
      <c r="AW66" s="516"/>
      <c r="AX66" s="516"/>
      <c r="AY66" s="516"/>
      <c r="AZ66" s="522"/>
      <c r="BA66" s="522"/>
      <c r="BB66" s="522"/>
      <c r="BC66" s="522"/>
      <c r="BD66" s="522"/>
      <c r="BE66" s="522"/>
      <c r="BF66" s="522"/>
      <c r="BG66" s="522"/>
    </row>
    <row r="67" spans="1:59" x14ac:dyDescent="0.25">
      <c r="A67" s="338">
        <v>5496</v>
      </c>
      <c r="B67" s="485" t="s">
        <v>169</v>
      </c>
      <c r="C67" s="390">
        <v>3422843.61</v>
      </c>
      <c r="D67" s="390">
        <v>311795.25</v>
      </c>
      <c r="E67" s="388"/>
      <c r="F67" s="390">
        <v>0</v>
      </c>
      <c r="G67" s="390">
        <v>43854.85</v>
      </c>
      <c r="H67" s="390">
        <v>18360.150000000001</v>
      </c>
      <c r="I67" s="390">
        <v>0</v>
      </c>
      <c r="J67" s="390">
        <v>88669.98</v>
      </c>
      <c r="K67" s="390">
        <v>20912.599999999999</v>
      </c>
      <c r="L67" s="390">
        <v>337197.7</v>
      </c>
      <c r="M67" s="331">
        <f t="shared" si="0"/>
        <v>4243634.1399999997</v>
      </c>
      <c r="N67" s="394">
        <v>84746.65</v>
      </c>
      <c r="O67" s="394">
        <v>37736.6</v>
      </c>
      <c r="P67" s="394">
        <v>206027.45</v>
      </c>
      <c r="Q67" s="394">
        <v>8458.61</v>
      </c>
      <c r="R67" s="394">
        <v>65521.2</v>
      </c>
      <c r="S67" s="394">
        <v>7250</v>
      </c>
      <c r="T67" s="394"/>
      <c r="U67" s="394">
        <v>13650</v>
      </c>
      <c r="V67" s="394"/>
      <c r="W67" s="394"/>
      <c r="X67" s="379">
        <v>7462.5</v>
      </c>
      <c r="Y67" s="460">
        <f t="shared" si="1"/>
        <v>4674487.1500000004</v>
      </c>
      <c r="Z67" s="395">
        <v>52897.45</v>
      </c>
      <c r="AA67" s="395"/>
      <c r="AB67" s="395"/>
      <c r="AC67" s="395">
        <v>246871.55</v>
      </c>
      <c r="AD67" s="395">
        <v>105690</v>
      </c>
      <c r="AE67" s="395">
        <v>52897.45</v>
      </c>
      <c r="AF67" s="395"/>
      <c r="AG67" s="395"/>
      <c r="AH67" s="395">
        <v>8624</v>
      </c>
      <c r="AI67" s="395">
        <v>50907.25</v>
      </c>
      <c r="AJ67" s="395"/>
      <c r="AK67" s="395"/>
      <c r="AL67" s="452"/>
      <c r="AM67" s="460">
        <f t="shared" si="2"/>
        <v>517887.7</v>
      </c>
      <c r="AN67" s="395">
        <v>69.5</v>
      </c>
      <c r="AO67" s="398">
        <v>1855</v>
      </c>
      <c r="AP67" s="455">
        <v>-80202.8</v>
      </c>
      <c r="AQ67" s="465"/>
      <c r="AR67" s="465">
        <v>-239.67</v>
      </c>
      <c r="AS67" s="470">
        <v>1</v>
      </c>
      <c r="AT67" s="516"/>
      <c r="AU67" s="516"/>
      <c r="AV67" s="516"/>
      <c r="AW67" s="516"/>
      <c r="AX67" s="516"/>
      <c r="AY67" s="516"/>
      <c r="AZ67" s="522"/>
      <c r="BA67" s="522"/>
      <c r="BB67" s="522"/>
      <c r="BC67" s="522"/>
      <c r="BD67" s="522"/>
      <c r="BE67" s="522"/>
      <c r="BF67" s="522"/>
      <c r="BG67" s="522"/>
    </row>
    <row r="68" spans="1:59" x14ac:dyDescent="0.25">
      <c r="A68" s="338">
        <v>5497</v>
      </c>
      <c r="B68" s="485" t="s">
        <v>170</v>
      </c>
      <c r="C68" s="390">
        <v>1074997.8799999999</v>
      </c>
      <c r="D68" s="390">
        <v>114145.41</v>
      </c>
      <c r="E68" s="388"/>
      <c r="F68" s="390">
        <v>0</v>
      </c>
      <c r="G68" s="390">
        <v>-12478.55</v>
      </c>
      <c r="H68" s="390">
        <v>2370.4</v>
      </c>
      <c r="I68" s="390">
        <v>0</v>
      </c>
      <c r="J68" s="390">
        <v>39390.080000000002</v>
      </c>
      <c r="K68" s="390">
        <v>3864.6</v>
      </c>
      <c r="L68" s="390">
        <v>147841.60000000001</v>
      </c>
      <c r="M68" s="331">
        <f t="shared" si="0"/>
        <v>1370131.42</v>
      </c>
      <c r="N68" s="394">
        <v>213258.85</v>
      </c>
      <c r="O68" s="394">
        <v>5039.8</v>
      </c>
      <c r="P68" s="394">
        <v>15180.5</v>
      </c>
      <c r="Q68" s="394">
        <v>150.94</v>
      </c>
      <c r="R68" s="394">
        <v>12418.2</v>
      </c>
      <c r="S68" s="394"/>
      <c r="T68" s="394"/>
      <c r="U68" s="394">
        <v>2925</v>
      </c>
      <c r="V68" s="394"/>
      <c r="W68" s="394"/>
      <c r="X68" s="379">
        <v>-1212.44</v>
      </c>
      <c r="Y68" s="460">
        <f t="shared" si="1"/>
        <v>1617892.27</v>
      </c>
      <c r="Z68" s="395">
        <v>12482.8</v>
      </c>
      <c r="AA68" s="395"/>
      <c r="AB68" s="395">
        <v>94044.6</v>
      </c>
      <c r="AC68" s="395"/>
      <c r="AD68" s="395">
        <v>94013.69</v>
      </c>
      <c r="AE68" s="395"/>
      <c r="AF68" s="395"/>
      <c r="AG68" s="395"/>
      <c r="AH68" s="395"/>
      <c r="AI68" s="395">
        <v>28468.7</v>
      </c>
      <c r="AJ68" s="395"/>
      <c r="AK68" s="395"/>
      <c r="AL68" s="452"/>
      <c r="AM68" s="460">
        <f t="shared" si="2"/>
        <v>229009.79000000004</v>
      </c>
      <c r="AN68" s="395">
        <v>66</v>
      </c>
      <c r="AO68" s="398">
        <v>847</v>
      </c>
      <c r="AP68" s="455">
        <v>-22727.43</v>
      </c>
      <c r="AQ68" s="465"/>
      <c r="AR68" s="465">
        <v>-141.41</v>
      </c>
      <c r="AS68" s="470">
        <v>1</v>
      </c>
      <c r="AT68" s="516"/>
      <c r="AU68" s="516"/>
      <c r="AV68" s="516"/>
      <c r="AW68" s="516"/>
      <c r="AX68" s="516"/>
      <c r="AY68" s="516"/>
      <c r="AZ68" s="522"/>
      <c r="BA68" s="522"/>
      <c r="BB68" s="522"/>
      <c r="BC68" s="522"/>
      <c r="BD68" s="522"/>
      <c r="BE68" s="522"/>
      <c r="BF68" s="522"/>
      <c r="BG68" s="522"/>
    </row>
    <row r="69" spans="1:59" x14ac:dyDescent="0.25">
      <c r="A69" s="338">
        <v>5498</v>
      </c>
      <c r="B69" s="485" t="s">
        <v>171</v>
      </c>
      <c r="C69" s="390">
        <v>4137746.03</v>
      </c>
      <c r="D69" s="390">
        <v>466301.8</v>
      </c>
      <c r="E69" s="388"/>
      <c r="F69" s="390">
        <v>0</v>
      </c>
      <c r="G69" s="390">
        <v>48142.95</v>
      </c>
      <c r="H69" s="390">
        <v>7763.7</v>
      </c>
      <c r="I69" s="390">
        <v>0</v>
      </c>
      <c r="J69" s="390">
        <v>122651.8</v>
      </c>
      <c r="K69" s="390">
        <v>15544.65</v>
      </c>
      <c r="L69" s="390">
        <v>404938.35</v>
      </c>
      <c r="M69" s="331">
        <f t="shared" si="0"/>
        <v>5203089.28</v>
      </c>
      <c r="N69" s="394">
        <v>80908.7</v>
      </c>
      <c r="O69" s="394">
        <v>3821.3</v>
      </c>
      <c r="P69" s="394">
        <v>186689.9</v>
      </c>
      <c r="Q69" s="394">
        <v>-1517.98</v>
      </c>
      <c r="R69" s="394">
        <v>102073.4</v>
      </c>
      <c r="S69" s="394">
        <v>1150</v>
      </c>
      <c r="T69" s="394">
        <v>9521.9500000000007</v>
      </c>
      <c r="U69" s="394">
        <v>18000</v>
      </c>
      <c r="V69" s="394"/>
      <c r="W69" s="394"/>
      <c r="X69" s="379">
        <v>6705.83</v>
      </c>
      <c r="Y69" s="460">
        <f t="shared" si="1"/>
        <v>5610442.3800000008</v>
      </c>
      <c r="Z69" s="395">
        <v>23571</v>
      </c>
      <c r="AA69" s="395"/>
      <c r="AB69" s="395">
        <v>342022.2</v>
      </c>
      <c r="AC69" s="395"/>
      <c r="AD69" s="395">
        <v>288469.84999999998</v>
      </c>
      <c r="AE69" s="395"/>
      <c r="AF69" s="395"/>
      <c r="AG69" s="395"/>
      <c r="AH69" s="395"/>
      <c r="AI69" s="395">
        <v>55643.199999999997</v>
      </c>
      <c r="AJ69" s="395"/>
      <c r="AK69" s="395"/>
      <c r="AL69" s="452"/>
      <c r="AM69" s="460">
        <f t="shared" si="2"/>
        <v>709706.25</v>
      </c>
      <c r="AN69" s="395">
        <v>66</v>
      </c>
      <c r="AO69" s="398">
        <v>2598</v>
      </c>
      <c r="AP69" s="455">
        <v>-92376.85</v>
      </c>
      <c r="AQ69" s="465"/>
      <c r="AR69" s="465">
        <v>-356.31</v>
      </c>
      <c r="AS69" s="470">
        <v>1</v>
      </c>
      <c r="AT69" s="516"/>
      <c r="AU69" s="516"/>
      <c r="AV69" s="516"/>
      <c r="AW69" s="516"/>
      <c r="AX69" s="516"/>
      <c r="AY69" s="516"/>
      <c r="AZ69" s="522"/>
      <c r="BA69" s="522"/>
      <c r="BB69" s="522"/>
      <c r="BC69" s="522"/>
      <c r="BD69" s="522"/>
      <c r="BE69" s="522"/>
      <c r="BF69" s="522"/>
      <c r="BG69" s="522"/>
    </row>
    <row r="70" spans="1:59" x14ac:dyDescent="0.25">
      <c r="A70" s="338">
        <v>5499</v>
      </c>
      <c r="B70" s="485" t="s">
        <v>172</v>
      </c>
      <c r="C70" s="390">
        <v>1012881.53</v>
      </c>
      <c r="D70" s="390">
        <v>188884.9</v>
      </c>
      <c r="E70" s="388"/>
      <c r="F70" s="390">
        <v>0</v>
      </c>
      <c r="G70" s="390">
        <v>28779.75</v>
      </c>
      <c r="H70" s="390">
        <v>478.1</v>
      </c>
      <c r="I70" s="390">
        <v>0</v>
      </c>
      <c r="J70" s="390">
        <v>13064.58</v>
      </c>
      <c r="K70" s="390">
        <v>0</v>
      </c>
      <c r="L70" s="390">
        <v>99314.8</v>
      </c>
      <c r="M70" s="331">
        <f t="shared" si="0"/>
        <v>1343403.6600000001</v>
      </c>
      <c r="N70" s="394">
        <v>15029.85</v>
      </c>
      <c r="O70" s="394">
        <v>101975.7</v>
      </c>
      <c r="P70" s="394">
        <v>75413.8</v>
      </c>
      <c r="Q70" s="394">
        <v>0</v>
      </c>
      <c r="R70" s="394">
        <v>64569</v>
      </c>
      <c r="S70" s="394"/>
      <c r="T70" s="394"/>
      <c r="U70" s="394">
        <v>1425</v>
      </c>
      <c r="V70" s="394"/>
      <c r="W70" s="394"/>
      <c r="X70" s="379">
        <v>3509.39</v>
      </c>
      <c r="Y70" s="460">
        <f t="shared" si="1"/>
        <v>1605326.4000000001</v>
      </c>
      <c r="Z70" s="395">
        <v>18001.599999999999</v>
      </c>
      <c r="AA70" s="395"/>
      <c r="AB70" s="395">
        <v>33220</v>
      </c>
      <c r="AC70" s="395"/>
      <c r="AD70" s="395">
        <v>39592.199999999997</v>
      </c>
      <c r="AE70" s="395"/>
      <c r="AF70" s="395">
        <v>18001.599999999999</v>
      </c>
      <c r="AG70" s="395"/>
      <c r="AH70" s="395"/>
      <c r="AI70" s="395"/>
      <c r="AJ70" s="395"/>
      <c r="AK70" s="395"/>
      <c r="AL70" s="452"/>
      <c r="AM70" s="460">
        <f t="shared" si="2"/>
        <v>108815.4</v>
      </c>
      <c r="AN70" s="395">
        <v>68.5</v>
      </c>
      <c r="AO70" s="398">
        <v>496</v>
      </c>
      <c r="AP70" s="455">
        <v>-255.22</v>
      </c>
      <c r="AQ70" s="465"/>
      <c r="AR70" s="465">
        <v>-328.18</v>
      </c>
      <c r="AS70" s="470">
        <v>1</v>
      </c>
      <c r="AT70" s="516"/>
      <c r="AU70" s="516"/>
      <c r="AV70" s="516"/>
      <c r="AW70" s="516"/>
      <c r="AX70" s="516"/>
      <c r="AY70" s="516"/>
      <c r="AZ70" s="522"/>
      <c r="BA70" s="522"/>
      <c r="BB70" s="522"/>
      <c r="BC70" s="522"/>
      <c r="BD70" s="522"/>
      <c r="BE70" s="522"/>
      <c r="BF70" s="522"/>
      <c r="BG70" s="522"/>
    </row>
    <row r="71" spans="1:59" x14ac:dyDescent="0.25">
      <c r="A71" s="338">
        <v>5500</v>
      </c>
      <c r="B71" s="485" t="s">
        <v>173</v>
      </c>
      <c r="C71" s="390">
        <v>439904.47</v>
      </c>
      <c r="D71" s="390">
        <v>87103.31</v>
      </c>
      <c r="E71" s="388"/>
      <c r="F71" s="390">
        <v>0</v>
      </c>
      <c r="G71" s="390">
        <v>5719.65</v>
      </c>
      <c r="H71" s="390">
        <v>591.1</v>
      </c>
      <c r="I71" s="390">
        <v>0</v>
      </c>
      <c r="J71" s="390">
        <v>2401.0700000000002</v>
      </c>
      <c r="K71" s="390">
        <v>469.95</v>
      </c>
      <c r="L71" s="390">
        <v>51500.4</v>
      </c>
      <c r="M71" s="331">
        <f t="shared" ref="M71:M134" si="3">SUM(C71:L71)</f>
        <v>587689.94999999995</v>
      </c>
      <c r="N71" s="394">
        <v>0</v>
      </c>
      <c r="O71" s="394">
        <v>0</v>
      </c>
      <c r="P71" s="394">
        <v>14527.45</v>
      </c>
      <c r="Q71" s="394">
        <v>2012.25</v>
      </c>
      <c r="R71" s="394">
        <v>13159.1</v>
      </c>
      <c r="S71" s="394"/>
      <c r="T71" s="394"/>
      <c r="U71" s="394">
        <v>1150</v>
      </c>
      <c r="V71" s="394"/>
      <c r="W71" s="394"/>
      <c r="X71" s="379">
        <v>756.95</v>
      </c>
      <c r="Y71" s="460">
        <f t="shared" si="1"/>
        <v>619295.69999999984</v>
      </c>
      <c r="Z71" s="395">
        <v>242</v>
      </c>
      <c r="AA71" s="395"/>
      <c r="AB71" s="395">
        <v>29016.799999999999</v>
      </c>
      <c r="AC71" s="395"/>
      <c r="AD71" s="395">
        <v>20583.349999999999</v>
      </c>
      <c r="AE71" s="395">
        <v>132</v>
      </c>
      <c r="AF71" s="395"/>
      <c r="AG71" s="395"/>
      <c r="AH71" s="395"/>
      <c r="AI71" s="395"/>
      <c r="AJ71" s="395"/>
      <c r="AK71" s="395"/>
      <c r="AL71" s="452"/>
      <c r="AM71" s="460">
        <f t="shared" si="2"/>
        <v>49974.149999999994</v>
      </c>
      <c r="AN71" s="395">
        <v>73</v>
      </c>
      <c r="AO71" s="398">
        <v>214</v>
      </c>
      <c r="AP71" s="455">
        <v>-33172.57</v>
      </c>
      <c r="AQ71" s="465"/>
      <c r="AR71" s="465">
        <v>-24.95</v>
      </c>
      <c r="AS71" s="470">
        <v>1.2</v>
      </c>
      <c r="AT71" s="516"/>
      <c r="AU71" s="516"/>
      <c r="AV71" s="516"/>
      <c r="AW71" s="516"/>
      <c r="AX71" s="516"/>
      <c r="AY71" s="516"/>
      <c r="AZ71" s="522"/>
      <c r="BA71" s="522"/>
      <c r="BB71" s="522"/>
      <c r="BC71" s="522"/>
      <c r="BD71" s="522"/>
      <c r="BE71" s="522"/>
      <c r="BF71" s="522"/>
      <c r="BG71" s="522"/>
    </row>
    <row r="72" spans="1:59" x14ac:dyDescent="0.25">
      <c r="A72" s="338">
        <v>5501</v>
      </c>
      <c r="B72" s="485" t="s">
        <v>174</v>
      </c>
      <c r="C72" s="390">
        <v>2120436.9300000002</v>
      </c>
      <c r="D72" s="390">
        <v>522946.87</v>
      </c>
      <c r="E72" s="388"/>
      <c r="F72" s="390">
        <v>0</v>
      </c>
      <c r="G72" s="390">
        <v>35198.85</v>
      </c>
      <c r="H72" s="390">
        <v>526.65</v>
      </c>
      <c r="I72" s="390">
        <v>-76949.3</v>
      </c>
      <c r="J72" s="390">
        <v>45296.28</v>
      </c>
      <c r="K72" s="390">
        <v>-78.400000000000006</v>
      </c>
      <c r="L72" s="390">
        <v>226887.35</v>
      </c>
      <c r="M72" s="331">
        <f t="shared" si="3"/>
        <v>2874265.2300000004</v>
      </c>
      <c r="N72" s="394">
        <v>6179.4</v>
      </c>
      <c r="O72" s="394">
        <v>5956374</v>
      </c>
      <c r="P72" s="394">
        <v>200417.65</v>
      </c>
      <c r="Q72" s="394">
        <v>15405.19</v>
      </c>
      <c r="R72" s="394">
        <v>215513.60000000001</v>
      </c>
      <c r="S72" s="394"/>
      <c r="T72" s="394"/>
      <c r="U72" s="394">
        <v>4125</v>
      </c>
      <c r="V72" s="394"/>
      <c r="W72" s="394"/>
      <c r="X72" s="379">
        <v>4285.16</v>
      </c>
      <c r="Y72" s="460">
        <f t="shared" ref="Y72:Y135" si="4">SUM(M72:X72)</f>
        <v>9276565.2300000004</v>
      </c>
      <c r="Z72" s="395">
        <v>69079.55</v>
      </c>
      <c r="AA72" s="395"/>
      <c r="AB72" s="395">
        <v>39575.599999999999</v>
      </c>
      <c r="AC72" s="395"/>
      <c r="AD72" s="395">
        <v>119000.7</v>
      </c>
      <c r="AE72" s="395">
        <v>98492.45</v>
      </c>
      <c r="AF72" s="395"/>
      <c r="AG72" s="395"/>
      <c r="AH72" s="395"/>
      <c r="AI72" s="395"/>
      <c r="AJ72" s="395"/>
      <c r="AK72" s="395"/>
      <c r="AL72" s="452"/>
      <c r="AM72" s="460">
        <f t="shared" ref="AM72:AM135" si="5">SUM(Z72:AL72)</f>
        <v>326148.3</v>
      </c>
      <c r="AN72" s="395">
        <v>68.5</v>
      </c>
      <c r="AO72" s="398">
        <v>1041</v>
      </c>
      <c r="AP72" s="455">
        <v>-21505.52</v>
      </c>
      <c r="AQ72" s="465"/>
      <c r="AR72" s="465">
        <v>-851.87</v>
      </c>
      <c r="AS72" s="470">
        <v>1</v>
      </c>
      <c r="AT72" s="516"/>
      <c r="AU72" s="516"/>
      <c r="AV72" s="516"/>
      <c r="AW72" s="516"/>
      <c r="AX72" s="516"/>
      <c r="AY72" s="516"/>
      <c r="AZ72" s="522"/>
      <c r="BA72" s="522"/>
      <c r="BB72" s="522"/>
      <c r="BC72" s="522"/>
      <c r="BD72" s="522"/>
      <c r="BE72" s="522"/>
      <c r="BF72" s="522"/>
      <c r="BG72" s="522"/>
    </row>
    <row r="73" spans="1:59" x14ac:dyDescent="0.25">
      <c r="A73" s="338">
        <v>5503</v>
      </c>
      <c r="B73" s="485" t="s">
        <v>175</v>
      </c>
      <c r="C73" s="390">
        <v>2992558.39</v>
      </c>
      <c r="D73" s="390">
        <v>477042.71</v>
      </c>
      <c r="E73" s="388"/>
      <c r="F73" s="390">
        <v>0</v>
      </c>
      <c r="G73" s="390">
        <v>486392.4</v>
      </c>
      <c r="H73" s="390">
        <v>17394.75</v>
      </c>
      <c r="I73" s="390">
        <v>0</v>
      </c>
      <c r="J73" s="390">
        <v>75571.78</v>
      </c>
      <c r="K73" s="390">
        <v>34894.550000000003</v>
      </c>
      <c r="L73" s="390">
        <v>445164.2</v>
      </c>
      <c r="M73" s="331">
        <f t="shared" si="3"/>
        <v>4529018.7799999993</v>
      </c>
      <c r="N73" s="394">
        <v>90208.95</v>
      </c>
      <c r="O73" s="394">
        <v>157734.20000000001</v>
      </c>
      <c r="P73" s="394">
        <v>52834.7</v>
      </c>
      <c r="Q73" s="394">
        <v>1599.13</v>
      </c>
      <c r="R73" s="394">
        <v>28902.25</v>
      </c>
      <c r="S73" s="394"/>
      <c r="T73" s="394"/>
      <c r="U73" s="394">
        <v>6760</v>
      </c>
      <c r="V73" s="394"/>
      <c r="W73" s="394"/>
      <c r="X73" s="379">
        <v>60427.7</v>
      </c>
      <c r="Y73" s="460">
        <f t="shared" si="4"/>
        <v>4927485.71</v>
      </c>
      <c r="Z73" s="395">
        <v>191296.7</v>
      </c>
      <c r="AA73" s="395"/>
      <c r="AB73" s="395">
        <v>209922.8</v>
      </c>
      <c r="AC73" s="395"/>
      <c r="AD73" s="395">
        <v>145873.35</v>
      </c>
      <c r="AE73" s="395">
        <v>204671.85</v>
      </c>
      <c r="AF73" s="395"/>
      <c r="AG73" s="395"/>
      <c r="AH73" s="395"/>
      <c r="AI73" s="395"/>
      <c r="AJ73" s="395"/>
      <c r="AK73" s="395"/>
      <c r="AL73" s="452"/>
      <c r="AM73" s="460">
        <f t="shared" si="5"/>
        <v>751764.7</v>
      </c>
      <c r="AN73" s="395">
        <v>67</v>
      </c>
      <c r="AO73" s="398">
        <v>1349</v>
      </c>
      <c r="AP73" s="455">
        <v>-48348.13</v>
      </c>
      <c r="AQ73" s="465"/>
      <c r="AR73" s="465">
        <v>-1085.33</v>
      </c>
      <c r="AS73" s="470">
        <v>1.2</v>
      </c>
      <c r="AT73" s="516"/>
      <c r="AU73" s="516"/>
      <c r="AV73" s="516"/>
      <c r="AW73" s="516"/>
      <c r="AX73" s="516"/>
      <c r="AY73" s="516"/>
      <c r="AZ73" s="522"/>
      <c r="BA73" s="522"/>
      <c r="BB73" s="522"/>
      <c r="BC73" s="522"/>
      <c r="BD73" s="522"/>
      <c r="BE73" s="522"/>
      <c r="BF73" s="522"/>
      <c r="BG73" s="522"/>
    </row>
    <row r="74" spans="1:59" x14ac:dyDescent="0.25">
      <c r="A74" s="338">
        <v>5511</v>
      </c>
      <c r="B74" s="485" t="s">
        <v>176</v>
      </c>
      <c r="C74" s="390">
        <v>2308029.88</v>
      </c>
      <c r="D74" s="390">
        <v>294972.92</v>
      </c>
      <c r="E74" s="388"/>
      <c r="F74" s="390">
        <v>0</v>
      </c>
      <c r="G74" s="390">
        <v>189115.35</v>
      </c>
      <c r="H74" s="390">
        <v>4965.6499999999996</v>
      </c>
      <c r="I74" s="390">
        <v>0</v>
      </c>
      <c r="J74" s="390">
        <v>35956.800000000003</v>
      </c>
      <c r="K74" s="390">
        <v>6306.55</v>
      </c>
      <c r="L74" s="390">
        <v>251989.8</v>
      </c>
      <c r="M74" s="331">
        <f t="shared" si="3"/>
        <v>3091336.9499999993</v>
      </c>
      <c r="N74" s="394">
        <v>19141.8</v>
      </c>
      <c r="O74" s="394">
        <v>0</v>
      </c>
      <c r="P74" s="394">
        <v>63532.7</v>
      </c>
      <c r="Q74" s="394">
        <v>22377.64</v>
      </c>
      <c r="R74" s="394">
        <v>53718.5</v>
      </c>
      <c r="S74" s="394"/>
      <c r="T74" s="394">
        <v>12771.25</v>
      </c>
      <c r="U74" s="394">
        <v>13875</v>
      </c>
      <c r="V74" s="394"/>
      <c r="W74" s="394"/>
      <c r="X74" s="379">
        <v>23279.41</v>
      </c>
      <c r="Y74" s="460">
        <f t="shared" si="4"/>
        <v>3300033.2499999995</v>
      </c>
      <c r="Z74" s="395">
        <v>9192.9</v>
      </c>
      <c r="AA74" s="395"/>
      <c r="AB74" s="395">
        <v>266103.40000000002</v>
      </c>
      <c r="AC74" s="395"/>
      <c r="AD74" s="395">
        <v>139848.4</v>
      </c>
      <c r="AE74" s="395">
        <v>8127.85</v>
      </c>
      <c r="AF74" s="395"/>
      <c r="AG74" s="395"/>
      <c r="AH74" s="395"/>
      <c r="AI74" s="395">
        <v>23432.9</v>
      </c>
      <c r="AJ74" s="395"/>
      <c r="AK74" s="395"/>
      <c r="AL74" s="452"/>
      <c r="AM74" s="460">
        <f t="shared" si="5"/>
        <v>446705.45000000007</v>
      </c>
      <c r="AN74" s="395">
        <v>70</v>
      </c>
      <c r="AO74" s="398">
        <v>1141</v>
      </c>
      <c r="AP74" s="455">
        <v>-23428.68</v>
      </c>
      <c r="AQ74" s="465"/>
      <c r="AR74" s="465">
        <v>-333.34</v>
      </c>
      <c r="AS74" s="470">
        <v>1</v>
      </c>
      <c r="AT74" s="516"/>
      <c r="AU74" s="516"/>
      <c r="AV74" s="516"/>
      <c r="AW74" s="516"/>
      <c r="AX74" s="516"/>
      <c r="AY74" s="516"/>
      <c r="AZ74" s="522"/>
      <c r="BA74" s="522"/>
      <c r="BB74" s="522"/>
      <c r="BC74" s="522"/>
      <c r="BD74" s="522"/>
      <c r="BE74" s="522"/>
      <c r="BF74" s="522"/>
      <c r="BG74" s="522"/>
    </row>
    <row r="75" spans="1:59" x14ac:dyDescent="0.25">
      <c r="A75" s="338">
        <v>5512</v>
      </c>
      <c r="B75" s="485" t="s">
        <v>177</v>
      </c>
      <c r="C75" s="390">
        <v>2449835.96</v>
      </c>
      <c r="D75" s="390">
        <v>396930.92</v>
      </c>
      <c r="E75" s="388"/>
      <c r="F75" s="390">
        <v>0</v>
      </c>
      <c r="G75" s="390">
        <v>31666.1</v>
      </c>
      <c r="H75" s="390">
        <v>3627.95</v>
      </c>
      <c r="I75" s="390">
        <v>0</v>
      </c>
      <c r="J75" s="390">
        <v>62370.33</v>
      </c>
      <c r="K75" s="390">
        <v>9941.1</v>
      </c>
      <c r="L75" s="390">
        <v>260611.65</v>
      </c>
      <c r="M75" s="331">
        <f t="shared" si="3"/>
        <v>3214984.0100000002</v>
      </c>
      <c r="N75" s="394">
        <v>67506.7</v>
      </c>
      <c r="O75" s="394">
        <v>27240.400000000001</v>
      </c>
      <c r="P75" s="394">
        <v>56322.75</v>
      </c>
      <c r="Q75" s="394">
        <v>2543.9899999999998</v>
      </c>
      <c r="R75" s="394">
        <v>44301.1</v>
      </c>
      <c r="S75" s="394">
        <v>6205.35</v>
      </c>
      <c r="T75" s="394"/>
      <c r="U75" s="394">
        <v>9350</v>
      </c>
      <c r="V75" s="394"/>
      <c r="W75" s="394"/>
      <c r="X75" s="379">
        <v>4233.41</v>
      </c>
      <c r="Y75" s="460">
        <f t="shared" si="4"/>
        <v>3432687.7100000009</v>
      </c>
      <c r="Z75" s="395">
        <v>22284.15</v>
      </c>
      <c r="AA75" s="395"/>
      <c r="AB75" s="395">
        <v>386565.1</v>
      </c>
      <c r="AC75" s="395"/>
      <c r="AD75" s="395">
        <v>165319.5</v>
      </c>
      <c r="AE75" s="395">
        <v>23414.6</v>
      </c>
      <c r="AF75" s="395"/>
      <c r="AG75" s="395"/>
      <c r="AH75" s="395"/>
      <c r="AI75" s="395"/>
      <c r="AJ75" s="395"/>
      <c r="AK75" s="395"/>
      <c r="AL75" s="452"/>
      <c r="AM75" s="460">
        <f t="shared" si="5"/>
        <v>597583.35</v>
      </c>
      <c r="AN75" s="395">
        <v>79</v>
      </c>
      <c r="AO75" s="398">
        <v>1323</v>
      </c>
      <c r="AP75" s="455">
        <v>-35372.620000000003</v>
      </c>
      <c r="AQ75" s="465"/>
      <c r="AR75" s="465">
        <v>-1623.65</v>
      </c>
      <c r="AS75" s="470">
        <v>1</v>
      </c>
      <c r="AT75" s="516"/>
      <c r="AU75" s="516"/>
      <c r="AV75" s="516"/>
      <c r="AW75" s="516"/>
      <c r="AX75" s="516"/>
      <c r="AY75" s="516"/>
      <c r="AZ75" s="522"/>
      <c r="BA75" s="522"/>
      <c r="BB75" s="522"/>
      <c r="BC75" s="522"/>
      <c r="BD75" s="522"/>
      <c r="BE75" s="522"/>
      <c r="BF75" s="522"/>
      <c r="BG75" s="522"/>
    </row>
    <row r="76" spans="1:59" x14ac:dyDescent="0.25">
      <c r="A76" s="338">
        <v>5513</v>
      </c>
      <c r="B76" s="485" t="s">
        <v>178</v>
      </c>
      <c r="C76" s="390">
        <v>964148.39</v>
      </c>
      <c r="D76" s="390">
        <v>101107.66</v>
      </c>
      <c r="E76" s="388"/>
      <c r="F76" s="390">
        <v>0</v>
      </c>
      <c r="G76" s="390">
        <v>276426.75</v>
      </c>
      <c r="H76" s="390">
        <v>13986.55</v>
      </c>
      <c r="I76" s="390">
        <v>0</v>
      </c>
      <c r="J76" s="390">
        <v>29805.64</v>
      </c>
      <c r="K76" s="390">
        <v>10077.25</v>
      </c>
      <c r="L76" s="390">
        <v>59982.3</v>
      </c>
      <c r="M76" s="331">
        <f t="shared" si="3"/>
        <v>1455534.54</v>
      </c>
      <c r="N76" s="394">
        <v>308830.75</v>
      </c>
      <c r="O76" s="394">
        <v>2932.9</v>
      </c>
      <c r="P76" s="394">
        <v>31592</v>
      </c>
      <c r="Q76" s="394">
        <v>0</v>
      </c>
      <c r="R76" s="394">
        <v>35181.300000000003</v>
      </c>
      <c r="S76" s="394"/>
      <c r="T76" s="394"/>
      <c r="U76" s="394">
        <v>6825</v>
      </c>
      <c r="V76" s="394"/>
      <c r="W76" s="394"/>
      <c r="X76" s="379">
        <v>34834.17</v>
      </c>
      <c r="Y76" s="460">
        <f t="shared" si="4"/>
        <v>1875730.66</v>
      </c>
      <c r="Z76" s="395">
        <v>1455.6</v>
      </c>
      <c r="AA76" s="395"/>
      <c r="AB76" s="395">
        <v>84594</v>
      </c>
      <c r="AC76" s="395"/>
      <c r="AD76" s="395">
        <v>41965.15</v>
      </c>
      <c r="AE76" s="395">
        <v>2102.25</v>
      </c>
      <c r="AF76" s="395"/>
      <c r="AG76" s="395"/>
      <c r="AH76" s="395"/>
      <c r="AI76" s="395"/>
      <c r="AJ76" s="395"/>
      <c r="AK76" s="395"/>
      <c r="AL76" s="452"/>
      <c r="AM76" s="460">
        <f t="shared" si="5"/>
        <v>130117</v>
      </c>
      <c r="AN76" s="395">
        <v>68</v>
      </c>
      <c r="AO76" s="398">
        <v>525</v>
      </c>
      <c r="AP76" s="455">
        <v>-10493.57</v>
      </c>
      <c r="AQ76" s="465"/>
      <c r="AR76" s="465">
        <v>0</v>
      </c>
      <c r="AS76" s="470">
        <v>0.5</v>
      </c>
      <c r="AT76" s="516"/>
      <c r="AU76" s="516"/>
      <c r="AV76" s="516"/>
      <c r="AW76" s="516"/>
      <c r="AX76" s="516"/>
      <c r="AY76" s="516"/>
      <c r="AZ76" s="522"/>
      <c r="BA76" s="522"/>
      <c r="BB76" s="522"/>
      <c r="BC76" s="522"/>
      <c r="BD76" s="522"/>
      <c r="BE76" s="522"/>
      <c r="BF76" s="522"/>
      <c r="BG76" s="522"/>
    </row>
    <row r="77" spans="1:59" x14ac:dyDescent="0.25">
      <c r="A77" s="338">
        <v>5514</v>
      </c>
      <c r="B77" s="485" t="s">
        <v>179</v>
      </c>
      <c r="C77" s="390">
        <v>2629540.54</v>
      </c>
      <c r="D77" s="390">
        <v>298082.06</v>
      </c>
      <c r="E77" s="388"/>
      <c r="F77" s="390">
        <v>0</v>
      </c>
      <c r="G77" s="390">
        <v>361.89999999999901</v>
      </c>
      <c r="H77" s="390">
        <v>5751.2</v>
      </c>
      <c r="I77" s="390">
        <v>38369.15</v>
      </c>
      <c r="J77" s="390">
        <v>38757.56</v>
      </c>
      <c r="K77" s="390">
        <v>9768</v>
      </c>
      <c r="L77" s="390">
        <v>236150</v>
      </c>
      <c r="M77" s="331">
        <f t="shared" si="3"/>
        <v>3256780.41</v>
      </c>
      <c r="N77" s="394">
        <v>8976.5499999999993</v>
      </c>
      <c r="O77" s="394">
        <v>5398.7</v>
      </c>
      <c r="P77" s="394">
        <v>117069.5</v>
      </c>
      <c r="Q77" s="394">
        <v>13227.83</v>
      </c>
      <c r="R77" s="394">
        <v>58693.599999999999</v>
      </c>
      <c r="S77" s="394"/>
      <c r="T77" s="394"/>
      <c r="U77" s="394">
        <v>14020</v>
      </c>
      <c r="V77" s="394"/>
      <c r="W77" s="394"/>
      <c r="X77" s="379">
        <v>733.25</v>
      </c>
      <c r="Y77" s="460">
        <f t="shared" si="4"/>
        <v>3474899.8400000003</v>
      </c>
      <c r="Z77" s="395">
        <v>34059</v>
      </c>
      <c r="AA77" s="395"/>
      <c r="AB77" s="395">
        <v>302086.3</v>
      </c>
      <c r="AC77" s="395"/>
      <c r="AD77" s="395">
        <v>130232.5</v>
      </c>
      <c r="AE77" s="395">
        <v>396.25</v>
      </c>
      <c r="AF77" s="395"/>
      <c r="AG77" s="395"/>
      <c r="AH77" s="395"/>
      <c r="AI77" s="395">
        <v>34339.949999999997</v>
      </c>
      <c r="AJ77" s="395"/>
      <c r="AK77" s="395"/>
      <c r="AL77" s="452"/>
      <c r="AM77" s="460">
        <f t="shared" si="5"/>
        <v>501114</v>
      </c>
      <c r="AN77" s="395">
        <v>72.5</v>
      </c>
      <c r="AO77" s="398">
        <v>1330</v>
      </c>
      <c r="AP77" s="455">
        <v>-66722.64</v>
      </c>
      <c r="AQ77" s="465"/>
      <c r="AR77" s="465">
        <v>-217.11</v>
      </c>
      <c r="AS77" s="470">
        <v>1</v>
      </c>
      <c r="AT77" s="516"/>
      <c r="AU77" s="516"/>
      <c r="AV77" s="516"/>
      <c r="AW77" s="516"/>
      <c r="AX77" s="516"/>
      <c r="AY77" s="516"/>
      <c r="AZ77" s="522"/>
      <c r="BA77" s="522"/>
      <c r="BB77" s="522"/>
      <c r="BC77" s="522"/>
      <c r="BD77" s="522"/>
      <c r="BE77" s="522"/>
      <c r="BF77" s="522"/>
      <c r="BG77" s="522"/>
    </row>
    <row r="78" spans="1:59" x14ac:dyDescent="0.25">
      <c r="A78" s="338">
        <v>5515</v>
      </c>
      <c r="B78" s="485" t="s">
        <v>180</v>
      </c>
      <c r="C78" s="390">
        <v>2106818.2400000002</v>
      </c>
      <c r="D78" s="390">
        <v>173934.71</v>
      </c>
      <c r="E78" s="388"/>
      <c r="F78" s="390">
        <v>0</v>
      </c>
      <c r="G78" s="390">
        <v>13504.75</v>
      </c>
      <c r="H78" s="390">
        <v>5687.15</v>
      </c>
      <c r="I78" s="390">
        <v>0</v>
      </c>
      <c r="J78" s="390">
        <v>3763.97</v>
      </c>
      <c r="K78" s="390">
        <v>7251.05</v>
      </c>
      <c r="L78" s="390">
        <v>171011.95</v>
      </c>
      <c r="M78" s="331">
        <f t="shared" si="3"/>
        <v>2481971.8200000003</v>
      </c>
      <c r="N78" s="394">
        <v>3757.1</v>
      </c>
      <c r="O78" s="394">
        <v>31652.9</v>
      </c>
      <c r="P78" s="394">
        <v>135711.4</v>
      </c>
      <c r="Q78" s="394">
        <v>4012.21</v>
      </c>
      <c r="R78" s="394">
        <v>67994.25</v>
      </c>
      <c r="S78" s="394"/>
      <c r="T78" s="394">
        <v>106</v>
      </c>
      <c r="U78" s="394">
        <v>6350</v>
      </c>
      <c r="V78" s="394"/>
      <c r="W78" s="394"/>
      <c r="X78" s="379">
        <v>2302.0100000000002</v>
      </c>
      <c r="Y78" s="460">
        <f t="shared" si="4"/>
        <v>2733857.69</v>
      </c>
      <c r="Z78" s="395">
        <v>-170112.15</v>
      </c>
      <c r="AA78" s="395"/>
      <c r="AB78" s="395">
        <v>230968.4</v>
      </c>
      <c r="AC78" s="395"/>
      <c r="AD78" s="395">
        <v>82475</v>
      </c>
      <c r="AE78" s="395">
        <v>10193.65</v>
      </c>
      <c r="AF78" s="395"/>
      <c r="AG78" s="395"/>
      <c r="AH78" s="395"/>
      <c r="AI78" s="395"/>
      <c r="AJ78" s="395"/>
      <c r="AK78" s="395"/>
      <c r="AL78" s="452"/>
      <c r="AM78" s="460">
        <f t="shared" si="5"/>
        <v>153524.9</v>
      </c>
      <c r="AN78" s="395">
        <v>81</v>
      </c>
      <c r="AO78" s="398">
        <v>859</v>
      </c>
      <c r="AP78" s="455">
        <v>-91679.65</v>
      </c>
      <c r="AQ78" s="465"/>
      <c r="AR78" s="465">
        <v>-101.26</v>
      </c>
      <c r="AS78" s="470">
        <v>1</v>
      </c>
      <c r="AT78" s="516"/>
      <c r="AU78" s="516"/>
      <c r="AV78" s="516"/>
      <c r="AW78" s="516"/>
      <c r="AX78" s="516"/>
      <c r="AY78" s="516"/>
      <c r="AZ78" s="522"/>
      <c r="BA78" s="522"/>
      <c r="BB78" s="522"/>
      <c r="BC78" s="522"/>
      <c r="BD78" s="522"/>
      <c r="BE78" s="522"/>
      <c r="BF78" s="522"/>
      <c r="BG78" s="522"/>
    </row>
    <row r="79" spans="1:59" x14ac:dyDescent="0.25">
      <c r="A79" s="338">
        <v>5516</v>
      </c>
      <c r="B79" s="485" t="s">
        <v>181</v>
      </c>
      <c r="C79" s="390">
        <v>6527575.4900000002</v>
      </c>
      <c r="D79" s="390">
        <v>957990.65</v>
      </c>
      <c r="E79" s="388"/>
      <c r="F79" s="390">
        <v>0</v>
      </c>
      <c r="G79" s="390">
        <v>144669.54999999999</v>
      </c>
      <c r="H79" s="390">
        <v>12823.4</v>
      </c>
      <c r="I79" s="390">
        <v>0</v>
      </c>
      <c r="J79" s="390">
        <v>128686.25</v>
      </c>
      <c r="K79" s="390">
        <v>47147.6</v>
      </c>
      <c r="L79" s="390">
        <v>694173.55</v>
      </c>
      <c r="M79" s="331">
        <f t="shared" si="3"/>
        <v>8513066.4900000002</v>
      </c>
      <c r="N79" s="394">
        <v>99596.35</v>
      </c>
      <c r="O79" s="394">
        <v>103666.8</v>
      </c>
      <c r="P79" s="394">
        <v>359177.05</v>
      </c>
      <c r="Q79" s="394">
        <v>108801.53</v>
      </c>
      <c r="R79" s="394">
        <v>251205.65</v>
      </c>
      <c r="S79" s="394"/>
      <c r="T79" s="394"/>
      <c r="U79" s="394">
        <v>15600</v>
      </c>
      <c r="V79" s="394"/>
      <c r="W79" s="394">
        <v>12863.75</v>
      </c>
      <c r="X79" s="379">
        <v>18890.79</v>
      </c>
      <c r="Y79" s="460">
        <f t="shared" si="4"/>
        <v>9482868.4100000001</v>
      </c>
      <c r="Z79" s="395">
        <v>54916.5</v>
      </c>
      <c r="AA79" s="395"/>
      <c r="AB79" s="395">
        <v>529087.15</v>
      </c>
      <c r="AC79" s="395"/>
      <c r="AD79" s="395">
        <v>259078.52</v>
      </c>
      <c r="AE79" s="395">
        <v>56916.1</v>
      </c>
      <c r="AF79" s="395"/>
      <c r="AG79" s="395"/>
      <c r="AH79" s="395"/>
      <c r="AI79" s="395">
        <v>63353.35</v>
      </c>
      <c r="AJ79" s="395"/>
      <c r="AK79" s="395"/>
      <c r="AL79" s="452"/>
      <c r="AM79" s="460">
        <f t="shared" si="5"/>
        <v>963351.62</v>
      </c>
      <c r="AN79" s="395">
        <v>78</v>
      </c>
      <c r="AO79" s="398">
        <v>2760</v>
      </c>
      <c r="AP79" s="455">
        <v>-170665.98</v>
      </c>
      <c r="AQ79" s="465"/>
      <c r="AR79" s="465">
        <v>-3540.71</v>
      </c>
      <c r="AS79" s="470">
        <v>1.2</v>
      </c>
      <c r="AT79" s="516"/>
      <c r="AU79" s="516"/>
      <c r="AV79" s="516"/>
      <c r="AW79" s="516"/>
      <c r="AX79" s="516"/>
      <c r="AY79" s="516"/>
      <c r="AZ79" s="522"/>
      <c r="BA79" s="522"/>
      <c r="BB79" s="522"/>
      <c r="BC79" s="522"/>
      <c r="BD79" s="522"/>
      <c r="BE79" s="522"/>
      <c r="BF79" s="522"/>
      <c r="BG79" s="522"/>
    </row>
    <row r="80" spans="1:59" x14ac:dyDescent="0.25">
      <c r="A80" s="338">
        <v>5518</v>
      </c>
      <c r="B80" s="485" t="s">
        <v>182</v>
      </c>
      <c r="C80" s="390">
        <v>10114571.98</v>
      </c>
      <c r="D80" s="390">
        <v>1165148.08</v>
      </c>
      <c r="E80" s="388"/>
      <c r="F80" s="390">
        <v>0</v>
      </c>
      <c r="G80" s="390">
        <v>434475.05</v>
      </c>
      <c r="H80" s="390">
        <v>80808.7</v>
      </c>
      <c r="I80" s="390">
        <v>0</v>
      </c>
      <c r="J80" s="390">
        <v>170429.47</v>
      </c>
      <c r="K80" s="390">
        <v>40923.449999999997</v>
      </c>
      <c r="L80" s="390">
        <v>1089067.8500000001</v>
      </c>
      <c r="M80" s="331">
        <f t="shared" si="3"/>
        <v>13095424.58</v>
      </c>
      <c r="N80" s="394">
        <v>164060.75</v>
      </c>
      <c r="O80" s="394">
        <v>407956.4</v>
      </c>
      <c r="P80" s="394">
        <v>366859.35</v>
      </c>
      <c r="Q80" s="394">
        <v>84559.98</v>
      </c>
      <c r="R80" s="394">
        <v>347212</v>
      </c>
      <c r="S80" s="394"/>
      <c r="T80" s="394">
        <v>29109.15</v>
      </c>
      <c r="U80" s="394">
        <v>21420</v>
      </c>
      <c r="V80" s="394"/>
      <c r="W80" s="394"/>
      <c r="X80" s="379">
        <v>61806.68</v>
      </c>
      <c r="Y80" s="460">
        <f t="shared" si="4"/>
        <v>14578408.890000001</v>
      </c>
      <c r="Z80" s="395">
        <v>46885.33</v>
      </c>
      <c r="AA80" s="395"/>
      <c r="AB80" s="395">
        <v>1077045.1000000001</v>
      </c>
      <c r="AC80" s="395"/>
      <c r="AD80" s="395">
        <v>684989</v>
      </c>
      <c r="AE80" s="395">
        <v>15798.45</v>
      </c>
      <c r="AF80" s="395"/>
      <c r="AG80" s="395"/>
      <c r="AH80" s="395"/>
      <c r="AI80" s="395"/>
      <c r="AJ80" s="395"/>
      <c r="AK80" s="395"/>
      <c r="AL80" s="452"/>
      <c r="AM80" s="460">
        <f t="shared" si="5"/>
        <v>1824717.8800000001</v>
      </c>
      <c r="AN80" s="395">
        <v>72.5</v>
      </c>
      <c r="AO80" s="398">
        <v>5731</v>
      </c>
      <c r="AP80" s="455">
        <v>-277762.42</v>
      </c>
      <c r="AQ80" s="465"/>
      <c r="AR80" s="465">
        <v>-4213.5200000000004</v>
      </c>
      <c r="AS80" s="470">
        <v>1</v>
      </c>
      <c r="AT80" s="516"/>
      <c r="AU80" s="516"/>
      <c r="AV80" s="516"/>
      <c r="AW80" s="516"/>
      <c r="AX80" s="516"/>
      <c r="AY80" s="516"/>
      <c r="AZ80" s="522"/>
      <c r="BA80" s="522"/>
      <c r="BB80" s="522"/>
      <c r="BC80" s="522"/>
      <c r="BD80" s="522"/>
      <c r="BE80" s="522"/>
      <c r="BF80" s="522"/>
      <c r="BG80" s="522"/>
    </row>
    <row r="81" spans="1:59" x14ac:dyDescent="0.25">
      <c r="A81" s="338">
        <v>5520</v>
      </c>
      <c r="B81" s="485" t="s">
        <v>183</v>
      </c>
      <c r="C81" s="390">
        <v>1684874.05</v>
      </c>
      <c r="D81" s="390">
        <v>245928.86</v>
      </c>
      <c r="E81" s="388"/>
      <c r="F81" s="390">
        <v>0</v>
      </c>
      <c r="G81" s="390">
        <v>51481.4</v>
      </c>
      <c r="H81" s="390">
        <v>2891.55</v>
      </c>
      <c r="I81" s="390">
        <v>0</v>
      </c>
      <c r="J81" s="390">
        <v>35273.17</v>
      </c>
      <c r="K81" s="390">
        <v>-1251.3499999999999</v>
      </c>
      <c r="L81" s="390">
        <v>195369.1</v>
      </c>
      <c r="M81" s="331">
        <f t="shared" si="3"/>
        <v>2214566.7799999998</v>
      </c>
      <c r="N81" s="394">
        <v>5690.95</v>
      </c>
      <c r="O81" s="394">
        <v>3292.4</v>
      </c>
      <c r="P81" s="394">
        <v>140042.95000000001</v>
      </c>
      <c r="Q81" s="394">
        <v>4373.26</v>
      </c>
      <c r="R81" s="394">
        <v>117468.55</v>
      </c>
      <c r="S81" s="394"/>
      <c r="T81" s="394">
        <v>225.5</v>
      </c>
      <c r="U81" s="394">
        <v>10250</v>
      </c>
      <c r="V81" s="394"/>
      <c r="W81" s="394"/>
      <c r="X81" s="379">
        <v>6521.87</v>
      </c>
      <c r="Y81" s="460">
        <f t="shared" si="4"/>
        <v>2502432.2599999998</v>
      </c>
      <c r="Z81" s="395">
        <v>23537.3</v>
      </c>
      <c r="AA81" s="395">
        <v>99007.6</v>
      </c>
      <c r="AB81" s="395">
        <v>105268</v>
      </c>
      <c r="AC81" s="395"/>
      <c r="AD81" s="395">
        <v>78534.55</v>
      </c>
      <c r="AE81" s="395">
        <v>25500.2</v>
      </c>
      <c r="AF81" s="395">
        <v>32800.050000000003</v>
      </c>
      <c r="AG81" s="395"/>
      <c r="AH81" s="395"/>
      <c r="AI81" s="395"/>
      <c r="AJ81" s="395"/>
      <c r="AK81" s="395"/>
      <c r="AL81" s="452"/>
      <c r="AM81" s="460">
        <f t="shared" si="5"/>
        <v>364647.7</v>
      </c>
      <c r="AN81" s="395">
        <v>73</v>
      </c>
      <c r="AO81" s="398">
        <v>1036</v>
      </c>
      <c r="AP81" s="455">
        <v>-54423.63</v>
      </c>
      <c r="AQ81" s="465"/>
      <c r="AR81" s="465">
        <v>-470.39</v>
      </c>
      <c r="AS81" s="470">
        <v>1</v>
      </c>
      <c r="AT81" s="516"/>
      <c r="AU81" s="516"/>
      <c r="AV81" s="516"/>
      <c r="AW81" s="516"/>
      <c r="AX81" s="516"/>
      <c r="AY81" s="516"/>
      <c r="AZ81" s="522"/>
      <c r="BA81" s="522"/>
      <c r="BB81" s="522"/>
      <c r="BC81" s="522"/>
      <c r="BD81" s="522"/>
      <c r="BE81" s="522"/>
      <c r="BF81" s="522"/>
      <c r="BG81" s="522"/>
    </row>
    <row r="82" spans="1:59" x14ac:dyDescent="0.25">
      <c r="A82" s="338">
        <v>5521</v>
      </c>
      <c r="B82" s="485" t="s">
        <v>184</v>
      </c>
      <c r="C82" s="390">
        <v>2634645.0499999998</v>
      </c>
      <c r="D82" s="390">
        <v>224392.34</v>
      </c>
      <c r="E82" s="388"/>
      <c r="F82" s="390">
        <v>0</v>
      </c>
      <c r="G82" s="390">
        <v>226155.15</v>
      </c>
      <c r="H82" s="390">
        <v>3265.15</v>
      </c>
      <c r="I82" s="390">
        <v>0</v>
      </c>
      <c r="J82" s="390">
        <v>60459.64</v>
      </c>
      <c r="K82" s="390">
        <v>18552.5</v>
      </c>
      <c r="L82" s="390">
        <v>261565.7</v>
      </c>
      <c r="M82" s="331">
        <f t="shared" si="3"/>
        <v>3429035.53</v>
      </c>
      <c r="N82" s="394">
        <v>27188</v>
      </c>
      <c r="O82" s="394">
        <v>0</v>
      </c>
      <c r="P82" s="394">
        <v>105834.45</v>
      </c>
      <c r="Q82" s="394">
        <v>4949.3500000000004</v>
      </c>
      <c r="R82" s="394">
        <v>67499.75</v>
      </c>
      <c r="S82" s="394"/>
      <c r="T82" s="394">
        <v>5882.9</v>
      </c>
      <c r="U82" s="394">
        <v>4833.05</v>
      </c>
      <c r="V82" s="394"/>
      <c r="W82" s="394"/>
      <c r="X82" s="379">
        <v>27518.25</v>
      </c>
      <c r="Y82" s="460">
        <f t="shared" si="4"/>
        <v>3672741.28</v>
      </c>
      <c r="Z82" s="395">
        <v>68440</v>
      </c>
      <c r="AA82" s="395"/>
      <c r="AB82" s="395">
        <v>227961.83</v>
      </c>
      <c r="AC82" s="395"/>
      <c r="AD82" s="395">
        <v>106830.29</v>
      </c>
      <c r="AE82" s="395"/>
      <c r="AF82" s="395"/>
      <c r="AG82" s="395"/>
      <c r="AH82" s="395"/>
      <c r="AI82" s="395">
        <v>32743.200000000001</v>
      </c>
      <c r="AJ82" s="395"/>
      <c r="AK82" s="395"/>
      <c r="AL82" s="452"/>
      <c r="AM82" s="460">
        <f t="shared" si="5"/>
        <v>435975.31999999995</v>
      </c>
      <c r="AN82" s="395">
        <v>73</v>
      </c>
      <c r="AO82" s="398">
        <v>1148</v>
      </c>
      <c r="AP82" s="455">
        <v>-44244.07</v>
      </c>
      <c r="AQ82" s="465"/>
      <c r="AR82" s="465">
        <v>-1055.0899999999999</v>
      </c>
      <c r="AS82" s="470">
        <v>1</v>
      </c>
      <c r="AT82" s="516"/>
      <c r="AU82" s="516"/>
      <c r="AV82" s="516"/>
      <c r="AW82" s="516"/>
      <c r="AX82" s="516"/>
      <c r="AY82" s="516"/>
      <c r="AZ82" s="522"/>
      <c r="BA82" s="522"/>
      <c r="BB82" s="522"/>
      <c r="BC82" s="522"/>
      <c r="BD82" s="522"/>
      <c r="BE82" s="522"/>
      <c r="BF82" s="522"/>
      <c r="BG82" s="522"/>
    </row>
    <row r="83" spans="1:59" x14ac:dyDescent="0.25">
      <c r="A83" s="338">
        <v>5522</v>
      </c>
      <c r="B83" s="485" t="s">
        <v>185</v>
      </c>
      <c r="C83" s="390">
        <v>1454531.96</v>
      </c>
      <c r="D83" s="390">
        <v>162353.18</v>
      </c>
      <c r="E83" s="388"/>
      <c r="F83" s="390">
        <v>0</v>
      </c>
      <c r="G83" s="390">
        <v>3356.6</v>
      </c>
      <c r="H83" s="390">
        <v>1431.65</v>
      </c>
      <c r="I83" s="390">
        <v>0</v>
      </c>
      <c r="J83" s="390">
        <v>13099.29</v>
      </c>
      <c r="K83" s="390">
        <v>2912.9</v>
      </c>
      <c r="L83" s="390">
        <v>138584.48000000001</v>
      </c>
      <c r="M83" s="331">
        <f t="shared" si="3"/>
        <v>1776270.0599999998</v>
      </c>
      <c r="N83" s="394">
        <v>15179</v>
      </c>
      <c r="O83" s="394">
        <v>0</v>
      </c>
      <c r="P83" s="394">
        <v>41181.75</v>
      </c>
      <c r="Q83" s="394">
        <v>7370.48</v>
      </c>
      <c r="R83" s="394">
        <v>5523.45</v>
      </c>
      <c r="S83" s="394">
        <v>880</v>
      </c>
      <c r="T83" s="394"/>
      <c r="U83" s="394">
        <v>3750</v>
      </c>
      <c r="V83" s="394"/>
      <c r="W83" s="394"/>
      <c r="X83" s="379">
        <v>574.34</v>
      </c>
      <c r="Y83" s="460">
        <f t="shared" si="4"/>
        <v>1850729.0799999998</v>
      </c>
      <c r="Z83" s="395">
        <v>6000</v>
      </c>
      <c r="AA83" s="395"/>
      <c r="AB83" s="395">
        <v>112590.6</v>
      </c>
      <c r="AC83" s="395"/>
      <c r="AD83" s="395">
        <v>42350</v>
      </c>
      <c r="AE83" s="395">
        <v>5000</v>
      </c>
      <c r="AF83" s="395"/>
      <c r="AG83" s="395"/>
      <c r="AH83" s="395"/>
      <c r="AI83" s="395"/>
      <c r="AJ83" s="395"/>
      <c r="AK83" s="395"/>
      <c r="AL83" s="452"/>
      <c r="AM83" s="460">
        <f t="shared" si="5"/>
        <v>165940.6</v>
      </c>
      <c r="AN83" s="395">
        <v>75</v>
      </c>
      <c r="AO83" s="398">
        <v>749</v>
      </c>
      <c r="AP83" s="455">
        <v>-4594.8</v>
      </c>
      <c r="AQ83" s="465"/>
      <c r="AR83" s="465">
        <v>-99.51</v>
      </c>
      <c r="AS83" s="470">
        <v>1</v>
      </c>
      <c r="AT83" s="516"/>
      <c r="AU83" s="516"/>
      <c r="AV83" s="516"/>
      <c r="AW83" s="516"/>
      <c r="AX83" s="516"/>
      <c r="AY83" s="516"/>
      <c r="AZ83" s="522"/>
      <c r="BA83" s="522"/>
      <c r="BB83" s="522"/>
      <c r="BC83" s="522"/>
      <c r="BD83" s="522"/>
      <c r="BE83" s="522"/>
      <c r="BF83" s="522"/>
      <c r="BG83" s="522"/>
    </row>
    <row r="84" spans="1:59" x14ac:dyDescent="0.25">
      <c r="A84" s="338">
        <v>5523</v>
      </c>
      <c r="B84" s="485" t="s">
        <v>186</v>
      </c>
      <c r="C84" s="390">
        <v>4913378.75</v>
      </c>
      <c r="D84" s="390">
        <v>698378.7</v>
      </c>
      <c r="E84" s="388"/>
      <c r="F84" s="390">
        <v>15230</v>
      </c>
      <c r="G84" s="390">
        <v>31577.1</v>
      </c>
      <c r="H84" s="390">
        <v>4804.1000000000004</v>
      </c>
      <c r="I84" s="390">
        <v>-54197.1</v>
      </c>
      <c r="J84" s="390">
        <v>97209.85</v>
      </c>
      <c r="K84" s="390">
        <v>16486.45</v>
      </c>
      <c r="L84" s="390">
        <v>636018.75</v>
      </c>
      <c r="M84" s="331">
        <f t="shared" si="3"/>
        <v>6358886.5999999996</v>
      </c>
      <c r="N84" s="394">
        <v>10619.3</v>
      </c>
      <c r="O84" s="394">
        <v>0</v>
      </c>
      <c r="P84" s="394">
        <v>157526.39999999999</v>
      </c>
      <c r="Q84" s="394">
        <v>16967.64</v>
      </c>
      <c r="R84" s="394">
        <v>119698.55</v>
      </c>
      <c r="S84" s="394">
        <v>125</v>
      </c>
      <c r="T84" s="394">
        <v>1222.8</v>
      </c>
      <c r="U84" s="394">
        <v>15000</v>
      </c>
      <c r="V84" s="394"/>
      <c r="W84" s="394"/>
      <c r="X84" s="379">
        <v>4363.8100000000004</v>
      </c>
      <c r="Y84" s="460">
        <f t="shared" si="4"/>
        <v>6684410.0999999987</v>
      </c>
      <c r="Z84" s="395">
        <v>52355</v>
      </c>
      <c r="AA84" s="395">
        <v>9500</v>
      </c>
      <c r="AB84" s="395">
        <v>566607.6</v>
      </c>
      <c r="AC84" s="395"/>
      <c r="AD84" s="395">
        <v>158324.15</v>
      </c>
      <c r="AE84" s="395"/>
      <c r="AF84" s="395">
        <v>40946.9</v>
      </c>
      <c r="AG84" s="395">
        <v>24820.95</v>
      </c>
      <c r="AH84" s="395"/>
      <c r="AI84" s="395">
        <v>45626.35</v>
      </c>
      <c r="AJ84" s="395"/>
      <c r="AK84" s="395"/>
      <c r="AL84" s="452"/>
      <c r="AM84" s="460">
        <f t="shared" si="5"/>
        <v>898180.95</v>
      </c>
      <c r="AN84" s="395">
        <v>72</v>
      </c>
      <c r="AO84" s="398">
        <v>2694</v>
      </c>
      <c r="AP84" s="455">
        <v>-69486.94</v>
      </c>
      <c r="AQ84" s="465"/>
      <c r="AR84" s="465">
        <v>-970.39</v>
      </c>
      <c r="AS84" s="470">
        <v>1.25</v>
      </c>
      <c r="AT84" s="516"/>
      <c r="AU84" s="516"/>
      <c r="AV84" s="516"/>
      <c r="AW84" s="516"/>
      <c r="AX84" s="516"/>
      <c r="AY84" s="516"/>
      <c r="AZ84" s="522"/>
      <c r="BA84" s="522"/>
      <c r="BB84" s="522"/>
      <c r="BC84" s="522"/>
      <c r="BD84" s="522"/>
      <c r="BE84" s="522"/>
      <c r="BF84" s="522"/>
      <c r="BG84" s="522"/>
    </row>
    <row r="85" spans="1:59" x14ac:dyDescent="0.25">
      <c r="A85" s="338">
        <v>5527</v>
      </c>
      <c r="B85" s="485" t="s">
        <v>187</v>
      </c>
      <c r="C85" s="390">
        <v>2440482.67</v>
      </c>
      <c r="D85" s="390">
        <v>296196.84000000003</v>
      </c>
      <c r="E85" s="388"/>
      <c r="F85" s="390">
        <v>0</v>
      </c>
      <c r="G85" s="390">
        <v>4907.2</v>
      </c>
      <c r="H85" s="390">
        <v>1958.65</v>
      </c>
      <c r="I85" s="390">
        <v>0</v>
      </c>
      <c r="J85" s="390">
        <v>36272.03</v>
      </c>
      <c r="K85" s="390">
        <v>202.75</v>
      </c>
      <c r="L85" s="390">
        <v>240323.20000000001</v>
      </c>
      <c r="M85" s="331">
        <f t="shared" si="3"/>
        <v>3020343.34</v>
      </c>
      <c r="N85" s="394">
        <v>9803.75</v>
      </c>
      <c r="O85" s="394">
        <v>0</v>
      </c>
      <c r="P85" s="394">
        <v>104802.4</v>
      </c>
      <c r="Q85" s="394">
        <v>10734.48</v>
      </c>
      <c r="R85" s="394">
        <v>52459.55</v>
      </c>
      <c r="S85" s="394">
        <v>404.7</v>
      </c>
      <c r="T85" s="394"/>
      <c r="U85" s="394">
        <v>10100</v>
      </c>
      <c r="V85" s="394"/>
      <c r="W85" s="394"/>
      <c r="X85" s="379">
        <v>823.54</v>
      </c>
      <c r="Y85" s="460">
        <f t="shared" si="4"/>
        <v>3209471.76</v>
      </c>
      <c r="Z85" s="395">
        <v>11558.25</v>
      </c>
      <c r="AA85" s="395"/>
      <c r="AB85" s="395">
        <v>180124.45</v>
      </c>
      <c r="AC85" s="395"/>
      <c r="AD85" s="395">
        <v>85047.95</v>
      </c>
      <c r="AE85" s="395">
        <v>11012.7</v>
      </c>
      <c r="AF85" s="395"/>
      <c r="AG85" s="395"/>
      <c r="AH85" s="395"/>
      <c r="AI85" s="395">
        <v>25286.45</v>
      </c>
      <c r="AJ85" s="395"/>
      <c r="AK85" s="395"/>
      <c r="AL85" s="452"/>
      <c r="AM85" s="460">
        <f t="shared" si="5"/>
        <v>313029.80000000005</v>
      </c>
      <c r="AN85" s="395">
        <v>74</v>
      </c>
      <c r="AO85" s="398">
        <v>1153</v>
      </c>
      <c r="AP85" s="455">
        <v>-30067.71</v>
      </c>
      <c r="AQ85" s="465"/>
      <c r="AR85" s="465">
        <v>-82.51</v>
      </c>
      <c r="AS85" s="470">
        <v>1</v>
      </c>
      <c r="AT85" s="516"/>
      <c r="AU85" s="516"/>
      <c r="AV85" s="516"/>
      <c r="AW85" s="516"/>
      <c r="AX85" s="516"/>
      <c r="AY85" s="516"/>
      <c r="AZ85" s="522"/>
      <c r="BA85" s="522"/>
      <c r="BB85" s="522"/>
      <c r="BC85" s="522"/>
      <c r="BD85" s="522"/>
      <c r="BE85" s="522"/>
      <c r="BF85" s="522"/>
      <c r="BG85" s="522"/>
    </row>
    <row r="86" spans="1:59" x14ac:dyDescent="0.25">
      <c r="A86" s="338">
        <v>5529</v>
      </c>
      <c r="B86" s="485" t="s">
        <v>188</v>
      </c>
      <c r="C86" s="390">
        <v>1168354.29</v>
      </c>
      <c r="D86" s="390">
        <v>107832.98</v>
      </c>
      <c r="E86" s="388"/>
      <c r="F86" s="390">
        <v>0</v>
      </c>
      <c r="G86" s="390">
        <v>10428.700000000001</v>
      </c>
      <c r="H86" s="390">
        <v>1638.55</v>
      </c>
      <c r="I86" s="390">
        <v>0</v>
      </c>
      <c r="J86" s="390">
        <v>17460.79</v>
      </c>
      <c r="K86" s="390">
        <v>2922.75</v>
      </c>
      <c r="L86" s="390">
        <v>120398.6</v>
      </c>
      <c r="M86" s="331">
        <f t="shared" si="3"/>
        <v>1429036.6600000001</v>
      </c>
      <c r="N86" s="394">
        <v>1847.9</v>
      </c>
      <c r="O86" s="394">
        <v>0</v>
      </c>
      <c r="P86" s="394">
        <v>38299.4</v>
      </c>
      <c r="Q86" s="394">
        <v>0</v>
      </c>
      <c r="R86" s="394">
        <v>4689.6000000000004</v>
      </c>
      <c r="S86" s="394"/>
      <c r="T86" s="394"/>
      <c r="U86" s="394">
        <v>3400</v>
      </c>
      <c r="V86" s="394"/>
      <c r="W86" s="394"/>
      <c r="X86" s="379">
        <v>1447.43</v>
      </c>
      <c r="Y86" s="460">
        <f t="shared" si="4"/>
        <v>1478720.99</v>
      </c>
      <c r="Z86" s="395">
        <v>4608</v>
      </c>
      <c r="AA86" s="395"/>
      <c r="AB86" s="395">
        <v>26604.799999999999</v>
      </c>
      <c r="AC86" s="395"/>
      <c r="AD86" s="395">
        <v>45426.55</v>
      </c>
      <c r="AE86" s="395">
        <v>2304</v>
      </c>
      <c r="AF86" s="395"/>
      <c r="AG86" s="395"/>
      <c r="AH86" s="395"/>
      <c r="AI86" s="395"/>
      <c r="AJ86" s="395"/>
      <c r="AK86" s="395"/>
      <c r="AL86" s="452"/>
      <c r="AM86" s="460">
        <f t="shared" si="5"/>
        <v>78943.350000000006</v>
      </c>
      <c r="AN86" s="395">
        <v>70</v>
      </c>
      <c r="AO86" s="398">
        <v>618</v>
      </c>
      <c r="AP86" s="455">
        <v>-16246.58</v>
      </c>
      <c r="AQ86" s="465"/>
      <c r="AR86" s="465">
        <v>-150.33000000000001</v>
      </c>
      <c r="AS86" s="470">
        <v>1</v>
      </c>
      <c r="AT86" s="516"/>
      <c r="AU86" s="516"/>
      <c r="AV86" s="516"/>
      <c r="AW86" s="516"/>
      <c r="AX86" s="516"/>
      <c r="AY86" s="516"/>
      <c r="AZ86" s="522"/>
      <c r="BA86" s="522"/>
      <c r="BB86" s="522"/>
      <c r="BC86" s="522"/>
      <c r="BD86" s="522"/>
      <c r="BE86" s="522"/>
      <c r="BF86" s="522"/>
      <c r="BG86" s="522"/>
    </row>
    <row r="87" spans="1:59" x14ac:dyDescent="0.25">
      <c r="A87" s="338">
        <v>5530</v>
      </c>
      <c r="B87" s="485" t="s">
        <v>189</v>
      </c>
      <c r="C87" s="390">
        <v>1078526.7</v>
      </c>
      <c r="D87" s="390">
        <v>176838.16</v>
      </c>
      <c r="E87" s="388"/>
      <c r="F87" s="390">
        <v>0</v>
      </c>
      <c r="G87" s="390">
        <v>28292.05</v>
      </c>
      <c r="H87" s="390">
        <v>333.15</v>
      </c>
      <c r="I87" s="390">
        <v>0</v>
      </c>
      <c r="J87" s="390">
        <v>808.22</v>
      </c>
      <c r="K87" s="390">
        <v>674.5</v>
      </c>
      <c r="L87" s="390">
        <v>126412.85</v>
      </c>
      <c r="M87" s="331">
        <f t="shared" si="3"/>
        <v>1411885.63</v>
      </c>
      <c r="N87" s="394">
        <v>18495.150000000001</v>
      </c>
      <c r="O87" s="394">
        <v>708.4</v>
      </c>
      <c r="P87" s="394">
        <v>13194.15</v>
      </c>
      <c r="Q87" s="394">
        <v>0</v>
      </c>
      <c r="R87" s="394">
        <v>0</v>
      </c>
      <c r="S87" s="394">
        <v>225</v>
      </c>
      <c r="T87" s="394"/>
      <c r="U87" s="394">
        <v>2640</v>
      </c>
      <c r="V87" s="394"/>
      <c r="W87" s="394"/>
      <c r="X87" s="379">
        <v>3433.5</v>
      </c>
      <c r="Y87" s="460">
        <f t="shared" si="4"/>
        <v>1450581.8299999996</v>
      </c>
      <c r="Z87" s="395">
        <v>8944.25</v>
      </c>
      <c r="AA87" s="395"/>
      <c r="AB87" s="395">
        <v>182626.15</v>
      </c>
      <c r="AC87" s="395"/>
      <c r="AD87" s="395">
        <v>43302.25</v>
      </c>
      <c r="AE87" s="395">
        <v>2239</v>
      </c>
      <c r="AF87" s="395"/>
      <c r="AG87" s="395"/>
      <c r="AH87" s="395"/>
      <c r="AI87" s="395"/>
      <c r="AJ87" s="395"/>
      <c r="AK87" s="395"/>
      <c r="AL87" s="452"/>
      <c r="AM87" s="460">
        <f t="shared" si="5"/>
        <v>237111.65</v>
      </c>
      <c r="AN87" s="395">
        <v>76</v>
      </c>
      <c r="AO87" s="398">
        <v>567</v>
      </c>
      <c r="AP87" s="455">
        <v>-3293.75</v>
      </c>
      <c r="AQ87" s="465"/>
      <c r="AR87" s="465">
        <v>-3.85</v>
      </c>
      <c r="AS87" s="470">
        <v>1.2</v>
      </c>
      <c r="AT87" s="516"/>
      <c r="AU87" s="516"/>
      <c r="AV87" s="516"/>
      <c r="AW87" s="516"/>
      <c r="AX87" s="516"/>
      <c r="AY87" s="516"/>
      <c r="AZ87" s="522"/>
      <c r="BA87" s="522"/>
      <c r="BB87" s="522"/>
      <c r="BC87" s="522"/>
      <c r="BD87" s="522"/>
      <c r="BE87" s="522"/>
      <c r="BF87" s="522"/>
      <c r="BG87" s="522"/>
    </row>
    <row r="88" spans="1:59" x14ac:dyDescent="0.25">
      <c r="A88" s="338">
        <v>5531</v>
      </c>
      <c r="B88" s="485" t="s">
        <v>190</v>
      </c>
      <c r="C88" s="390">
        <v>846903.14</v>
      </c>
      <c r="D88" s="390">
        <v>79070.679999999993</v>
      </c>
      <c r="E88" s="388"/>
      <c r="F88" s="390">
        <v>0</v>
      </c>
      <c r="G88" s="390">
        <v>8496.6</v>
      </c>
      <c r="H88" s="390">
        <v>720.6</v>
      </c>
      <c r="I88" s="390">
        <v>0</v>
      </c>
      <c r="J88" s="390">
        <v>10707.29</v>
      </c>
      <c r="K88" s="390">
        <v>-352.25</v>
      </c>
      <c r="L88" s="390">
        <v>78103.3</v>
      </c>
      <c r="M88" s="331">
        <f t="shared" si="3"/>
        <v>1023649.3600000001</v>
      </c>
      <c r="N88" s="394">
        <v>19757.3</v>
      </c>
      <c r="O88" s="394">
        <v>0</v>
      </c>
      <c r="P88" s="394">
        <v>22086.05</v>
      </c>
      <c r="Q88" s="394">
        <v>2180.14</v>
      </c>
      <c r="R88" s="394">
        <v>22071.25</v>
      </c>
      <c r="S88" s="394"/>
      <c r="T88" s="394"/>
      <c r="U88" s="394">
        <v>4750</v>
      </c>
      <c r="V88" s="394"/>
      <c r="W88" s="394"/>
      <c r="X88" s="379">
        <v>1105.57</v>
      </c>
      <c r="Y88" s="460">
        <f t="shared" si="4"/>
        <v>1095599.6700000002</v>
      </c>
      <c r="Z88" s="395">
        <v>26400</v>
      </c>
      <c r="AA88" s="395"/>
      <c r="AB88" s="395">
        <v>95100.5</v>
      </c>
      <c r="AC88" s="395"/>
      <c r="AD88" s="395">
        <v>29717.5</v>
      </c>
      <c r="AE88" s="395">
        <v>7156.05</v>
      </c>
      <c r="AF88" s="395"/>
      <c r="AG88" s="395"/>
      <c r="AH88" s="395"/>
      <c r="AI88" s="395"/>
      <c r="AJ88" s="395"/>
      <c r="AK88" s="395"/>
      <c r="AL88" s="452"/>
      <c r="AM88" s="460">
        <f t="shared" si="5"/>
        <v>158374.04999999999</v>
      </c>
      <c r="AN88" s="395">
        <v>74</v>
      </c>
      <c r="AO88" s="398">
        <v>419</v>
      </c>
      <c r="AP88" s="455">
        <v>-2440.64</v>
      </c>
      <c r="AQ88" s="465"/>
      <c r="AR88" s="465">
        <v>-107.79</v>
      </c>
      <c r="AS88" s="470">
        <v>1</v>
      </c>
      <c r="AT88" s="516"/>
      <c r="AU88" s="516"/>
      <c r="AV88" s="516"/>
      <c r="AW88" s="516"/>
      <c r="AX88" s="516"/>
      <c r="AY88" s="516"/>
      <c r="AZ88" s="522"/>
      <c r="BA88" s="522"/>
      <c r="BB88" s="522"/>
      <c r="BC88" s="522"/>
      <c r="BD88" s="522"/>
      <c r="BE88" s="522"/>
      <c r="BF88" s="522"/>
      <c r="BG88" s="522"/>
    </row>
    <row r="89" spans="1:59" x14ac:dyDescent="0.25">
      <c r="A89" s="338">
        <v>5533</v>
      </c>
      <c r="B89" s="485" t="s">
        <v>191</v>
      </c>
      <c r="C89" s="390">
        <v>1488046.92</v>
      </c>
      <c r="D89" s="390">
        <v>214173.52</v>
      </c>
      <c r="E89" s="388"/>
      <c r="F89" s="390">
        <v>0</v>
      </c>
      <c r="G89" s="390">
        <v>61118.65</v>
      </c>
      <c r="H89" s="390">
        <v>546.75</v>
      </c>
      <c r="I89" s="390">
        <v>47228.4</v>
      </c>
      <c r="J89" s="390">
        <v>30627.98</v>
      </c>
      <c r="K89" s="390">
        <v>9054.9</v>
      </c>
      <c r="L89" s="390">
        <v>144487.20000000001</v>
      </c>
      <c r="M89" s="331">
        <f t="shared" si="3"/>
        <v>1995284.3199999996</v>
      </c>
      <c r="N89" s="394">
        <v>752.3</v>
      </c>
      <c r="O89" s="394">
        <v>0</v>
      </c>
      <c r="P89" s="394">
        <v>51951.35</v>
      </c>
      <c r="Q89" s="394">
        <v>55.75</v>
      </c>
      <c r="R89" s="394">
        <v>288547.34999999998</v>
      </c>
      <c r="S89" s="394"/>
      <c r="T89" s="394">
        <v>911</v>
      </c>
      <c r="U89" s="394">
        <v>6150</v>
      </c>
      <c r="V89" s="394"/>
      <c r="W89" s="394"/>
      <c r="X89" s="379">
        <v>7396.57</v>
      </c>
      <c r="Y89" s="460">
        <f t="shared" si="4"/>
        <v>2351048.6399999997</v>
      </c>
      <c r="Z89" s="395">
        <v>86595.95</v>
      </c>
      <c r="AA89" s="395"/>
      <c r="AB89" s="395">
        <v>104088.5</v>
      </c>
      <c r="AC89" s="395"/>
      <c r="AD89" s="395">
        <v>39561.65</v>
      </c>
      <c r="AE89" s="395">
        <v>87906.45</v>
      </c>
      <c r="AF89" s="395"/>
      <c r="AG89" s="395"/>
      <c r="AH89" s="395"/>
      <c r="AI89" s="395"/>
      <c r="AJ89" s="395"/>
      <c r="AK89" s="395"/>
      <c r="AL89" s="452"/>
      <c r="AM89" s="460">
        <f t="shared" si="5"/>
        <v>318152.55</v>
      </c>
      <c r="AN89" s="395">
        <v>73</v>
      </c>
      <c r="AO89" s="398">
        <v>829</v>
      </c>
      <c r="AP89" s="455">
        <v>-17655.150000000001</v>
      </c>
      <c r="AQ89" s="465"/>
      <c r="AR89" s="465">
        <v>-199.23</v>
      </c>
      <c r="AS89" s="470">
        <v>1</v>
      </c>
      <c r="AT89" s="516"/>
      <c r="AU89" s="516"/>
      <c r="AV89" s="516"/>
      <c r="AW89" s="516"/>
      <c r="AX89" s="516"/>
      <c r="AY89" s="516"/>
      <c r="AZ89" s="522"/>
      <c r="BA89" s="522"/>
      <c r="BB89" s="522"/>
      <c r="BC89" s="522"/>
      <c r="BD89" s="522"/>
      <c r="BE89" s="522"/>
      <c r="BF89" s="522"/>
      <c r="BG89" s="522"/>
    </row>
    <row r="90" spans="1:59" x14ac:dyDescent="0.25">
      <c r="A90" s="338">
        <v>5534</v>
      </c>
      <c r="B90" s="485" t="s">
        <v>192</v>
      </c>
      <c r="C90" s="390">
        <v>478539.65</v>
      </c>
      <c r="D90" s="390">
        <v>84003.25</v>
      </c>
      <c r="E90" s="388"/>
      <c r="F90" s="390">
        <v>0</v>
      </c>
      <c r="G90" s="390">
        <v>47438.3</v>
      </c>
      <c r="H90" s="390">
        <v>-354.85</v>
      </c>
      <c r="I90" s="390">
        <v>0</v>
      </c>
      <c r="J90" s="390">
        <v>17090.21</v>
      </c>
      <c r="K90" s="390">
        <v>861</v>
      </c>
      <c r="L90" s="390">
        <v>94776.85</v>
      </c>
      <c r="M90" s="331">
        <f t="shared" si="3"/>
        <v>722354.41</v>
      </c>
      <c r="N90" s="394">
        <v>27496.9</v>
      </c>
      <c r="O90" s="394">
        <v>0</v>
      </c>
      <c r="P90" s="394">
        <v>20741.5</v>
      </c>
      <c r="Q90" s="394">
        <v>0</v>
      </c>
      <c r="R90" s="394">
        <v>13270.8</v>
      </c>
      <c r="S90" s="394"/>
      <c r="T90" s="394">
        <v>112</v>
      </c>
      <c r="U90" s="394">
        <v>1600</v>
      </c>
      <c r="V90" s="394"/>
      <c r="W90" s="394"/>
      <c r="X90" s="379">
        <v>5647.51</v>
      </c>
      <c r="Y90" s="460">
        <f t="shared" si="4"/>
        <v>791223.12000000011</v>
      </c>
      <c r="Z90" s="395">
        <v>51000</v>
      </c>
      <c r="AA90" s="395"/>
      <c r="AB90" s="395">
        <v>13293.7</v>
      </c>
      <c r="AC90" s="395"/>
      <c r="AD90" s="395">
        <v>12932.5</v>
      </c>
      <c r="AE90" s="395">
        <v>51000</v>
      </c>
      <c r="AF90" s="395"/>
      <c r="AG90" s="395"/>
      <c r="AH90" s="395"/>
      <c r="AI90" s="395">
        <v>49738.35</v>
      </c>
      <c r="AJ90" s="395"/>
      <c r="AK90" s="395">
        <v>49843.6</v>
      </c>
      <c r="AL90" s="452"/>
      <c r="AM90" s="460">
        <f t="shared" si="5"/>
        <v>227808.15</v>
      </c>
      <c r="AN90" s="395">
        <v>73</v>
      </c>
      <c r="AO90" s="398">
        <v>266</v>
      </c>
      <c r="AP90" s="455">
        <v>-65.14</v>
      </c>
      <c r="AQ90" s="465"/>
      <c r="AR90" s="465">
        <v>0</v>
      </c>
      <c r="AS90" s="470">
        <v>1.2</v>
      </c>
      <c r="AT90" s="516"/>
      <c r="AU90" s="516"/>
      <c r="AV90" s="516"/>
      <c r="AW90" s="516"/>
      <c r="AX90" s="516"/>
      <c r="AY90" s="516"/>
      <c r="AZ90" s="522"/>
      <c r="BA90" s="522"/>
      <c r="BB90" s="522"/>
      <c r="BC90" s="522"/>
      <c r="BD90" s="522"/>
      <c r="BE90" s="522"/>
      <c r="BF90" s="522"/>
      <c r="BG90" s="522"/>
    </row>
    <row r="91" spans="1:59" x14ac:dyDescent="0.25">
      <c r="A91" s="338">
        <v>5535</v>
      </c>
      <c r="B91" s="485" t="s">
        <v>30</v>
      </c>
      <c r="C91" s="390">
        <v>1424371.91</v>
      </c>
      <c r="D91" s="390">
        <v>148080</v>
      </c>
      <c r="E91" s="388"/>
      <c r="F91" s="390">
        <v>0</v>
      </c>
      <c r="G91" s="390">
        <v>-9502</v>
      </c>
      <c r="H91" s="390">
        <v>3367.85</v>
      </c>
      <c r="I91" s="390">
        <v>0</v>
      </c>
      <c r="J91" s="390">
        <v>6266.37</v>
      </c>
      <c r="K91" s="390">
        <v>1379.3</v>
      </c>
      <c r="L91" s="390">
        <v>144966.9</v>
      </c>
      <c r="M91" s="331">
        <f t="shared" si="3"/>
        <v>1718930.33</v>
      </c>
      <c r="N91" s="394">
        <v>44895</v>
      </c>
      <c r="O91" s="394">
        <v>0</v>
      </c>
      <c r="P91" s="394">
        <v>35709.599999999999</v>
      </c>
      <c r="Q91" s="394">
        <v>410.86</v>
      </c>
      <c r="R91" s="394">
        <v>-518.95000000000005</v>
      </c>
      <c r="S91" s="394"/>
      <c r="T91" s="394">
        <v>66</v>
      </c>
      <c r="U91" s="394">
        <v>9150</v>
      </c>
      <c r="V91" s="394"/>
      <c r="W91" s="394"/>
      <c r="X91" s="379">
        <v>-735.77</v>
      </c>
      <c r="Y91" s="460">
        <f t="shared" si="4"/>
        <v>1807907.0700000003</v>
      </c>
      <c r="Z91" s="395">
        <v>3000</v>
      </c>
      <c r="AA91" s="395"/>
      <c r="AB91" s="395">
        <v>147580.75</v>
      </c>
      <c r="AC91" s="395">
        <v>56021.65</v>
      </c>
      <c r="AD91" s="395">
        <v>6105</v>
      </c>
      <c r="AE91" s="395"/>
      <c r="AF91" s="395"/>
      <c r="AG91" s="395"/>
      <c r="AH91" s="395"/>
      <c r="AI91" s="395"/>
      <c r="AJ91" s="395"/>
      <c r="AK91" s="395"/>
      <c r="AL91" s="452"/>
      <c r="AM91" s="460">
        <f t="shared" si="5"/>
        <v>212707.4</v>
      </c>
      <c r="AN91" s="395">
        <v>75</v>
      </c>
      <c r="AO91" s="398">
        <v>784</v>
      </c>
      <c r="AP91" s="455">
        <v>-31282.47</v>
      </c>
      <c r="AQ91" s="465"/>
      <c r="AR91" s="465">
        <v>-59.19</v>
      </c>
      <c r="AS91" s="470">
        <v>1</v>
      </c>
      <c r="AT91" s="516"/>
      <c r="AU91" s="516"/>
      <c r="AV91" s="516"/>
      <c r="AW91" s="516"/>
      <c r="AX91" s="516"/>
      <c r="AY91" s="516"/>
      <c r="AZ91" s="522"/>
      <c r="BA91" s="522"/>
      <c r="BB91" s="522"/>
      <c r="BC91" s="522"/>
      <c r="BD91" s="522"/>
      <c r="BE91" s="522"/>
      <c r="BF91" s="522"/>
      <c r="BG91" s="522"/>
    </row>
    <row r="92" spans="1:59" x14ac:dyDescent="0.25">
      <c r="A92" s="338">
        <v>5537</v>
      </c>
      <c r="B92" s="485" t="s">
        <v>31</v>
      </c>
      <c r="C92" s="390">
        <v>2256263.67</v>
      </c>
      <c r="D92" s="390">
        <v>279507.26</v>
      </c>
      <c r="E92" s="388"/>
      <c r="F92" s="390">
        <v>7030</v>
      </c>
      <c r="G92" s="390">
        <v>16907.349999999999</v>
      </c>
      <c r="H92" s="390">
        <v>883.1</v>
      </c>
      <c r="I92" s="390">
        <v>0</v>
      </c>
      <c r="J92" s="390">
        <v>4792.95</v>
      </c>
      <c r="K92" s="390">
        <v>833</v>
      </c>
      <c r="L92" s="390">
        <v>228114.65</v>
      </c>
      <c r="M92" s="331">
        <f t="shared" si="3"/>
        <v>2794331.98</v>
      </c>
      <c r="N92" s="394">
        <v>0</v>
      </c>
      <c r="O92" s="394">
        <v>859.2</v>
      </c>
      <c r="P92" s="394">
        <v>103590.85</v>
      </c>
      <c r="Q92" s="394">
        <v>6633.16</v>
      </c>
      <c r="R92" s="394">
        <v>90389.5</v>
      </c>
      <c r="S92" s="394">
        <v>377.25</v>
      </c>
      <c r="T92" s="394"/>
      <c r="U92" s="394">
        <v>9620</v>
      </c>
      <c r="V92" s="394"/>
      <c r="W92" s="394"/>
      <c r="X92" s="379">
        <v>2133.91</v>
      </c>
      <c r="Y92" s="460">
        <f t="shared" si="4"/>
        <v>3007935.8500000006</v>
      </c>
      <c r="Z92" s="395">
        <v>46535</v>
      </c>
      <c r="AA92" s="395"/>
      <c r="AB92" s="395">
        <v>277810.65000000002</v>
      </c>
      <c r="AC92" s="395"/>
      <c r="AD92" s="395">
        <v>145688.45000000001</v>
      </c>
      <c r="AE92" s="395">
        <v>46535</v>
      </c>
      <c r="AF92" s="395"/>
      <c r="AG92" s="395"/>
      <c r="AH92" s="395"/>
      <c r="AI92" s="395"/>
      <c r="AJ92" s="395"/>
      <c r="AK92" s="395"/>
      <c r="AL92" s="452"/>
      <c r="AM92" s="460">
        <f t="shared" si="5"/>
        <v>516569.10000000003</v>
      </c>
      <c r="AN92" s="395">
        <v>73</v>
      </c>
      <c r="AO92" s="398">
        <v>1281</v>
      </c>
      <c r="AP92" s="455">
        <v>-31621.53</v>
      </c>
      <c r="AQ92" s="465"/>
      <c r="AR92" s="465">
        <v>-158.81</v>
      </c>
      <c r="AS92" s="470">
        <v>1</v>
      </c>
      <c r="AT92" s="516"/>
      <c r="AU92" s="516"/>
      <c r="AV92" s="516"/>
      <c r="AW92" s="516"/>
      <c r="AX92" s="516"/>
      <c r="AY92" s="516"/>
      <c r="AZ92" s="522"/>
      <c r="BA92" s="522"/>
      <c r="BB92" s="522"/>
      <c r="BC92" s="522"/>
      <c r="BD92" s="522"/>
      <c r="BE92" s="522"/>
      <c r="BF92" s="522"/>
      <c r="BG92" s="522"/>
    </row>
    <row r="93" spans="1:59" x14ac:dyDescent="0.25">
      <c r="A93" s="338">
        <v>5539</v>
      </c>
      <c r="B93" s="485" t="s">
        <v>32</v>
      </c>
      <c r="C93" s="390">
        <v>2203592.81</v>
      </c>
      <c r="D93" s="390">
        <v>209947.11</v>
      </c>
      <c r="E93" s="388"/>
      <c r="F93" s="390">
        <v>0</v>
      </c>
      <c r="G93" s="390">
        <v>21640.75</v>
      </c>
      <c r="H93" s="390">
        <v>478.25</v>
      </c>
      <c r="I93" s="390">
        <v>0</v>
      </c>
      <c r="J93" s="390">
        <v>10580.62</v>
      </c>
      <c r="K93" s="390">
        <v>5823.4</v>
      </c>
      <c r="L93" s="390">
        <v>149113.35</v>
      </c>
      <c r="M93" s="331">
        <f t="shared" si="3"/>
        <v>2601176.29</v>
      </c>
      <c r="N93" s="394">
        <v>19878.05</v>
      </c>
      <c r="O93" s="394">
        <v>129594.6</v>
      </c>
      <c r="P93" s="394">
        <v>139946.29999999999</v>
      </c>
      <c r="Q93" s="394">
        <v>24565.61</v>
      </c>
      <c r="R93" s="394">
        <v>51038.65</v>
      </c>
      <c r="S93" s="394"/>
      <c r="T93" s="394"/>
      <c r="U93" s="394">
        <v>7800</v>
      </c>
      <c r="V93" s="394"/>
      <c r="W93" s="394"/>
      <c r="X93" s="379">
        <v>2653.11</v>
      </c>
      <c r="Y93" s="460">
        <f t="shared" si="4"/>
        <v>2976652.6099999994</v>
      </c>
      <c r="Z93" s="395">
        <v>28565.4</v>
      </c>
      <c r="AA93" s="395"/>
      <c r="AB93" s="395">
        <v>319401.84999999998</v>
      </c>
      <c r="AC93" s="395"/>
      <c r="AD93" s="395">
        <v>66590</v>
      </c>
      <c r="AE93" s="395">
        <v>23824.5</v>
      </c>
      <c r="AF93" s="395"/>
      <c r="AG93" s="395"/>
      <c r="AH93" s="395"/>
      <c r="AI93" s="395">
        <v>20558.150000000001</v>
      </c>
      <c r="AJ93" s="395"/>
      <c r="AK93" s="395"/>
      <c r="AL93" s="452"/>
      <c r="AM93" s="460">
        <f t="shared" si="5"/>
        <v>458939.9</v>
      </c>
      <c r="AN93" s="395">
        <v>73.5</v>
      </c>
      <c r="AO93" s="398">
        <v>1060</v>
      </c>
      <c r="AP93" s="455">
        <v>-22282.17</v>
      </c>
      <c r="AQ93" s="465"/>
      <c r="AR93" s="465">
        <v>-212.45</v>
      </c>
      <c r="AS93" s="470">
        <v>0.8</v>
      </c>
      <c r="AT93" s="516"/>
      <c r="AU93" s="516"/>
      <c r="AV93" s="516"/>
      <c r="AW93" s="516"/>
      <c r="AX93" s="516"/>
      <c r="AY93" s="516"/>
      <c r="AZ93" s="522"/>
      <c r="BA93" s="522"/>
      <c r="BB93" s="522"/>
      <c r="BC93" s="522"/>
      <c r="BD93" s="522"/>
      <c r="BE93" s="522"/>
      <c r="BF93" s="522"/>
      <c r="BG93" s="522"/>
    </row>
    <row r="94" spans="1:59" x14ac:dyDescent="0.25">
      <c r="A94" s="338">
        <v>5540</v>
      </c>
      <c r="B94" s="485" t="s">
        <v>430</v>
      </c>
      <c r="C94" s="390">
        <v>3792448.27</v>
      </c>
      <c r="D94" s="390">
        <v>507693.9</v>
      </c>
      <c r="E94" s="388"/>
      <c r="F94" s="390">
        <v>0</v>
      </c>
      <c r="G94" s="390">
        <v>129555.8</v>
      </c>
      <c r="H94" s="390">
        <v>3850.6</v>
      </c>
      <c r="I94" s="390">
        <v>0</v>
      </c>
      <c r="J94" s="390">
        <v>50648.1</v>
      </c>
      <c r="K94" s="390">
        <v>13109.85</v>
      </c>
      <c r="L94" s="390">
        <v>280809</v>
      </c>
      <c r="M94" s="331">
        <f t="shared" si="3"/>
        <v>4778115.5199999986</v>
      </c>
      <c r="N94" s="394">
        <v>1260.8499999999999</v>
      </c>
      <c r="O94" s="394">
        <v>1159.9000000000001</v>
      </c>
      <c r="P94" s="394">
        <v>111431.35</v>
      </c>
      <c r="Q94" s="394">
        <v>9509.91</v>
      </c>
      <c r="R94" s="394">
        <v>83871.649999999994</v>
      </c>
      <c r="S94" s="394">
        <v>1585.35</v>
      </c>
      <c r="T94" s="394"/>
      <c r="U94" s="394">
        <v>14300</v>
      </c>
      <c r="V94" s="394"/>
      <c r="W94" s="394"/>
      <c r="X94" s="379">
        <v>16001.68</v>
      </c>
      <c r="Y94" s="460">
        <f t="shared" si="4"/>
        <v>5017236.2099999981</v>
      </c>
      <c r="Z94" s="395">
        <v>14145.35</v>
      </c>
      <c r="AA94" s="395"/>
      <c r="AB94" s="395">
        <v>195981</v>
      </c>
      <c r="AC94" s="395"/>
      <c r="AD94" s="395">
        <v>116426.65</v>
      </c>
      <c r="AE94" s="395">
        <v>7602.45</v>
      </c>
      <c r="AF94" s="395"/>
      <c r="AG94" s="395"/>
      <c r="AH94" s="395"/>
      <c r="AI94" s="395"/>
      <c r="AJ94" s="395"/>
      <c r="AK94" s="395"/>
      <c r="AL94" s="452"/>
      <c r="AM94" s="460">
        <f t="shared" si="5"/>
        <v>334155.45</v>
      </c>
      <c r="AN94" s="395">
        <v>72.5</v>
      </c>
      <c r="AO94" s="398">
        <v>1857</v>
      </c>
      <c r="AP94" s="455">
        <v>-69478.42</v>
      </c>
      <c r="AQ94" s="465"/>
      <c r="AR94" s="465">
        <v>-751.17</v>
      </c>
      <c r="AS94" s="470">
        <v>0.8</v>
      </c>
      <c r="AT94" s="516"/>
      <c r="AU94" s="516"/>
      <c r="AV94" s="516"/>
      <c r="AW94" s="516"/>
      <c r="AX94" s="516"/>
      <c r="AY94" s="516"/>
      <c r="AZ94" s="522"/>
      <c r="BA94" s="522"/>
      <c r="BB94" s="522"/>
      <c r="BC94" s="522"/>
      <c r="BD94" s="522"/>
      <c r="BE94" s="522"/>
      <c r="BF94" s="522"/>
      <c r="BG94" s="522"/>
    </row>
    <row r="95" spans="1:59" x14ac:dyDescent="0.25">
      <c r="A95" s="338">
        <v>5541</v>
      </c>
      <c r="B95" s="485" t="s">
        <v>429</v>
      </c>
      <c r="C95" s="390">
        <v>2239709.94</v>
      </c>
      <c r="D95" s="390">
        <v>301641.15999999997</v>
      </c>
      <c r="E95" s="388"/>
      <c r="F95" s="390">
        <v>0</v>
      </c>
      <c r="G95" s="390">
        <v>79459.75</v>
      </c>
      <c r="H95" s="390">
        <v>2703.75</v>
      </c>
      <c r="I95" s="390">
        <v>0</v>
      </c>
      <c r="J95" s="390">
        <v>11363.73</v>
      </c>
      <c r="K95" s="390">
        <v>1456.65</v>
      </c>
      <c r="L95" s="390">
        <v>209672.85</v>
      </c>
      <c r="M95" s="331">
        <f t="shared" si="3"/>
        <v>2846007.83</v>
      </c>
      <c r="N95" s="394">
        <v>9196.2999999999993</v>
      </c>
      <c r="O95" s="394">
        <v>109740.5</v>
      </c>
      <c r="P95" s="394">
        <v>98100.45</v>
      </c>
      <c r="Q95" s="394">
        <v>0</v>
      </c>
      <c r="R95" s="394">
        <v>46579.8</v>
      </c>
      <c r="S95" s="394"/>
      <c r="T95" s="394"/>
      <c r="U95" s="394">
        <v>7700</v>
      </c>
      <c r="V95" s="394"/>
      <c r="W95" s="394"/>
      <c r="X95" s="379">
        <v>9855.26</v>
      </c>
      <c r="Y95" s="460">
        <f t="shared" si="4"/>
        <v>3127180.1399999997</v>
      </c>
      <c r="Z95" s="395">
        <v>21424.799999999999</v>
      </c>
      <c r="AA95" s="395"/>
      <c r="AB95" s="395">
        <v>65239.8</v>
      </c>
      <c r="AC95" s="395"/>
      <c r="AD95" s="395">
        <v>64248.65</v>
      </c>
      <c r="AE95" s="395">
        <v>32666.35</v>
      </c>
      <c r="AF95" s="395"/>
      <c r="AG95" s="395"/>
      <c r="AH95" s="395"/>
      <c r="AI95" s="395"/>
      <c r="AJ95" s="395"/>
      <c r="AK95" s="395"/>
      <c r="AL95" s="452"/>
      <c r="AM95" s="460">
        <f t="shared" si="5"/>
        <v>183579.6</v>
      </c>
      <c r="AN95" s="395">
        <v>75.5</v>
      </c>
      <c r="AO95" s="398">
        <v>1153</v>
      </c>
      <c r="AP95" s="455">
        <v>-62440.43</v>
      </c>
      <c r="AQ95" s="465"/>
      <c r="AR95" s="465">
        <v>-27.51</v>
      </c>
      <c r="AS95" s="470">
        <v>1</v>
      </c>
      <c r="AT95" s="516"/>
      <c r="AU95" s="516"/>
      <c r="AV95" s="516"/>
      <c r="AW95" s="516"/>
      <c r="AX95" s="516"/>
      <c r="AY95" s="516"/>
      <c r="AZ95" s="522"/>
      <c r="BA95" s="522"/>
      <c r="BB95" s="522"/>
      <c r="BC95" s="522"/>
      <c r="BD95" s="522"/>
      <c r="BE95" s="522"/>
      <c r="BF95" s="522"/>
      <c r="BG95" s="522"/>
    </row>
    <row r="96" spans="1:59" x14ac:dyDescent="0.25">
      <c r="A96" s="338">
        <v>5551</v>
      </c>
      <c r="B96" s="485" t="s">
        <v>33</v>
      </c>
      <c r="C96" s="390">
        <v>786824.99</v>
      </c>
      <c r="D96" s="390">
        <v>133990.73000000001</v>
      </c>
      <c r="E96" s="388"/>
      <c r="F96" s="390">
        <v>0</v>
      </c>
      <c r="G96" s="390">
        <v>8216.35</v>
      </c>
      <c r="H96" s="390">
        <v>2729.55</v>
      </c>
      <c r="I96" s="390">
        <v>0</v>
      </c>
      <c r="J96" s="390">
        <v>-2026.29</v>
      </c>
      <c r="K96" s="390">
        <v>16988.400000000001</v>
      </c>
      <c r="L96" s="390">
        <v>113115.6</v>
      </c>
      <c r="M96" s="331">
        <f t="shared" si="3"/>
        <v>1059839.33</v>
      </c>
      <c r="N96" s="394">
        <v>30909.3</v>
      </c>
      <c r="O96" s="394">
        <v>120.5</v>
      </c>
      <c r="P96" s="394">
        <v>15785</v>
      </c>
      <c r="Q96" s="394">
        <v>0</v>
      </c>
      <c r="R96" s="394">
        <v>15577.45</v>
      </c>
      <c r="S96" s="394"/>
      <c r="T96" s="394"/>
      <c r="U96" s="394">
        <v>2990.5</v>
      </c>
      <c r="V96" s="394"/>
      <c r="W96" s="394"/>
      <c r="X96" s="379">
        <v>1312.93</v>
      </c>
      <c r="Y96" s="460">
        <f t="shared" si="4"/>
        <v>1126535.01</v>
      </c>
      <c r="Z96" s="395">
        <v>3456</v>
      </c>
      <c r="AA96" s="395">
        <v>40761</v>
      </c>
      <c r="AB96" s="395">
        <v>40329</v>
      </c>
      <c r="AC96" s="395"/>
      <c r="AD96" s="395">
        <v>32426.35</v>
      </c>
      <c r="AE96" s="395">
        <v>3840</v>
      </c>
      <c r="AF96" s="395"/>
      <c r="AG96" s="395"/>
      <c r="AH96" s="395">
        <v>2082</v>
      </c>
      <c r="AI96" s="395"/>
      <c r="AJ96" s="395"/>
      <c r="AK96" s="395"/>
      <c r="AL96" s="452"/>
      <c r="AM96" s="460">
        <f t="shared" si="5"/>
        <v>122894.35</v>
      </c>
      <c r="AN96" s="395">
        <v>55</v>
      </c>
      <c r="AO96" s="398">
        <v>489</v>
      </c>
      <c r="AP96" s="455">
        <v>-5687.44</v>
      </c>
      <c r="AQ96" s="465"/>
      <c r="AR96" s="465">
        <v>-1849.91</v>
      </c>
      <c r="AS96" s="470">
        <v>1</v>
      </c>
      <c r="AT96" s="516"/>
      <c r="AU96" s="516"/>
      <c r="AV96" s="516"/>
      <c r="AW96" s="516"/>
      <c r="AX96" s="516"/>
      <c r="AY96" s="516"/>
      <c r="AZ96" s="522"/>
      <c r="BA96" s="522"/>
      <c r="BB96" s="522"/>
      <c r="BC96" s="522"/>
      <c r="BD96" s="522"/>
      <c r="BE96" s="522"/>
      <c r="BF96" s="522"/>
      <c r="BG96" s="522"/>
    </row>
    <row r="97" spans="1:59" x14ac:dyDescent="0.25">
      <c r="A97" s="338">
        <v>5552</v>
      </c>
      <c r="B97" s="485" t="s">
        <v>34</v>
      </c>
      <c r="C97" s="390">
        <v>950916.19</v>
      </c>
      <c r="D97" s="390">
        <v>176423.96</v>
      </c>
      <c r="E97" s="388"/>
      <c r="F97" s="390">
        <v>0</v>
      </c>
      <c r="G97" s="390">
        <v>-5547.7</v>
      </c>
      <c r="H97" s="390">
        <v>1950.05</v>
      </c>
      <c r="I97" s="390">
        <v>0</v>
      </c>
      <c r="J97" s="390">
        <v>15639.79</v>
      </c>
      <c r="K97" s="390">
        <v>-502.9</v>
      </c>
      <c r="L97" s="390">
        <v>122528.45</v>
      </c>
      <c r="M97" s="331">
        <f t="shared" si="3"/>
        <v>1261407.8400000001</v>
      </c>
      <c r="N97" s="394">
        <v>65482.45</v>
      </c>
      <c r="O97" s="394">
        <v>3247.6</v>
      </c>
      <c r="P97" s="394">
        <v>49797</v>
      </c>
      <c r="Q97" s="394">
        <v>1394.42</v>
      </c>
      <c r="R97" s="394">
        <v>51954.95</v>
      </c>
      <c r="S97" s="394"/>
      <c r="T97" s="394"/>
      <c r="U97" s="394">
        <v>5698</v>
      </c>
      <c r="V97" s="394"/>
      <c r="W97" s="394"/>
      <c r="X97" s="379">
        <v>-431.53</v>
      </c>
      <c r="Y97" s="460">
        <f t="shared" si="4"/>
        <v>1438550.73</v>
      </c>
      <c r="Z97" s="395">
        <v>4000</v>
      </c>
      <c r="AA97" s="395"/>
      <c r="AB97" s="395">
        <v>110728</v>
      </c>
      <c r="AC97" s="395"/>
      <c r="AD97" s="395">
        <v>73718.289999999994</v>
      </c>
      <c r="AE97" s="395">
        <v>3714.02</v>
      </c>
      <c r="AF97" s="395"/>
      <c r="AG97" s="395"/>
      <c r="AH97" s="395">
        <v>97755.8</v>
      </c>
      <c r="AI97" s="395">
        <v>22258.2</v>
      </c>
      <c r="AJ97" s="395"/>
      <c r="AK97" s="395"/>
      <c r="AL97" s="452"/>
      <c r="AM97" s="460">
        <f t="shared" si="5"/>
        <v>312174.31</v>
      </c>
      <c r="AN97" s="395">
        <v>71.5</v>
      </c>
      <c r="AO97" s="398">
        <v>657</v>
      </c>
      <c r="AP97" s="455">
        <v>-6720.92</v>
      </c>
      <c r="AQ97" s="465"/>
      <c r="AR97" s="465">
        <v>-365.96</v>
      </c>
      <c r="AS97" s="470">
        <v>1</v>
      </c>
      <c r="AT97" s="516"/>
      <c r="AU97" s="516"/>
      <c r="AV97" s="516"/>
      <c r="AW97" s="516"/>
      <c r="AX97" s="516"/>
      <c r="AY97" s="516"/>
      <c r="AZ97" s="522"/>
      <c r="BA97" s="522"/>
      <c r="BB97" s="522"/>
      <c r="BC97" s="522"/>
      <c r="BD97" s="522"/>
      <c r="BE97" s="522"/>
      <c r="BF97" s="522"/>
      <c r="BG97" s="522"/>
    </row>
    <row r="98" spans="1:59" x14ac:dyDescent="0.25">
      <c r="A98" s="338">
        <v>5553</v>
      </c>
      <c r="B98" s="485" t="s">
        <v>35</v>
      </c>
      <c r="C98" s="390">
        <v>1743747.65</v>
      </c>
      <c r="D98" s="390">
        <v>245397.49</v>
      </c>
      <c r="E98" s="388"/>
      <c r="F98" s="390">
        <v>0</v>
      </c>
      <c r="G98" s="390">
        <v>135210.1</v>
      </c>
      <c r="H98" s="390">
        <v>41707.300000000003</v>
      </c>
      <c r="I98" s="390">
        <v>0</v>
      </c>
      <c r="J98" s="390">
        <v>75757.75</v>
      </c>
      <c r="K98" s="390">
        <v>27799.65</v>
      </c>
      <c r="L98" s="390">
        <v>231568.6</v>
      </c>
      <c r="M98" s="331">
        <f t="shared" si="3"/>
        <v>2501188.5399999996</v>
      </c>
      <c r="N98" s="394">
        <v>172905.8</v>
      </c>
      <c r="O98" s="394">
        <v>157011.4</v>
      </c>
      <c r="P98" s="394">
        <v>34246.300000000003</v>
      </c>
      <c r="Q98" s="394">
        <v>1474.94</v>
      </c>
      <c r="R98" s="394">
        <v>19029.7</v>
      </c>
      <c r="S98" s="394"/>
      <c r="T98" s="394"/>
      <c r="U98" s="394">
        <v>6250</v>
      </c>
      <c r="V98" s="394"/>
      <c r="W98" s="394"/>
      <c r="X98" s="379">
        <v>21220.69</v>
      </c>
      <c r="Y98" s="460">
        <f t="shared" si="4"/>
        <v>2913327.3699999992</v>
      </c>
      <c r="Z98" s="395">
        <v>5789.85</v>
      </c>
      <c r="AA98" s="395"/>
      <c r="AB98" s="395">
        <v>142709.20000000001</v>
      </c>
      <c r="AC98" s="395"/>
      <c r="AD98" s="395">
        <v>78059.899999999994</v>
      </c>
      <c r="AE98" s="395">
        <v>7029.4</v>
      </c>
      <c r="AF98" s="395"/>
      <c r="AG98" s="395"/>
      <c r="AH98" s="395"/>
      <c r="AI98" s="395">
        <v>79328.899999999994</v>
      </c>
      <c r="AJ98" s="395"/>
      <c r="AK98" s="395"/>
      <c r="AL98" s="452"/>
      <c r="AM98" s="460">
        <f t="shared" si="5"/>
        <v>312917.25</v>
      </c>
      <c r="AN98" s="395">
        <v>65</v>
      </c>
      <c r="AO98" s="398">
        <v>1061</v>
      </c>
      <c r="AP98" s="455">
        <v>-9025.49</v>
      </c>
      <c r="AQ98" s="465"/>
      <c r="AR98" s="465">
        <v>-569.12</v>
      </c>
      <c r="AS98" s="470">
        <v>1</v>
      </c>
      <c r="AT98" s="516"/>
      <c r="AU98" s="516"/>
      <c r="AV98" s="516"/>
      <c r="AW98" s="516"/>
      <c r="AX98" s="516"/>
      <c r="AY98" s="516"/>
      <c r="AZ98" s="522"/>
      <c r="BA98" s="522"/>
      <c r="BB98" s="522"/>
      <c r="BC98" s="522"/>
      <c r="BD98" s="522"/>
      <c r="BE98" s="522"/>
      <c r="BF98" s="522"/>
      <c r="BG98" s="522"/>
    </row>
    <row r="99" spans="1:59" x14ac:dyDescent="0.25">
      <c r="A99" s="338">
        <v>5554</v>
      </c>
      <c r="B99" s="485" t="s">
        <v>36</v>
      </c>
      <c r="C99" s="390">
        <v>1769610.28</v>
      </c>
      <c r="D99" s="390">
        <v>446440.39</v>
      </c>
      <c r="E99" s="388"/>
      <c r="F99" s="390">
        <v>0</v>
      </c>
      <c r="G99" s="390">
        <v>22460.7</v>
      </c>
      <c r="H99" s="390">
        <v>422.15</v>
      </c>
      <c r="I99" s="390">
        <v>0</v>
      </c>
      <c r="J99" s="390">
        <v>36519.08</v>
      </c>
      <c r="K99" s="390">
        <v>-11415.05</v>
      </c>
      <c r="L99" s="390">
        <v>182402.2</v>
      </c>
      <c r="M99" s="331">
        <f t="shared" si="3"/>
        <v>2446439.7500000005</v>
      </c>
      <c r="N99" s="394">
        <v>2598.0500000000002</v>
      </c>
      <c r="O99" s="394">
        <v>106619.5</v>
      </c>
      <c r="P99" s="394">
        <v>86010.05</v>
      </c>
      <c r="Q99" s="394">
        <v>8111.93</v>
      </c>
      <c r="R99" s="394">
        <v>55126.95</v>
      </c>
      <c r="S99" s="394">
        <v>551.95000000000005</v>
      </c>
      <c r="T99" s="394"/>
      <c r="U99" s="394">
        <v>5812.5</v>
      </c>
      <c r="V99" s="394"/>
      <c r="W99" s="394"/>
      <c r="X99" s="379">
        <v>2744.73</v>
      </c>
      <c r="Y99" s="460">
        <f t="shared" si="4"/>
        <v>2714015.4100000006</v>
      </c>
      <c r="Z99" s="395"/>
      <c r="AA99" s="395">
        <v>48279</v>
      </c>
      <c r="AB99" s="395">
        <v>120697.5</v>
      </c>
      <c r="AC99" s="395">
        <v>218295</v>
      </c>
      <c r="AD99" s="395">
        <v>57072.05</v>
      </c>
      <c r="AE99" s="395"/>
      <c r="AF99" s="395"/>
      <c r="AG99" s="395"/>
      <c r="AH99" s="395">
        <v>26565.15</v>
      </c>
      <c r="AI99" s="395"/>
      <c r="AJ99" s="395"/>
      <c r="AK99" s="395"/>
      <c r="AL99" s="452"/>
      <c r="AM99" s="460">
        <f t="shared" si="5"/>
        <v>470908.7</v>
      </c>
      <c r="AN99" s="395">
        <v>75</v>
      </c>
      <c r="AO99" s="398">
        <v>1001</v>
      </c>
      <c r="AP99" s="455">
        <v>-27154.080000000002</v>
      </c>
      <c r="AQ99" s="465"/>
      <c r="AR99" s="465">
        <v>-5552</v>
      </c>
      <c r="AS99" s="470">
        <v>1</v>
      </c>
      <c r="AT99" s="516"/>
      <c r="AU99" s="516"/>
      <c r="AV99" s="516"/>
      <c r="AW99" s="516"/>
      <c r="AX99" s="516"/>
      <c r="AY99" s="516"/>
      <c r="AZ99" s="522"/>
      <c r="BA99" s="522"/>
      <c r="BB99" s="522"/>
      <c r="BC99" s="522"/>
      <c r="BD99" s="522"/>
      <c r="BE99" s="522"/>
      <c r="BF99" s="522"/>
      <c r="BG99" s="522"/>
    </row>
    <row r="100" spans="1:59" x14ac:dyDescent="0.25">
      <c r="A100" s="338">
        <v>5555</v>
      </c>
      <c r="B100" s="485" t="s">
        <v>37</v>
      </c>
      <c r="C100" s="390">
        <v>638521.05000000005</v>
      </c>
      <c r="D100" s="390">
        <v>161554.32</v>
      </c>
      <c r="E100" s="388"/>
      <c r="F100" s="390">
        <v>0</v>
      </c>
      <c r="G100" s="390">
        <v>24744.1</v>
      </c>
      <c r="H100" s="390">
        <v>2261.6999999999998</v>
      </c>
      <c r="I100" s="390">
        <v>0</v>
      </c>
      <c r="J100" s="390">
        <v>17711.75</v>
      </c>
      <c r="K100" s="390">
        <v>2094.9</v>
      </c>
      <c r="L100" s="390">
        <v>92071.4</v>
      </c>
      <c r="M100" s="331">
        <f t="shared" si="3"/>
        <v>938959.22000000009</v>
      </c>
      <c r="N100" s="394">
        <v>8366.85</v>
      </c>
      <c r="O100" s="394">
        <v>100965</v>
      </c>
      <c r="P100" s="394">
        <v>46866.6</v>
      </c>
      <c r="Q100" s="394">
        <v>0</v>
      </c>
      <c r="R100" s="394">
        <v>29391.599999999999</v>
      </c>
      <c r="S100" s="394"/>
      <c r="T100" s="394"/>
      <c r="U100" s="394">
        <v>1590</v>
      </c>
      <c r="V100" s="394"/>
      <c r="W100" s="394"/>
      <c r="X100" s="379">
        <v>3239.26</v>
      </c>
      <c r="Y100" s="460">
        <f t="shared" si="4"/>
        <v>1129378.5300000003</v>
      </c>
      <c r="Z100" s="395">
        <v>2052</v>
      </c>
      <c r="AA100" s="395"/>
      <c r="AB100" s="395">
        <v>105117</v>
      </c>
      <c r="AC100" s="395"/>
      <c r="AD100" s="395">
        <v>20961.55</v>
      </c>
      <c r="AE100" s="395">
        <v>3420</v>
      </c>
      <c r="AF100" s="395"/>
      <c r="AG100" s="395"/>
      <c r="AH100" s="395">
        <v>11064.5</v>
      </c>
      <c r="AI100" s="395">
        <v>8458.5</v>
      </c>
      <c r="AJ100" s="395"/>
      <c r="AK100" s="395"/>
      <c r="AL100" s="452"/>
      <c r="AM100" s="460">
        <f t="shared" si="5"/>
        <v>151073.54999999999</v>
      </c>
      <c r="AN100" s="395">
        <v>69</v>
      </c>
      <c r="AO100" s="398">
        <v>419</v>
      </c>
      <c r="AP100" s="455">
        <v>-3578.72</v>
      </c>
      <c r="AQ100" s="465"/>
      <c r="AR100" s="465">
        <v>-252.22</v>
      </c>
      <c r="AS100" s="470">
        <v>1</v>
      </c>
      <c r="AT100" s="516"/>
      <c r="AU100" s="516"/>
      <c r="AV100" s="516"/>
      <c r="AW100" s="516"/>
      <c r="AX100" s="516"/>
      <c r="AY100" s="516"/>
      <c r="AZ100" s="522"/>
      <c r="BA100" s="522"/>
      <c r="BB100" s="522"/>
      <c r="BC100" s="522"/>
      <c r="BD100" s="522"/>
      <c r="BE100" s="522"/>
      <c r="BF100" s="522"/>
      <c r="BG100" s="522"/>
    </row>
    <row r="101" spans="1:59" x14ac:dyDescent="0.25">
      <c r="A101" s="338">
        <v>5556</v>
      </c>
      <c r="B101" s="485" t="s">
        <v>38</v>
      </c>
      <c r="C101" s="390">
        <v>801630.2</v>
      </c>
      <c r="D101" s="390">
        <v>83009.83</v>
      </c>
      <c r="E101" s="388"/>
      <c r="F101" s="390">
        <v>2420</v>
      </c>
      <c r="G101" s="390">
        <v>15836.05</v>
      </c>
      <c r="H101" s="390">
        <v>142.05000000000001</v>
      </c>
      <c r="I101" s="390">
        <v>0</v>
      </c>
      <c r="J101" s="390">
        <v>14914.82</v>
      </c>
      <c r="K101" s="390">
        <v>1271.6500000000001</v>
      </c>
      <c r="L101" s="390">
        <v>87296.85</v>
      </c>
      <c r="M101" s="331">
        <f t="shared" si="3"/>
        <v>1006521.45</v>
      </c>
      <c r="N101" s="394">
        <v>0</v>
      </c>
      <c r="O101" s="394">
        <v>0</v>
      </c>
      <c r="P101" s="394">
        <v>58162.5</v>
      </c>
      <c r="Q101" s="394">
        <v>0</v>
      </c>
      <c r="R101" s="394">
        <v>32570.45</v>
      </c>
      <c r="S101" s="394"/>
      <c r="T101" s="394"/>
      <c r="U101" s="394">
        <v>2516.3000000000002</v>
      </c>
      <c r="V101" s="394"/>
      <c r="W101" s="394"/>
      <c r="X101" s="379">
        <v>1916.52</v>
      </c>
      <c r="Y101" s="460">
        <f t="shared" si="4"/>
        <v>1101687.22</v>
      </c>
      <c r="Z101" s="395"/>
      <c r="AA101" s="395"/>
      <c r="AB101" s="395">
        <v>72003.199999999997</v>
      </c>
      <c r="AC101" s="395"/>
      <c r="AD101" s="395">
        <v>17701.099999999999</v>
      </c>
      <c r="AE101" s="395"/>
      <c r="AF101" s="395"/>
      <c r="AG101" s="395"/>
      <c r="AH101" s="395">
        <v>480</v>
      </c>
      <c r="AI101" s="395"/>
      <c r="AJ101" s="395"/>
      <c r="AK101" s="395"/>
      <c r="AL101" s="452"/>
      <c r="AM101" s="460">
        <f t="shared" si="5"/>
        <v>90184.299999999988</v>
      </c>
      <c r="AN101" s="395">
        <v>69</v>
      </c>
      <c r="AO101" s="398">
        <v>451</v>
      </c>
      <c r="AP101" s="455">
        <v>-40554.980000000003</v>
      </c>
      <c r="AQ101" s="465"/>
      <c r="AR101" s="465">
        <v>0</v>
      </c>
      <c r="AS101" s="470">
        <v>1.2</v>
      </c>
      <c r="AT101" s="516"/>
      <c r="AU101" s="516"/>
      <c r="AV101" s="516"/>
      <c r="AW101" s="516"/>
      <c r="AX101" s="516"/>
      <c r="AY101" s="516"/>
      <c r="AZ101" s="522"/>
      <c r="BA101" s="522"/>
      <c r="BB101" s="522"/>
      <c r="BC101" s="522"/>
      <c r="BD101" s="522"/>
      <c r="BE101" s="522"/>
      <c r="BF101" s="522"/>
      <c r="BG101" s="522"/>
    </row>
    <row r="102" spans="1:59" x14ac:dyDescent="0.25">
      <c r="A102" s="338">
        <v>5557</v>
      </c>
      <c r="B102" s="485" t="s">
        <v>39</v>
      </c>
      <c r="C102" s="390">
        <v>341351.41</v>
      </c>
      <c r="D102" s="390">
        <v>41149.370000000003</v>
      </c>
      <c r="E102" s="388"/>
      <c r="F102" s="390">
        <v>1040</v>
      </c>
      <c r="G102" s="390">
        <v>-10515.55</v>
      </c>
      <c r="H102" s="390">
        <v>92.1</v>
      </c>
      <c r="I102" s="390">
        <v>0</v>
      </c>
      <c r="J102" s="390">
        <v>229.55</v>
      </c>
      <c r="K102" s="390">
        <v>1136.45</v>
      </c>
      <c r="L102" s="390">
        <v>36690.800000000003</v>
      </c>
      <c r="M102" s="331">
        <f t="shared" si="3"/>
        <v>411174.12999999995</v>
      </c>
      <c r="N102" s="394">
        <v>0</v>
      </c>
      <c r="O102" s="394">
        <v>58410</v>
      </c>
      <c r="P102" s="394">
        <v>6329.6</v>
      </c>
      <c r="Q102" s="394">
        <v>3338.97</v>
      </c>
      <c r="R102" s="394">
        <v>170.15</v>
      </c>
      <c r="S102" s="394"/>
      <c r="T102" s="394"/>
      <c r="U102" s="394">
        <v>610</v>
      </c>
      <c r="V102" s="394"/>
      <c r="W102" s="394"/>
      <c r="X102" s="379">
        <v>-1250.26</v>
      </c>
      <c r="Y102" s="460">
        <f t="shared" si="4"/>
        <v>478782.58999999991</v>
      </c>
      <c r="Z102" s="395"/>
      <c r="AA102" s="395"/>
      <c r="AB102" s="395">
        <v>26200</v>
      </c>
      <c r="AC102" s="395"/>
      <c r="AD102" s="395">
        <v>14050.5</v>
      </c>
      <c r="AE102" s="395"/>
      <c r="AF102" s="395"/>
      <c r="AG102" s="395"/>
      <c r="AH102" s="395"/>
      <c r="AI102" s="395"/>
      <c r="AJ102" s="395"/>
      <c r="AK102" s="395"/>
      <c r="AL102" s="452"/>
      <c r="AM102" s="460">
        <f t="shared" si="5"/>
        <v>40250.5</v>
      </c>
      <c r="AN102" s="395">
        <v>69</v>
      </c>
      <c r="AO102" s="398">
        <v>219</v>
      </c>
      <c r="AP102" s="455">
        <v>-7520.21</v>
      </c>
      <c r="AQ102" s="465"/>
      <c r="AR102" s="465">
        <v>-0.03</v>
      </c>
      <c r="AS102" s="470">
        <v>1</v>
      </c>
      <c r="AT102" s="516"/>
      <c r="AU102" s="516"/>
      <c r="AV102" s="516"/>
      <c r="AW102" s="516"/>
      <c r="AX102" s="516"/>
      <c r="AY102" s="516"/>
      <c r="AZ102" s="522"/>
      <c r="BA102" s="522"/>
      <c r="BB102" s="522"/>
      <c r="BC102" s="522"/>
      <c r="BD102" s="522"/>
      <c r="BE102" s="522"/>
      <c r="BF102" s="522"/>
      <c r="BG102" s="522"/>
    </row>
    <row r="103" spans="1:59" x14ac:dyDescent="0.25">
      <c r="A103" s="338">
        <v>5559</v>
      </c>
      <c r="B103" s="485" t="s">
        <v>40</v>
      </c>
      <c r="C103" s="390">
        <v>881002.26</v>
      </c>
      <c r="D103" s="390">
        <v>257424.1</v>
      </c>
      <c r="E103" s="388"/>
      <c r="F103" s="390">
        <v>0</v>
      </c>
      <c r="G103" s="390">
        <v>-132533.9</v>
      </c>
      <c r="H103" s="390">
        <v>16530.650000000001</v>
      </c>
      <c r="I103" s="390">
        <v>0</v>
      </c>
      <c r="J103" s="390">
        <v>21462.39</v>
      </c>
      <c r="K103" s="390">
        <v>4011.5</v>
      </c>
      <c r="L103" s="390">
        <v>89093.1</v>
      </c>
      <c r="M103" s="331">
        <f t="shared" si="3"/>
        <v>1136990.1000000001</v>
      </c>
      <c r="N103" s="394">
        <v>15752.1</v>
      </c>
      <c r="O103" s="394">
        <v>1179.0999999999999</v>
      </c>
      <c r="P103" s="394">
        <v>60948.3</v>
      </c>
      <c r="Q103" s="394">
        <v>2580.88</v>
      </c>
      <c r="R103" s="394">
        <v>48456.75</v>
      </c>
      <c r="S103" s="394"/>
      <c r="T103" s="394">
        <v>115.3</v>
      </c>
      <c r="U103" s="394">
        <v>800</v>
      </c>
      <c r="V103" s="394"/>
      <c r="W103" s="394"/>
      <c r="X103" s="379">
        <v>-13914.23</v>
      </c>
      <c r="Y103" s="460">
        <f t="shared" si="4"/>
        <v>1252908.3000000003</v>
      </c>
      <c r="Z103" s="395">
        <v>746.2</v>
      </c>
      <c r="AA103" s="395"/>
      <c r="AB103" s="395">
        <v>75018.100000000006</v>
      </c>
      <c r="AC103" s="395"/>
      <c r="AD103" s="395">
        <v>26181.200000000001</v>
      </c>
      <c r="AE103" s="395">
        <v>11805</v>
      </c>
      <c r="AF103" s="395">
        <v>731.3</v>
      </c>
      <c r="AG103" s="395"/>
      <c r="AH103" s="395">
        <v>5949.2</v>
      </c>
      <c r="AI103" s="395">
        <v>8300</v>
      </c>
      <c r="AJ103" s="395"/>
      <c r="AK103" s="395"/>
      <c r="AL103" s="452"/>
      <c r="AM103" s="460">
        <f t="shared" si="5"/>
        <v>128731</v>
      </c>
      <c r="AN103" s="395">
        <v>66</v>
      </c>
      <c r="AO103" s="398">
        <v>414</v>
      </c>
      <c r="AP103" s="455">
        <v>-10216.77</v>
      </c>
      <c r="AQ103" s="465"/>
      <c r="AR103" s="465">
        <v>-197.15</v>
      </c>
      <c r="AS103" s="470">
        <v>1</v>
      </c>
      <c r="AT103" s="516"/>
      <c r="AU103" s="516"/>
      <c r="AV103" s="516"/>
      <c r="AW103" s="516"/>
      <c r="AX103" s="516"/>
      <c r="AY103" s="516"/>
      <c r="AZ103" s="522"/>
      <c r="BA103" s="522"/>
      <c r="BB103" s="522"/>
      <c r="BC103" s="522"/>
      <c r="BD103" s="522"/>
      <c r="BE103" s="522"/>
      <c r="BF103" s="522"/>
      <c r="BG103" s="522"/>
    </row>
    <row r="104" spans="1:59" x14ac:dyDescent="0.25">
      <c r="A104" s="338">
        <v>5560</v>
      </c>
      <c r="B104" s="485" t="s">
        <v>41</v>
      </c>
      <c r="C104" s="390">
        <v>328216.59000000003</v>
      </c>
      <c r="D104" s="390">
        <v>42596.61</v>
      </c>
      <c r="E104" s="388"/>
      <c r="F104" s="390">
        <v>0</v>
      </c>
      <c r="G104" s="390">
        <v>1000.8</v>
      </c>
      <c r="H104" s="390">
        <v>120.95</v>
      </c>
      <c r="I104" s="390">
        <v>0</v>
      </c>
      <c r="J104" s="390">
        <v>4056.5</v>
      </c>
      <c r="K104" s="390">
        <v>624.20000000000005</v>
      </c>
      <c r="L104" s="390">
        <v>42727.75</v>
      </c>
      <c r="M104" s="331">
        <f t="shared" si="3"/>
        <v>419343.4</v>
      </c>
      <c r="N104" s="394">
        <v>0</v>
      </c>
      <c r="O104" s="394">
        <v>0</v>
      </c>
      <c r="P104" s="394">
        <v>15838.9</v>
      </c>
      <c r="Q104" s="394">
        <v>0</v>
      </c>
      <c r="R104" s="394">
        <v>12286.6</v>
      </c>
      <c r="S104" s="394"/>
      <c r="T104" s="394"/>
      <c r="U104" s="394">
        <v>1475</v>
      </c>
      <c r="V104" s="394"/>
      <c r="W104" s="394"/>
      <c r="X104" s="379">
        <v>134.55000000000001</v>
      </c>
      <c r="Y104" s="460">
        <f t="shared" si="4"/>
        <v>449078.45</v>
      </c>
      <c r="Z104" s="395">
        <v>299</v>
      </c>
      <c r="AA104" s="395"/>
      <c r="AB104" s="395">
        <v>34384.5</v>
      </c>
      <c r="AC104" s="395"/>
      <c r="AD104" s="395">
        <v>13828.65</v>
      </c>
      <c r="AE104" s="395">
        <v>3570</v>
      </c>
      <c r="AF104" s="395"/>
      <c r="AG104" s="395"/>
      <c r="AH104" s="395">
        <v>1686.5</v>
      </c>
      <c r="AI104" s="395"/>
      <c r="AJ104" s="395"/>
      <c r="AK104" s="395"/>
      <c r="AL104" s="452"/>
      <c r="AM104" s="460">
        <f t="shared" si="5"/>
        <v>53768.65</v>
      </c>
      <c r="AN104" s="395">
        <v>68</v>
      </c>
      <c r="AO104" s="398">
        <v>226</v>
      </c>
      <c r="AP104" s="455">
        <v>-61.04</v>
      </c>
      <c r="AQ104" s="465"/>
      <c r="AR104" s="465">
        <v>0</v>
      </c>
      <c r="AS104" s="470">
        <v>1</v>
      </c>
      <c r="AT104" s="516"/>
      <c r="AU104" s="516"/>
      <c r="AV104" s="516"/>
      <c r="AW104" s="516"/>
      <c r="AX104" s="516"/>
      <c r="AY104" s="516"/>
      <c r="AZ104" s="522"/>
      <c r="BA104" s="522"/>
      <c r="BB104" s="522"/>
      <c r="BC104" s="522"/>
      <c r="BD104" s="522"/>
      <c r="BE104" s="522"/>
      <c r="BF104" s="522"/>
      <c r="BG104" s="522"/>
    </row>
    <row r="105" spans="1:59" x14ac:dyDescent="0.25">
      <c r="A105" s="338">
        <v>5561</v>
      </c>
      <c r="B105" s="485" t="s">
        <v>42</v>
      </c>
      <c r="C105" s="390">
        <v>6014263.3700000001</v>
      </c>
      <c r="D105" s="390">
        <v>1018397.71</v>
      </c>
      <c r="E105" s="388"/>
      <c r="F105" s="390">
        <v>0</v>
      </c>
      <c r="G105" s="390">
        <v>155758.65</v>
      </c>
      <c r="H105" s="390">
        <v>15841.35</v>
      </c>
      <c r="I105" s="390">
        <v>0</v>
      </c>
      <c r="J105" s="390">
        <v>98024.05</v>
      </c>
      <c r="K105" s="390">
        <v>39938</v>
      </c>
      <c r="L105" s="390">
        <v>625231.19999999995</v>
      </c>
      <c r="M105" s="331">
        <f t="shared" si="3"/>
        <v>7967454.3300000001</v>
      </c>
      <c r="N105" s="394">
        <v>401465.1</v>
      </c>
      <c r="O105" s="394">
        <v>33786.199999999997</v>
      </c>
      <c r="P105" s="394">
        <v>302638.40000000002</v>
      </c>
      <c r="Q105" s="394">
        <v>24183.27</v>
      </c>
      <c r="R105" s="394">
        <v>332812.2</v>
      </c>
      <c r="S105" s="394"/>
      <c r="T105" s="394">
        <v>5983.6</v>
      </c>
      <c r="U105" s="394">
        <v>11580</v>
      </c>
      <c r="V105" s="394"/>
      <c r="W105" s="394"/>
      <c r="X105" s="379">
        <v>20582.89</v>
      </c>
      <c r="Y105" s="460">
        <f t="shared" si="4"/>
        <v>9100485.9899999984</v>
      </c>
      <c r="Z105" s="395">
        <v>9209.85</v>
      </c>
      <c r="AA105" s="395"/>
      <c r="AB105" s="395">
        <v>695548.85</v>
      </c>
      <c r="AC105" s="395"/>
      <c r="AD105" s="395">
        <v>346672.6</v>
      </c>
      <c r="AE105" s="395">
        <v>503599.75</v>
      </c>
      <c r="AF105" s="395"/>
      <c r="AG105" s="395"/>
      <c r="AH105" s="395">
        <v>77151.75</v>
      </c>
      <c r="AI105" s="395">
        <v>99790.15</v>
      </c>
      <c r="AJ105" s="395"/>
      <c r="AK105" s="395"/>
      <c r="AL105" s="452"/>
      <c r="AM105" s="460">
        <f t="shared" si="5"/>
        <v>1731972.9499999997</v>
      </c>
      <c r="AN105" s="395">
        <v>69</v>
      </c>
      <c r="AO105" s="398">
        <v>3356</v>
      </c>
      <c r="AP105" s="455">
        <v>-92039.66</v>
      </c>
      <c r="AQ105" s="465"/>
      <c r="AR105" s="465">
        <v>-2215.56</v>
      </c>
      <c r="AS105" s="470">
        <v>1</v>
      </c>
      <c r="AT105" s="516"/>
      <c r="AU105" s="516"/>
      <c r="AV105" s="516"/>
      <c r="AW105" s="516"/>
      <c r="AX105" s="516"/>
      <c r="AY105" s="516"/>
      <c r="AZ105" s="522"/>
      <c r="BA105" s="522"/>
      <c r="BB105" s="522"/>
      <c r="BC105" s="522"/>
      <c r="BD105" s="522"/>
      <c r="BE105" s="522"/>
      <c r="BF105" s="522"/>
      <c r="BG105" s="522"/>
    </row>
    <row r="106" spans="1:59" x14ac:dyDescent="0.25">
      <c r="A106" s="338">
        <v>5562</v>
      </c>
      <c r="B106" s="485" t="s">
        <v>43</v>
      </c>
      <c r="C106" s="390">
        <v>204964.7</v>
      </c>
      <c r="D106" s="390">
        <v>182366.21</v>
      </c>
      <c r="E106" s="388"/>
      <c r="F106" s="390">
        <v>870</v>
      </c>
      <c r="G106" s="390">
        <v>2247.9</v>
      </c>
      <c r="H106" s="390">
        <v>34.35</v>
      </c>
      <c r="I106" s="390">
        <v>0</v>
      </c>
      <c r="J106" s="390">
        <v>6319.65</v>
      </c>
      <c r="K106" s="390">
        <v>1974.5</v>
      </c>
      <c r="L106" s="390">
        <v>36562.800000000003</v>
      </c>
      <c r="M106" s="331">
        <f t="shared" si="3"/>
        <v>435340.11000000004</v>
      </c>
      <c r="N106" s="394">
        <v>0</v>
      </c>
      <c r="O106" s="394">
        <v>7790.6</v>
      </c>
      <c r="P106" s="394">
        <v>5830</v>
      </c>
      <c r="Q106" s="394">
        <v>0</v>
      </c>
      <c r="R106" s="394">
        <v>11765.3</v>
      </c>
      <c r="S106" s="394"/>
      <c r="T106" s="394">
        <v>50</v>
      </c>
      <c r="U106" s="394">
        <v>400</v>
      </c>
      <c r="V106" s="394"/>
      <c r="W106" s="394"/>
      <c r="X106" s="379">
        <v>273.75</v>
      </c>
      <c r="Y106" s="460">
        <f t="shared" si="4"/>
        <v>461449.76</v>
      </c>
      <c r="Z106" s="395"/>
      <c r="AA106" s="395"/>
      <c r="AB106" s="395">
        <v>11016</v>
      </c>
      <c r="AC106" s="395"/>
      <c r="AD106" s="395">
        <v>14064.85</v>
      </c>
      <c r="AE106" s="395"/>
      <c r="AF106" s="395"/>
      <c r="AG106" s="395"/>
      <c r="AH106" s="395">
        <v>6711.4</v>
      </c>
      <c r="AI106" s="395"/>
      <c r="AJ106" s="395"/>
      <c r="AK106" s="395"/>
      <c r="AL106" s="452"/>
      <c r="AM106" s="460">
        <f t="shared" si="5"/>
        <v>31792.25</v>
      </c>
      <c r="AN106" s="395">
        <v>70</v>
      </c>
      <c r="AO106" s="398">
        <v>128</v>
      </c>
      <c r="AP106" s="455">
        <v>-6905.78</v>
      </c>
      <c r="AQ106" s="465"/>
      <c r="AR106" s="465">
        <v>-13.26</v>
      </c>
      <c r="AS106" s="470">
        <v>1.2</v>
      </c>
      <c r="AT106" s="516"/>
      <c r="AU106" s="516"/>
      <c r="AV106" s="516"/>
      <c r="AW106" s="516"/>
      <c r="AX106" s="516"/>
      <c r="AY106" s="516"/>
      <c r="AZ106" s="522"/>
      <c r="BA106" s="522"/>
      <c r="BB106" s="522"/>
      <c r="BC106" s="522"/>
      <c r="BD106" s="522"/>
      <c r="BE106" s="522"/>
      <c r="BF106" s="522"/>
      <c r="BG106" s="522"/>
    </row>
    <row r="107" spans="1:59" x14ac:dyDescent="0.25">
      <c r="A107" s="338">
        <v>5563</v>
      </c>
      <c r="B107" s="485" t="s">
        <v>284</v>
      </c>
      <c r="C107" s="390">
        <v>286534.48</v>
      </c>
      <c r="D107" s="390">
        <v>20985.02</v>
      </c>
      <c r="E107" s="388"/>
      <c r="F107" s="390">
        <v>546</v>
      </c>
      <c r="G107" s="390">
        <v>427.35</v>
      </c>
      <c r="H107" s="390">
        <v>27.55</v>
      </c>
      <c r="I107" s="390">
        <v>0</v>
      </c>
      <c r="J107" s="390">
        <v>0</v>
      </c>
      <c r="K107" s="390">
        <v>0</v>
      </c>
      <c r="L107" s="390">
        <v>21812.55</v>
      </c>
      <c r="M107" s="331">
        <f t="shared" si="3"/>
        <v>330332.94999999995</v>
      </c>
      <c r="N107" s="394">
        <v>0</v>
      </c>
      <c r="O107" s="394">
        <v>3229.2</v>
      </c>
      <c r="P107" s="394">
        <v>19949.599999999999</v>
      </c>
      <c r="Q107" s="394">
        <v>0</v>
      </c>
      <c r="R107" s="394">
        <v>449.15</v>
      </c>
      <c r="S107" s="394"/>
      <c r="T107" s="394"/>
      <c r="U107" s="394">
        <v>697.95</v>
      </c>
      <c r="V107" s="394"/>
      <c r="W107" s="394"/>
      <c r="X107" s="379">
        <v>54.56</v>
      </c>
      <c r="Y107" s="460">
        <f t="shared" si="4"/>
        <v>354713.41</v>
      </c>
      <c r="Z107" s="395"/>
      <c r="AA107" s="395"/>
      <c r="AB107" s="395">
        <v>31348.45</v>
      </c>
      <c r="AC107" s="395"/>
      <c r="AD107" s="395">
        <v>10437.5</v>
      </c>
      <c r="AE107" s="395"/>
      <c r="AF107" s="395"/>
      <c r="AG107" s="395"/>
      <c r="AH107" s="395"/>
      <c r="AI107" s="395"/>
      <c r="AJ107" s="395"/>
      <c r="AK107" s="395"/>
      <c r="AL107" s="452"/>
      <c r="AM107" s="460">
        <f t="shared" si="5"/>
        <v>41785.949999999997</v>
      </c>
      <c r="AN107" s="395">
        <v>80</v>
      </c>
      <c r="AO107" s="398">
        <v>149</v>
      </c>
      <c r="AP107" s="455">
        <v>-4499.96</v>
      </c>
      <c r="AQ107" s="465"/>
      <c r="AR107" s="465">
        <v>-0.95</v>
      </c>
      <c r="AS107" s="470">
        <v>1</v>
      </c>
      <c r="AT107" s="516"/>
      <c r="AU107" s="516"/>
      <c r="AV107" s="516"/>
      <c r="AW107" s="516"/>
      <c r="AX107" s="516"/>
      <c r="AY107" s="516"/>
      <c r="AZ107" s="522"/>
      <c r="BA107" s="522"/>
      <c r="BB107" s="522"/>
      <c r="BC107" s="522"/>
      <c r="BD107" s="522"/>
      <c r="BE107" s="522"/>
      <c r="BF107" s="522"/>
      <c r="BG107" s="522"/>
    </row>
    <row r="108" spans="1:59" x14ac:dyDescent="0.25">
      <c r="A108" s="338">
        <v>5564</v>
      </c>
      <c r="B108" s="485" t="s">
        <v>285</v>
      </c>
      <c r="C108" s="390">
        <v>132869.46</v>
      </c>
      <c r="D108" s="390">
        <v>12607.81</v>
      </c>
      <c r="E108" s="388"/>
      <c r="F108" s="390">
        <v>0</v>
      </c>
      <c r="G108" s="390">
        <v>-38.549999999999997</v>
      </c>
      <c r="H108" s="390">
        <v>23.75</v>
      </c>
      <c r="I108" s="390">
        <v>0</v>
      </c>
      <c r="J108" s="390">
        <v>0</v>
      </c>
      <c r="K108" s="390">
        <v>0</v>
      </c>
      <c r="L108" s="390">
        <v>10945.95</v>
      </c>
      <c r="M108" s="331">
        <f t="shared" si="3"/>
        <v>156408.42000000001</v>
      </c>
      <c r="N108" s="394">
        <v>0</v>
      </c>
      <c r="O108" s="394">
        <v>0</v>
      </c>
      <c r="P108" s="394">
        <v>13948</v>
      </c>
      <c r="Q108" s="394">
        <v>0</v>
      </c>
      <c r="R108" s="394">
        <v>12895.3</v>
      </c>
      <c r="S108" s="394"/>
      <c r="T108" s="394">
        <v>50</v>
      </c>
      <c r="U108" s="394">
        <v>260</v>
      </c>
      <c r="V108" s="394"/>
      <c r="W108" s="394"/>
      <c r="X108" s="379">
        <v>-1.78</v>
      </c>
      <c r="Y108" s="460">
        <f t="shared" si="4"/>
        <v>183559.94</v>
      </c>
      <c r="Z108" s="395"/>
      <c r="AA108" s="395"/>
      <c r="AB108" s="395">
        <v>21870.799999999999</v>
      </c>
      <c r="AC108" s="395"/>
      <c r="AD108" s="395">
        <v>7779.85</v>
      </c>
      <c r="AE108" s="395"/>
      <c r="AF108" s="395"/>
      <c r="AG108" s="395"/>
      <c r="AH108" s="395"/>
      <c r="AI108" s="395"/>
      <c r="AJ108" s="395"/>
      <c r="AK108" s="395"/>
      <c r="AL108" s="452"/>
      <c r="AM108" s="460">
        <f t="shared" si="5"/>
        <v>29650.65</v>
      </c>
      <c r="AN108" s="395">
        <v>76</v>
      </c>
      <c r="AO108" s="398">
        <v>99</v>
      </c>
      <c r="AP108" s="455">
        <v>-188.79</v>
      </c>
      <c r="AQ108" s="465"/>
      <c r="AR108" s="465">
        <v>0</v>
      </c>
      <c r="AS108" s="470">
        <v>0.8</v>
      </c>
      <c r="AT108" s="516"/>
      <c r="AU108" s="516"/>
      <c r="AV108" s="516"/>
      <c r="AW108" s="516"/>
      <c r="AX108" s="516"/>
      <c r="AY108" s="516"/>
      <c r="AZ108" s="522"/>
      <c r="BA108" s="522"/>
      <c r="BB108" s="522"/>
      <c r="BC108" s="522"/>
      <c r="BD108" s="522"/>
      <c r="BE108" s="522"/>
      <c r="BF108" s="522"/>
      <c r="BG108" s="522"/>
    </row>
    <row r="109" spans="1:59" x14ac:dyDescent="0.25">
      <c r="A109" s="338">
        <v>5565</v>
      </c>
      <c r="B109" s="485" t="s">
        <v>286</v>
      </c>
      <c r="C109" s="390">
        <v>769737.31</v>
      </c>
      <c r="D109" s="390">
        <v>95749.2</v>
      </c>
      <c r="E109" s="388"/>
      <c r="F109" s="390">
        <v>0</v>
      </c>
      <c r="G109" s="390">
        <v>62768.5</v>
      </c>
      <c r="H109" s="390">
        <v>157657.20000000001</v>
      </c>
      <c r="I109" s="390">
        <v>0</v>
      </c>
      <c r="J109" s="390">
        <v>7621.6</v>
      </c>
      <c r="K109" s="390">
        <v>26852.5</v>
      </c>
      <c r="L109" s="390">
        <v>129580.95</v>
      </c>
      <c r="M109" s="331">
        <f t="shared" si="3"/>
        <v>1249967.26</v>
      </c>
      <c r="N109" s="394">
        <v>40728.550000000003</v>
      </c>
      <c r="O109" s="394">
        <v>0</v>
      </c>
      <c r="P109" s="394">
        <v>23569.200000000001</v>
      </c>
      <c r="Q109" s="394">
        <v>1733.33</v>
      </c>
      <c r="R109" s="394">
        <v>17554.599999999999</v>
      </c>
      <c r="S109" s="394">
        <v>1247.0999999999999</v>
      </c>
      <c r="T109" s="394"/>
      <c r="U109" s="394">
        <v>2280</v>
      </c>
      <c r="V109" s="394"/>
      <c r="W109" s="394"/>
      <c r="X109" s="379">
        <v>26439.38</v>
      </c>
      <c r="Y109" s="460">
        <f t="shared" si="4"/>
        <v>1363519.4200000002</v>
      </c>
      <c r="Z109" s="395"/>
      <c r="AA109" s="395"/>
      <c r="AB109" s="395">
        <v>94577.7</v>
      </c>
      <c r="AC109" s="395"/>
      <c r="AD109" s="395">
        <v>27652.95</v>
      </c>
      <c r="AE109" s="395">
        <v>2750</v>
      </c>
      <c r="AF109" s="395"/>
      <c r="AG109" s="395"/>
      <c r="AH109" s="395">
        <v>5840.15</v>
      </c>
      <c r="AI109" s="395">
        <v>44581.35</v>
      </c>
      <c r="AJ109" s="395"/>
      <c r="AK109" s="395"/>
      <c r="AL109" s="452"/>
      <c r="AM109" s="460">
        <f t="shared" si="5"/>
        <v>175402.15</v>
      </c>
      <c r="AN109" s="395">
        <v>63.5</v>
      </c>
      <c r="AO109" s="398">
        <v>505</v>
      </c>
      <c r="AP109" s="455">
        <v>-27776.720000000001</v>
      </c>
      <c r="AQ109" s="465"/>
      <c r="AR109" s="465">
        <v>-11.29</v>
      </c>
      <c r="AS109" s="470">
        <v>1</v>
      </c>
      <c r="AT109" s="516"/>
      <c r="AU109" s="516"/>
      <c r="AV109" s="516"/>
      <c r="AW109" s="516"/>
      <c r="AX109" s="516"/>
      <c r="AY109" s="516"/>
      <c r="AZ109" s="522"/>
      <c r="BA109" s="522"/>
      <c r="BB109" s="522"/>
      <c r="BC109" s="522"/>
      <c r="BD109" s="522"/>
      <c r="BE109" s="522"/>
      <c r="BF109" s="522"/>
      <c r="BG109" s="522"/>
    </row>
    <row r="110" spans="1:59" x14ac:dyDescent="0.25">
      <c r="A110" s="338">
        <v>5566</v>
      </c>
      <c r="B110" s="485" t="s">
        <v>287</v>
      </c>
      <c r="C110" s="390">
        <v>479374.21</v>
      </c>
      <c r="D110" s="390">
        <v>71057.25</v>
      </c>
      <c r="E110" s="388"/>
      <c r="F110" s="390">
        <v>2560</v>
      </c>
      <c r="G110" s="390">
        <v>19094.900000000001</v>
      </c>
      <c r="H110" s="390">
        <v>4592.3500000000004</v>
      </c>
      <c r="I110" s="390">
        <v>0</v>
      </c>
      <c r="J110" s="390">
        <v>-2241.41</v>
      </c>
      <c r="K110" s="390">
        <v>2992.35</v>
      </c>
      <c r="L110" s="390">
        <v>77257.7</v>
      </c>
      <c r="M110" s="331">
        <f t="shared" si="3"/>
        <v>654687.34999999986</v>
      </c>
      <c r="N110" s="394">
        <v>28034.799999999999</v>
      </c>
      <c r="O110" s="394">
        <v>89681.5</v>
      </c>
      <c r="P110" s="394">
        <v>39065.35</v>
      </c>
      <c r="Q110" s="394">
        <v>695.42</v>
      </c>
      <c r="R110" s="394">
        <v>9511.7999999999993</v>
      </c>
      <c r="S110" s="394"/>
      <c r="T110" s="394">
        <v>897.25</v>
      </c>
      <c r="U110" s="394">
        <v>1440</v>
      </c>
      <c r="V110" s="394"/>
      <c r="W110" s="394"/>
      <c r="X110" s="379">
        <v>2841.21</v>
      </c>
      <c r="Y110" s="460">
        <f t="shared" si="4"/>
        <v>826854.67999999993</v>
      </c>
      <c r="Z110" s="395"/>
      <c r="AA110" s="395"/>
      <c r="AB110" s="395">
        <v>29966</v>
      </c>
      <c r="AC110" s="395"/>
      <c r="AD110" s="395">
        <v>37376.9</v>
      </c>
      <c r="AE110" s="395"/>
      <c r="AF110" s="395"/>
      <c r="AG110" s="395"/>
      <c r="AH110" s="395"/>
      <c r="AI110" s="395"/>
      <c r="AJ110" s="395"/>
      <c r="AK110" s="395"/>
      <c r="AL110" s="452"/>
      <c r="AM110" s="460">
        <f t="shared" si="5"/>
        <v>67342.899999999994</v>
      </c>
      <c r="AN110" s="395">
        <v>81</v>
      </c>
      <c r="AO110" s="398">
        <v>392</v>
      </c>
      <c r="AP110" s="455">
        <v>-16973.87</v>
      </c>
      <c r="AQ110" s="465"/>
      <c r="AR110" s="465">
        <v>0</v>
      </c>
      <c r="AS110" s="470">
        <v>1.5</v>
      </c>
      <c r="AT110" s="516"/>
      <c r="AU110" s="516"/>
      <c r="AV110" s="516"/>
      <c r="AW110" s="516"/>
      <c r="AX110" s="516"/>
      <c r="AY110" s="516"/>
      <c r="AZ110" s="522"/>
      <c r="BA110" s="522"/>
      <c r="BB110" s="522"/>
      <c r="BC110" s="522"/>
      <c r="BD110" s="522"/>
      <c r="BE110" s="522"/>
      <c r="BF110" s="522"/>
      <c r="BG110" s="522"/>
    </row>
    <row r="111" spans="1:59" x14ac:dyDescent="0.25">
      <c r="A111" s="338">
        <v>5568</v>
      </c>
      <c r="B111" s="485" t="s">
        <v>119</v>
      </c>
      <c r="C111" s="390">
        <v>5579599.8300000001</v>
      </c>
      <c r="D111" s="390">
        <v>861719.05</v>
      </c>
      <c r="E111" s="388"/>
      <c r="F111" s="390">
        <v>0</v>
      </c>
      <c r="G111" s="390">
        <v>271059.3</v>
      </c>
      <c r="H111" s="390">
        <v>73231.8</v>
      </c>
      <c r="I111" s="390">
        <v>34735.050000000003</v>
      </c>
      <c r="J111" s="390">
        <v>124726.16</v>
      </c>
      <c r="K111" s="390">
        <v>42009.7</v>
      </c>
      <c r="L111" s="390">
        <v>638478.94999999995</v>
      </c>
      <c r="M111" s="331">
        <f t="shared" si="3"/>
        <v>7625559.8399999999</v>
      </c>
      <c r="N111" s="394">
        <v>1941083.25</v>
      </c>
      <c r="O111" s="394">
        <v>397671.2</v>
      </c>
      <c r="P111" s="394">
        <v>272858.75</v>
      </c>
      <c r="Q111" s="394">
        <v>73754.06</v>
      </c>
      <c r="R111" s="394">
        <v>275736.40000000002</v>
      </c>
      <c r="S111" s="394"/>
      <c r="T111" s="394"/>
      <c r="U111" s="394">
        <v>0</v>
      </c>
      <c r="V111" s="394"/>
      <c r="W111" s="394"/>
      <c r="X111" s="379">
        <v>41296.639999999999</v>
      </c>
      <c r="Y111" s="460">
        <f t="shared" si="4"/>
        <v>10627960.140000001</v>
      </c>
      <c r="Z111" s="395">
        <v>36687.800000000003</v>
      </c>
      <c r="AA111" s="395"/>
      <c r="AB111" s="395">
        <v>1275479.75</v>
      </c>
      <c r="AC111" s="395"/>
      <c r="AD111" s="395">
        <v>934308.01</v>
      </c>
      <c r="AE111" s="395">
        <v>69373.45</v>
      </c>
      <c r="AF111" s="395"/>
      <c r="AG111" s="395"/>
      <c r="AH111" s="395">
        <v>65938.070000000007</v>
      </c>
      <c r="AI111" s="395"/>
      <c r="AJ111" s="395"/>
      <c r="AK111" s="395">
        <v>145705.54999999999</v>
      </c>
      <c r="AL111" s="452"/>
      <c r="AM111" s="460">
        <f t="shared" si="5"/>
        <v>2527492.63</v>
      </c>
      <c r="AN111" s="395">
        <v>70</v>
      </c>
      <c r="AO111" s="398">
        <v>4917</v>
      </c>
      <c r="AP111" s="455">
        <v>-276995.33</v>
      </c>
      <c r="AQ111" s="465"/>
      <c r="AR111" s="465">
        <v>-7531.87</v>
      </c>
      <c r="AS111" s="470">
        <v>1</v>
      </c>
      <c r="AT111" s="516"/>
      <c r="AU111" s="516"/>
      <c r="AV111" s="516"/>
      <c r="AW111" s="516"/>
      <c r="AX111" s="516"/>
      <c r="AY111" s="516"/>
      <c r="AZ111" s="522"/>
      <c r="BA111" s="522"/>
      <c r="BB111" s="522"/>
      <c r="BC111" s="522"/>
      <c r="BD111" s="522"/>
      <c r="BE111" s="522"/>
      <c r="BF111" s="522"/>
      <c r="BG111" s="522"/>
    </row>
    <row r="112" spans="1:59" x14ac:dyDescent="0.25">
      <c r="A112" s="338">
        <v>5571</v>
      </c>
      <c r="B112" s="485" t="s">
        <v>427</v>
      </c>
      <c r="C112" s="390">
        <v>1209284.0900000001</v>
      </c>
      <c r="D112" s="390">
        <v>140747.29999999999</v>
      </c>
      <c r="E112" s="388"/>
      <c r="F112" s="390">
        <v>0</v>
      </c>
      <c r="G112" s="390">
        <v>14503.55</v>
      </c>
      <c r="H112" s="390">
        <v>191.8</v>
      </c>
      <c r="I112" s="390">
        <v>0</v>
      </c>
      <c r="J112" s="390">
        <v>12529.03</v>
      </c>
      <c r="K112" s="390">
        <v>8767.2000000000007</v>
      </c>
      <c r="L112" s="390">
        <v>199766.6</v>
      </c>
      <c r="M112" s="331">
        <f t="shared" si="3"/>
        <v>1585789.5700000003</v>
      </c>
      <c r="N112" s="394">
        <v>43934.400000000001</v>
      </c>
      <c r="O112" s="394">
        <v>21402.799999999999</v>
      </c>
      <c r="P112" s="394">
        <v>70205.5</v>
      </c>
      <c r="Q112" s="394">
        <v>-21.02</v>
      </c>
      <c r="R112" s="394">
        <v>32604.15</v>
      </c>
      <c r="S112" s="394">
        <v>320.45</v>
      </c>
      <c r="T112" s="394"/>
      <c r="U112" s="394">
        <v>7400</v>
      </c>
      <c r="V112" s="394"/>
      <c r="W112" s="394"/>
      <c r="X112" s="379">
        <v>1762.66</v>
      </c>
      <c r="Y112" s="460">
        <f t="shared" si="4"/>
        <v>1763398.51</v>
      </c>
      <c r="Z112" s="395">
        <v>440</v>
      </c>
      <c r="AA112" s="395"/>
      <c r="AB112" s="395">
        <v>190705.8</v>
      </c>
      <c r="AC112" s="395"/>
      <c r="AD112" s="395">
        <v>65289.35</v>
      </c>
      <c r="AE112" s="395">
        <v>1100</v>
      </c>
      <c r="AF112" s="395"/>
      <c r="AG112" s="395"/>
      <c r="AH112" s="395">
        <v>12630.5</v>
      </c>
      <c r="AI112" s="395">
        <v>25151.65</v>
      </c>
      <c r="AJ112" s="395"/>
      <c r="AK112" s="395"/>
      <c r="AL112" s="452"/>
      <c r="AM112" s="460">
        <f t="shared" si="5"/>
        <v>295317.30000000005</v>
      </c>
      <c r="AN112" s="395">
        <v>71.5</v>
      </c>
      <c r="AO112" s="398">
        <v>894</v>
      </c>
      <c r="AP112" s="455">
        <v>-25560.43</v>
      </c>
      <c r="AQ112" s="465"/>
      <c r="AR112" s="465">
        <v>-0.11</v>
      </c>
      <c r="AS112" s="470">
        <v>1.2</v>
      </c>
      <c r="AT112" s="516"/>
      <c r="AU112" s="516"/>
      <c r="AV112" s="516"/>
      <c r="AW112" s="516"/>
      <c r="AX112" s="516"/>
      <c r="AY112" s="516"/>
      <c r="AZ112" s="522"/>
      <c r="BA112" s="522"/>
      <c r="BB112" s="522"/>
      <c r="BC112" s="522"/>
      <c r="BD112" s="522"/>
      <c r="BE112" s="522"/>
      <c r="BF112" s="522"/>
      <c r="BG112" s="522"/>
    </row>
    <row r="113" spans="1:59" x14ac:dyDescent="0.25">
      <c r="A113" s="338">
        <v>5581</v>
      </c>
      <c r="B113" s="485" t="s">
        <v>387</v>
      </c>
      <c r="C113" s="390">
        <v>12060090.109999999</v>
      </c>
      <c r="D113" s="390">
        <v>1890860.16</v>
      </c>
      <c r="E113" s="388"/>
      <c r="F113" s="390">
        <v>0</v>
      </c>
      <c r="G113" s="390">
        <v>139260.54999999999</v>
      </c>
      <c r="H113" s="390">
        <v>14484.9</v>
      </c>
      <c r="I113" s="390">
        <v>131942.20000000001</v>
      </c>
      <c r="J113" s="390">
        <v>188125.99</v>
      </c>
      <c r="K113" s="390">
        <v>46451.95</v>
      </c>
      <c r="L113" s="390">
        <v>1404786.75</v>
      </c>
      <c r="M113" s="331">
        <f t="shared" si="3"/>
        <v>15876002.609999999</v>
      </c>
      <c r="N113" s="394">
        <v>6504.65</v>
      </c>
      <c r="O113" s="394">
        <v>403696.7</v>
      </c>
      <c r="P113" s="394">
        <v>817770.75</v>
      </c>
      <c r="Q113" s="394">
        <v>2457.84</v>
      </c>
      <c r="R113" s="394">
        <v>404928.55</v>
      </c>
      <c r="S113" s="394"/>
      <c r="T113" s="394"/>
      <c r="U113" s="394">
        <v>22000</v>
      </c>
      <c r="V113" s="394"/>
      <c r="W113" s="394"/>
      <c r="X113" s="379">
        <v>18441.29</v>
      </c>
      <c r="Y113" s="460">
        <f t="shared" si="4"/>
        <v>17551802.390000001</v>
      </c>
      <c r="Z113" s="395">
        <v>78285.62</v>
      </c>
      <c r="AA113" s="395"/>
      <c r="AB113" s="395">
        <v>587451.29</v>
      </c>
      <c r="AC113" s="395"/>
      <c r="AD113" s="395">
        <v>602654.52</v>
      </c>
      <c r="AE113" s="395">
        <v>27013.919999999998</v>
      </c>
      <c r="AF113" s="395"/>
      <c r="AG113" s="395"/>
      <c r="AH113" s="395">
        <v>10031.799999999999</v>
      </c>
      <c r="AI113" s="395"/>
      <c r="AJ113" s="395">
        <v>83160.58</v>
      </c>
      <c r="AK113" s="395">
        <v>24044.82</v>
      </c>
      <c r="AL113" s="452"/>
      <c r="AM113" s="460">
        <f t="shared" si="5"/>
        <v>1412642.5500000003</v>
      </c>
      <c r="AN113" s="395">
        <v>72</v>
      </c>
      <c r="AO113" s="398">
        <v>3756</v>
      </c>
      <c r="AP113" s="455">
        <v>-119092.76</v>
      </c>
      <c r="AQ113" s="465"/>
      <c r="AR113" s="465">
        <v>-13459.88</v>
      </c>
      <c r="AS113" s="470">
        <v>1.5</v>
      </c>
      <c r="AT113" s="516"/>
      <c r="AU113" s="516"/>
      <c r="AV113" s="516"/>
      <c r="AW113" s="516"/>
      <c r="AX113" s="516"/>
      <c r="AY113" s="516"/>
      <c r="AZ113" s="522"/>
      <c r="BA113" s="522"/>
      <c r="BB113" s="522"/>
      <c r="BC113" s="522"/>
      <c r="BD113" s="522"/>
      <c r="BE113" s="522"/>
      <c r="BF113" s="522"/>
      <c r="BG113" s="522"/>
    </row>
    <row r="114" spans="1:59" x14ac:dyDescent="0.25">
      <c r="A114" s="338">
        <v>5582</v>
      </c>
      <c r="B114" s="485" t="s">
        <v>388</v>
      </c>
      <c r="C114" s="390">
        <v>9121701.8399999999</v>
      </c>
      <c r="D114" s="390">
        <v>1065704.1100000001</v>
      </c>
      <c r="E114" s="388"/>
      <c r="F114" s="390">
        <v>0</v>
      </c>
      <c r="G114" s="390">
        <v>230560.75</v>
      </c>
      <c r="H114" s="390">
        <v>165497.95000000001</v>
      </c>
      <c r="I114" s="390">
        <v>69493.399999999994</v>
      </c>
      <c r="J114" s="390">
        <v>325747.37</v>
      </c>
      <c r="K114" s="390">
        <v>81995.5</v>
      </c>
      <c r="L114" s="390">
        <v>921147.6</v>
      </c>
      <c r="M114" s="331">
        <f t="shared" si="3"/>
        <v>11981848.519999998</v>
      </c>
      <c r="N114" s="394">
        <v>472098.15</v>
      </c>
      <c r="O114" s="394">
        <v>121067</v>
      </c>
      <c r="P114" s="394">
        <v>279093.84999999998</v>
      </c>
      <c r="Q114" s="394">
        <v>39706.730000000003</v>
      </c>
      <c r="R114" s="394">
        <v>197899.8</v>
      </c>
      <c r="S114" s="394"/>
      <c r="T114" s="394"/>
      <c r="U114" s="394">
        <v>20950</v>
      </c>
      <c r="V114" s="394"/>
      <c r="W114" s="394"/>
      <c r="X114" s="379">
        <v>47506.01</v>
      </c>
      <c r="Y114" s="460">
        <f t="shared" si="4"/>
        <v>13160170.059999999</v>
      </c>
      <c r="Z114" s="395"/>
      <c r="AA114" s="395"/>
      <c r="AB114" s="395">
        <v>698079.6</v>
      </c>
      <c r="AC114" s="395"/>
      <c r="AD114" s="395">
        <v>497569.6</v>
      </c>
      <c r="AE114" s="395"/>
      <c r="AF114" s="395"/>
      <c r="AG114" s="395"/>
      <c r="AH114" s="395"/>
      <c r="AI114" s="395">
        <v>169662.2</v>
      </c>
      <c r="AJ114" s="395"/>
      <c r="AK114" s="395"/>
      <c r="AL114" s="452">
        <v>60615.05</v>
      </c>
      <c r="AM114" s="460">
        <f t="shared" si="5"/>
        <v>1425926.45</v>
      </c>
      <c r="AN114" s="395">
        <v>73</v>
      </c>
      <c r="AO114" s="398">
        <v>4367</v>
      </c>
      <c r="AP114" s="455">
        <v>-110947.42</v>
      </c>
      <c r="AQ114" s="465"/>
      <c r="AR114" s="465">
        <v>-2152.39</v>
      </c>
      <c r="AS114" s="470">
        <v>1</v>
      </c>
      <c r="AT114" s="516"/>
      <c r="AU114" s="516"/>
      <c r="AV114" s="516"/>
      <c r="AW114" s="516"/>
      <c r="AX114" s="516"/>
      <c r="AY114" s="516"/>
      <c r="AZ114" s="522"/>
      <c r="BA114" s="522"/>
      <c r="BB114" s="522"/>
      <c r="BC114" s="522"/>
      <c r="BD114" s="522"/>
      <c r="BE114" s="522"/>
      <c r="BF114" s="522"/>
      <c r="BG114" s="522"/>
    </row>
    <row r="115" spans="1:59" x14ac:dyDescent="0.25">
      <c r="A115" s="338">
        <v>5583</v>
      </c>
      <c r="B115" s="485" t="s">
        <v>389</v>
      </c>
      <c r="C115" s="390">
        <v>12547638.689999999</v>
      </c>
      <c r="D115" s="390">
        <v>1846426.18</v>
      </c>
      <c r="E115" s="388"/>
      <c r="F115" s="390">
        <v>0</v>
      </c>
      <c r="G115" s="390">
        <v>4564226.3</v>
      </c>
      <c r="H115" s="390">
        <v>250947.65</v>
      </c>
      <c r="I115" s="390">
        <v>0</v>
      </c>
      <c r="J115" s="390">
        <v>1042296.27</v>
      </c>
      <c r="K115" s="390">
        <v>354891.75</v>
      </c>
      <c r="L115" s="390">
        <v>2476289.65</v>
      </c>
      <c r="M115" s="331">
        <f t="shared" si="3"/>
        <v>23082716.489999995</v>
      </c>
      <c r="N115" s="394">
        <v>2295455.25</v>
      </c>
      <c r="O115" s="394">
        <v>134944.04999999999</v>
      </c>
      <c r="P115" s="394">
        <v>967869.6</v>
      </c>
      <c r="Q115" s="394">
        <v>49453.58</v>
      </c>
      <c r="R115" s="394">
        <v>407895.5</v>
      </c>
      <c r="S115" s="394"/>
      <c r="T115" s="394"/>
      <c r="U115" s="394">
        <v>60075</v>
      </c>
      <c r="V115" s="394"/>
      <c r="W115" s="394">
        <v>142836.45000000001</v>
      </c>
      <c r="X115" s="379">
        <v>577565.11</v>
      </c>
      <c r="Y115" s="460">
        <f t="shared" si="4"/>
        <v>27718811.029999994</v>
      </c>
      <c r="Z115" s="395"/>
      <c r="AA115" s="395"/>
      <c r="AB115" s="395">
        <v>1541445.7</v>
      </c>
      <c r="AC115" s="395"/>
      <c r="AD115" s="395">
        <v>1021669.75</v>
      </c>
      <c r="AE115" s="395">
        <v>7112.8</v>
      </c>
      <c r="AF115" s="395">
        <v>16390</v>
      </c>
      <c r="AG115" s="395">
        <v>600</v>
      </c>
      <c r="AH115" s="395">
        <v>180420.4</v>
      </c>
      <c r="AI115" s="395">
        <v>574793.05000000005</v>
      </c>
      <c r="AJ115" s="395"/>
      <c r="AK115" s="395">
        <v>82313.399999999994</v>
      </c>
      <c r="AL115" s="452"/>
      <c r="AM115" s="460">
        <f t="shared" si="5"/>
        <v>3424745.1</v>
      </c>
      <c r="AN115" s="395">
        <v>63.5</v>
      </c>
      <c r="AO115" s="398">
        <v>8700</v>
      </c>
      <c r="AP115" s="455">
        <v>-331383.8</v>
      </c>
      <c r="AQ115" s="465"/>
      <c r="AR115" s="465">
        <v>-4299.21</v>
      </c>
      <c r="AS115" s="470">
        <v>1</v>
      </c>
      <c r="AT115" s="516"/>
      <c r="AU115" s="516"/>
      <c r="AV115" s="516"/>
      <c r="AW115" s="516"/>
      <c r="AX115" s="516"/>
      <c r="AY115" s="516"/>
      <c r="AZ115" s="522"/>
      <c r="BA115" s="522"/>
      <c r="BB115" s="522"/>
      <c r="BC115" s="522"/>
      <c r="BD115" s="522"/>
      <c r="BE115" s="522"/>
      <c r="BF115" s="522"/>
      <c r="BG115" s="522"/>
    </row>
    <row r="116" spans="1:59" x14ac:dyDescent="0.25">
      <c r="A116" s="338">
        <v>5584</v>
      </c>
      <c r="B116" s="485" t="s">
        <v>390</v>
      </c>
      <c r="C116" s="390">
        <v>23013193.100000001</v>
      </c>
      <c r="D116" s="390">
        <v>4159910.18</v>
      </c>
      <c r="E116" s="388"/>
      <c r="F116" s="390">
        <v>0</v>
      </c>
      <c r="G116" s="390">
        <v>504337.95</v>
      </c>
      <c r="H116" s="390">
        <v>345897.95</v>
      </c>
      <c r="I116" s="390">
        <v>285041.2</v>
      </c>
      <c r="J116" s="390">
        <v>398882.56</v>
      </c>
      <c r="K116" s="390">
        <v>272356.65000000002</v>
      </c>
      <c r="L116" s="390">
        <v>2300043.75</v>
      </c>
      <c r="M116" s="331">
        <f t="shared" si="3"/>
        <v>31279663.339999996</v>
      </c>
      <c r="N116" s="394">
        <v>308569.90000000002</v>
      </c>
      <c r="O116" s="394">
        <v>801108.5</v>
      </c>
      <c r="P116" s="394">
        <v>1422716.85</v>
      </c>
      <c r="Q116" s="394">
        <v>93414.96</v>
      </c>
      <c r="R116" s="394">
        <v>1316494.45</v>
      </c>
      <c r="S116" s="394">
        <v>33121.9</v>
      </c>
      <c r="T116" s="394"/>
      <c r="U116" s="394">
        <v>36800</v>
      </c>
      <c r="V116" s="394"/>
      <c r="W116" s="394"/>
      <c r="X116" s="379">
        <v>101983.15</v>
      </c>
      <c r="Y116" s="460">
        <f t="shared" si="4"/>
        <v>35393873.049999997</v>
      </c>
      <c r="Z116" s="395">
        <v>749718.38</v>
      </c>
      <c r="AA116" s="395"/>
      <c r="AB116" s="395">
        <v>1525364.39</v>
      </c>
      <c r="AC116" s="395"/>
      <c r="AD116" s="395">
        <v>694557.59</v>
      </c>
      <c r="AE116" s="395"/>
      <c r="AF116" s="395"/>
      <c r="AG116" s="395"/>
      <c r="AH116" s="395"/>
      <c r="AI116" s="395">
        <v>240000</v>
      </c>
      <c r="AJ116" s="395"/>
      <c r="AK116" s="395"/>
      <c r="AL116" s="452"/>
      <c r="AM116" s="460">
        <f t="shared" si="5"/>
        <v>3209640.36</v>
      </c>
      <c r="AN116" s="395">
        <v>64.5</v>
      </c>
      <c r="AO116" s="398">
        <v>9755</v>
      </c>
      <c r="AP116" s="455">
        <v>-297070.43</v>
      </c>
      <c r="AQ116" s="465"/>
      <c r="AR116" s="465">
        <v>-81514.34</v>
      </c>
      <c r="AS116" s="470">
        <v>1</v>
      </c>
      <c r="AT116" s="516"/>
      <c r="AU116" s="516"/>
      <c r="AV116" s="516"/>
      <c r="AW116" s="516"/>
      <c r="AX116" s="516"/>
      <c r="AY116" s="516"/>
      <c r="AZ116" s="522"/>
      <c r="BA116" s="522"/>
      <c r="BB116" s="522"/>
      <c r="BC116" s="522"/>
      <c r="BD116" s="522"/>
      <c r="BE116" s="522"/>
      <c r="BF116" s="522"/>
      <c r="BG116" s="522"/>
    </row>
    <row r="117" spans="1:59" x14ac:dyDescent="0.25">
      <c r="A117" s="338">
        <v>5585</v>
      </c>
      <c r="B117" s="485" t="s">
        <v>391</v>
      </c>
      <c r="C117" s="390">
        <v>7349240.29</v>
      </c>
      <c r="D117" s="390">
        <v>3606876.94</v>
      </c>
      <c r="E117" s="388"/>
      <c r="F117" s="390">
        <v>0</v>
      </c>
      <c r="G117" s="390">
        <v>80921.2</v>
      </c>
      <c r="H117" s="390">
        <v>3264.05</v>
      </c>
      <c r="I117" s="390">
        <v>296758.96000000002</v>
      </c>
      <c r="J117" s="390">
        <v>48157.27</v>
      </c>
      <c r="K117" s="390">
        <v>8097.1</v>
      </c>
      <c r="L117" s="390">
        <v>569301.85</v>
      </c>
      <c r="M117" s="331">
        <f t="shared" si="3"/>
        <v>11962617.66</v>
      </c>
      <c r="N117" s="394">
        <v>1302.3</v>
      </c>
      <c r="O117" s="394">
        <v>435141.9</v>
      </c>
      <c r="P117" s="394">
        <v>291775.95</v>
      </c>
      <c r="Q117" s="394">
        <v>0</v>
      </c>
      <c r="R117" s="394">
        <v>369624.65</v>
      </c>
      <c r="S117" s="394"/>
      <c r="T117" s="394"/>
      <c r="U117" s="394">
        <v>6960</v>
      </c>
      <c r="V117" s="394"/>
      <c r="W117" s="394"/>
      <c r="X117" s="379">
        <v>10097.76</v>
      </c>
      <c r="Y117" s="460">
        <f t="shared" si="4"/>
        <v>13077520.220000001</v>
      </c>
      <c r="Z117" s="395">
        <v>61731</v>
      </c>
      <c r="AA117" s="395"/>
      <c r="AB117" s="395">
        <v>448818</v>
      </c>
      <c r="AC117" s="395"/>
      <c r="AD117" s="395">
        <v>103762.92</v>
      </c>
      <c r="AE117" s="395"/>
      <c r="AF117" s="395"/>
      <c r="AG117" s="395"/>
      <c r="AH117" s="395"/>
      <c r="AI117" s="395"/>
      <c r="AJ117" s="395"/>
      <c r="AK117" s="395"/>
      <c r="AL117" s="452"/>
      <c r="AM117" s="460">
        <f t="shared" si="5"/>
        <v>614311.92000000004</v>
      </c>
      <c r="AN117" s="395">
        <v>59</v>
      </c>
      <c r="AO117" s="398">
        <v>1411</v>
      </c>
      <c r="AP117" s="455">
        <v>-10146.69</v>
      </c>
      <c r="AQ117" s="465"/>
      <c r="AR117" s="465">
        <v>-15778.42</v>
      </c>
      <c r="AS117" s="470">
        <v>1</v>
      </c>
      <c r="AT117" s="516"/>
      <c r="AU117" s="516"/>
      <c r="AV117" s="516"/>
      <c r="AW117" s="516"/>
      <c r="AX117" s="516"/>
      <c r="AY117" s="516"/>
      <c r="AZ117" s="522"/>
      <c r="BA117" s="522"/>
      <c r="BB117" s="522"/>
      <c r="BC117" s="522"/>
      <c r="BD117" s="522"/>
      <c r="BE117" s="522"/>
      <c r="BF117" s="522"/>
      <c r="BG117" s="522"/>
    </row>
    <row r="118" spans="1:59" x14ac:dyDescent="0.25">
      <c r="A118" s="338">
        <v>5586</v>
      </c>
      <c r="B118" s="485" t="s">
        <v>120</v>
      </c>
      <c r="C118" s="390">
        <v>302465903.94</v>
      </c>
      <c r="D118" s="390">
        <v>39572236.310000002</v>
      </c>
      <c r="E118" s="388"/>
      <c r="F118" s="390">
        <v>0</v>
      </c>
      <c r="G118" s="390">
        <v>74432498.200000003</v>
      </c>
      <c r="H118" s="390">
        <v>6762092.75</v>
      </c>
      <c r="I118" s="390">
        <v>5562328.7800000003</v>
      </c>
      <c r="J118" s="390">
        <v>24474697.559999999</v>
      </c>
      <c r="K118" s="390">
        <v>6699861.25</v>
      </c>
      <c r="L118" s="390">
        <v>42927610.149999999</v>
      </c>
      <c r="M118" s="331">
        <f t="shared" si="3"/>
        <v>502897228.93999994</v>
      </c>
      <c r="N118" s="394">
        <v>13812872.5</v>
      </c>
      <c r="O118" s="394">
        <v>12289230.4</v>
      </c>
      <c r="P118" s="394">
        <v>11894547.550000001</v>
      </c>
      <c r="Q118" s="394">
        <v>1648272.55</v>
      </c>
      <c r="R118" s="394">
        <v>12773118.1</v>
      </c>
      <c r="S118" s="394"/>
      <c r="T118" s="394"/>
      <c r="U118" s="394">
        <v>389200</v>
      </c>
      <c r="V118" s="394">
        <v>2224265.5499999998</v>
      </c>
      <c r="W118" s="394"/>
      <c r="X118" s="379">
        <v>9739038.2200000007</v>
      </c>
      <c r="Y118" s="460">
        <f t="shared" si="4"/>
        <v>567667773.80999982</v>
      </c>
      <c r="Z118" s="395">
        <v>7585057.5899999999</v>
      </c>
      <c r="AA118" s="395"/>
      <c r="AB118" s="395">
        <v>15538877.27</v>
      </c>
      <c r="AC118" s="395"/>
      <c r="AD118" s="395">
        <v>20398634.539999999</v>
      </c>
      <c r="AE118" s="395">
        <v>5564314.5</v>
      </c>
      <c r="AF118" s="395"/>
      <c r="AG118" s="395"/>
      <c r="AH118" s="395">
        <v>2300080.15</v>
      </c>
      <c r="AI118" s="395">
        <v>7193242.5199999996</v>
      </c>
      <c r="AJ118" s="395">
        <v>5784363.1799999997</v>
      </c>
      <c r="AK118" s="395">
        <v>6659857.5199999996</v>
      </c>
      <c r="AL118" s="452">
        <v>6660190.8099999996</v>
      </c>
      <c r="AM118" s="460">
        <f t="shared" si="5"/>
        <v>77684618.079999998</v>
      </c>
      <c r="AN118" s="395">
        <v>78.5</v>
      </c>
      <c r="AO118" s="398">
        <v>140430</v>
      </c>
      <c r="AP118" s="455">
        <v>-6854187.4400000004</v>
      </c>
      <c r="AQ118" s="465"/>
      <c r="AR118" s="465">
        <v>-740552.9</v>
      </c>
      <c r="AS118" s="470">
        <v>1.5</v>
      </c>
      <c r="AT118" s="516"/>
      <c r="AU118" s="516"/>
      <c r="AV118" s="516"/>
      <c r="AW118" s="516"/>
      <c r="AX118" s="516"/>
      <c r="AY118" s="516"/>
      <c r="AZ118" s="522"/>
      <c r="BA118" s="522"/>
      <c r="BB118" s="522"/>
      <c r="BC118" s="522"/>
      <c r="BD118" s="522"/>
      <c r="BE118" s="522"/>
      <c r="BF118" s="522"/>
      <c r="BG118" s="522"/>
    </row>
    <row r="119" spans="1:59" x14ac:dyDescent="0.25">
      <c r="A119" s="338">
        <v>5587</v>
      </c>
      <c r="B119" s="485" t="s">
        <v>121</v>
      </c>
      <c r="C119" s="390">
        <v>24657213.68</v>
      </c>
      <c r="D119" s="390">
        <v>3694286.73</v>
      </c>
      <c r="E119" s="388"/>
      <c r="F119" s="390">
        <v>0</v>
      </c>
      <c r="G119" s="390">
        <v>1450822.15</v>
      </c>
      <c r="H119" s="390">
        <v>491937.3</v>
      </c>
      <c r="I119" s="390">
        <v>303939.15000000002</v>
      </c>
      <c r="J119" s="390">
        <v>487004.75</v>
      </c>
      <c r="K119" s="390">
        <v>327992.5</v>
      </c>
      <c r="L119" s="390">
        <v>3059841.6</v>
      </c>
      <c r="M119" s="331">
        <f t="shared" si="3"/>
        <v>34473037.859999999</v>
      </c>
      <c r="N119" s="394">
        <v>522589.6</v>
      </c>
      <c r="O119" s="394">
        <v>1395734.6</v>
      </c>
      <c r="P119" s="394">
        <v>1269317.8</v>
      </c>
      <c r="Q119" s="394">
        <v>57226.67</v>
      </c>
      <c r="R119" s="394">
        <v>506246</v>
      </c>
      <c r="S119" s="394"/>
      <c r="T119" s="394">
        <v>34953.75</v>
      </c>
      <c r="U119" s="394">
        <v>37200</v>
      </c>
      <c r="V119" s="394"/>
      <c r="W119" s="394"/>
      <c r="X119" s="379">
        <v>233027.94</v>
      </c>
      <c r="Y119" s="460">
        <f t="shared" si="4"/>
        <v>38529334.219999999</v>
      </c>
      <c r="Z119" s="395">
        <v>66706.95</v>
      </c>
      <c r="AA119" s="395"/>
      <c r="AB119" s="395">
        <v>1412153.57</v>
      </c>
      <c r="AC119" s="395"/>
      <c r="AD119" s="395">
        <v>726331.95</v>
      </c>
      <c r="AE119" s="395"/>
      <c r="AF119" s="395"/>
      <c r="AG119" s="395"/>
      <c r="AH119" s="395"/>
      <c r="AI119" s="395">
        <v>272000</v>
      </c>
      <c r="AJ119" s="395"/>
      <c r="AK119" s="395"/>
      <c r="AL119" s="452">
        <v>272000</v>
      </c>
      <c r="AM119" s="460">
        <f t="shared" si="5"/>
        <v>2749192.4699999997</v>
      </c>
      <c r="AN119" s="395">
        <v>73.5</v>
      </c>
      <c r="AO119" s="398">
        <v>9136</v>
      </c>
      <c r="AP119" s="455">
        <v>-1660558.52</v>
      </c>
      <c r="AQ119" s="465"/>
      <c r="AR119" s="465">
        <v>-42495.95</v>
      </c>
      <c r="AS119" s="470">
        <v>1.2</v>
      </c>
      <c r="AT119" s="516"/>
      <c r="AU119" s="516"/>
      <c r="AV119" s="516"/>
      <c r="AW119" s="516"/>
      <c r="AX119" s="516"/>
      <c r="AY119" s="516"/>
      <c r="AZ119" s="522"/>
      <c r="BA119" s="522"/>
      <c r="BB119" s="522"/>
      <c r="BC119" s="522"/>
      <c r="BD119" s="522"/>
      <c r="BE119" s="522"/>
      <c r="BF119" s="522"/>
      <c r="BG119" s="522"/>
    </row>
    <row r="120" spans="1:59" x14ac:dyDescent="0.25">
      <c r="A120" s="338">
        <v>5588</v>
      </c>
      <c r="B120" s="485" t="s">
        <v>122</v>
      </c>
      <c r="C120" s="390">
        <v>4286190.13</v>
      </c>
      <c r="D120" s="390">
        <v>1662128.17</v>
      </c>
      <c r="E120" s="388"/>
      <c r="F120" s="390">
        <v>0</v>
      </c>
      <c r="G120" s="390">
        <v>25736.7</v>
      </c>
      <c r="H120" s="390">
        <v>349341.1</v>
      </c>
      <c r="I120" s="390">
        <v>1773887.12</v>
      </c>
      <c r="J120" s="390">
        <v>312946.12</v>
      </c>
      <c r="K120" s="390">
        <v>53488.55</v>
      </c>
      <c r="L120" s="390">
        <v>398367.05</v>
      </c>
      <c r="M120" s="331">
        <f t="shared" si="3"/>
        <v>8862084.9400000013</v>
      </c>
      <c r="N120" s="394">
        <v>18272.150000000001</v>
      </c>
      <c r="O120" s="394">
        <v>0</v>
      </c>
      <c r="P120" s="394">
        <v>324217.90000000002</v>
      </c>
      <c r="Q120" s="394">
        <v>4490.5600000000004</v>
      </c>
      <c r="R120" s="394">
        <v>210737.25</v>
      </c>
      <c r="S120" s="394"/>
      <c r="T120" s="394"/>
      <c r="U120" s="394">
        <v>4725</v>
      </c>
      <c r="V120" s="394"/>
      <c r="W120" s="394"/>
      <c r="X120" s="379">
        <v>44989.41</v>
      </c>
      <c r="Y120" s="460">
        <f t="shared" si="4"/>
        <v>9469517.2100000028</v>
      </c>
      <c r="Z120" s="395"/>
      <c r="AA120" s="395"/>
      <c r="AB120" s="395">
        <v>120814.37</v>
      </c>
      <c r="AC120" s="395"/>
      <c r="AD120" s="395">
        <v>140915</v>
      </c>
      <c r="AE120" s="395"/>
      <c r="AF120" s="395"/>
      <c r="AG120" s="395"/>
      <c r="AH120" s="395"/>
      <c r="AI120" s="395"/>
      <c r="AJ120" s="395">
        <v>29095.57</v>
      </c>
      <c r="AK120" s="395"/>
      <c r="AL120" s="452">
        <v>14547.79</v>
      </c>
      <c r="AM120" s="460">
        <f t="shared" si="5"/>
        <v>305372.73</v>
      </c>
      <c r="AN120" s="395">
        <v>66.5</v>
      </c>
      <c r="AO120" s="398">
        <v>1538</v>
      </c>
      <c r="AP120" s="455">
        <v>-21713.48</v>
      </c>
      <c r="AQ120" s="465"/>
      <c r="AR120" s="465">
        <v>-53249.09</v>
      </c>
      <c r="AS120" s="470">
        <v>0.7</v>
      </c>
      <c r="AT120" s="516"/>
      <c r="AU120" s="516"/>
      <c r="AV120" s="516"/>
      <c r="AW120" s="516"/>
      <c r="AX120" s="516"/>
      <c r="AY120" s="516"/>
      <c r="AZ120" s="522"/>
      <c r="BA120" s="522"/>
      <c r="BB120" s="522"/>
      <c r="BC120" s="522"/>
      <c r="BD120" s="522"/>
      <c r="BE120" s="522"/>
      <c r="BF120" s="522"/>
      <c r="BG120" s="522"/>
    </row>
    <row r="121" spans="1:59" x14ac:dyDescent="0.25">
      <c r="A121" s="338">
        <v>5589</v>
      </c>
      <c r="B121" s="485" t="s">
        <v>123</v>
      </c>
      <c r="C121" s="390">
        <v>19630511.370000001</v>
      </c>
      <c r="D121" s="390">
        <v>2177063.62</v>
      </c>
      <c r="E121" s="388"/>
      <c r="F121" s="390">
        <v>0</v>
      </c>
      <c r="G121" s="390">
        <v>5851512.4500000002</v>
      </c>
      <c r="H121" s="390">
        <v>316150.2</v>
      </c>
      <c r="I121" s="390">
        <v>194742.55</v>
      </c>
      <c r="J121" s="390">
        <v>1577734.95</v>
      </c>
      <c r="K121" s="390">
        <v>476420.1</v>
      </c>
      <c r="L121" s="390">
        <v>3009539.35</v>
      </c>
      <c r="M121" s="331">
        <f t="shared" si="3"/>
        <v>33233674.590000004</v>
      </c>
      <c r="N121" s="394">
        <v>1167452.6499999999</v>
      </c>
      <c r="O121" s="394">
        <v>710258.8</v>
      </c>
      <c r="P121" s="394">
        <v>666016.44999999995</v>
      </c>
      <c r="Q121" s="394">
        <v>64448.13</v>
      </c>
      <c r="R121" s="394">
        <v>566627.85</v>
      </c>
      <c r="S121" s="394"/>
      <c r="T121" s="394"/>
      <c r="U121" s="394">
        <v>41580</v>
      </c>
      <c r="V121" s="394"/>
      <c r="W121" s="394"/>
      <c r="X121" s="379">
        <v>739791.92</v>
      </c>
      <c r="Y121" s="460">
        <f t="shared" si="4"/>
        <v>37189850.390000008</v>
      </c>
      <c r="Z121" s="395">
        <v>50580</v>
      </c>
      <c r="AA121" s="395"/>
      <c r="AB121" s="395">
        <v>1348564.7</v>
      </c>
      <c r="AC121" s="395"/>
      <c r="AD121" s="395">
        <v>1105041.0900000001</v>
      </c>
      <c r="AE121" s="395"/>
      <c r="AF121" s="395"/>
      <c r="AG121" s="395"/>
      <c r="AH121" s="395"/>
      <c r="AI121" s="395">
        <v>350000</v>
      </c>
      <c r="AJ121" s="395"/>
      <c r="AK121" s="395">
        <v>200000</v>
      </c>
      <c r="AL121" s="452">
        <v>100000</v>
      </c>
      <c r="AM121" s="460">
        <f t="shared" si="5"/>
        <v>3154185.79</v>
      </c>
      <c r="AN121" s="395">
        <v>72.5</v>
      </c>
      <c r="AO121" s="398">
        <v>12383</v>
      </c>
      <c r="AP121" s="455">
        <v>-335813.23</v>
      </c>
      <c r="AQ121" s="465"/>
      <c r="AR121" s="465">
        <v>-18843.54</v>
      </c>
      <c r="AS121" s="470">
        <v>1.3</v>
      </c>
      <c r="AT121" s="516"/>
      <c r="AU121" s="516"/>
      <c r="AV121" s="516"/>
      <c r="AW121" s="516"/>
      <c r="AX121" s="516"/>
      <c r="AY121" s="516"/>
      <c r="AZ121" s="522"/>
      <c r="BA121" s="522"/>
      <c r="BB121" s="522"/>
      <c r="BC121" s="522"/>
      <c r="BD121" s="522"/>
      <c r="BE121" s="522"/>
      <c r="BF121" s="522"/>
      <c r="BG121" s="522"/>
    </row>
    <row r="122" spans="1:59" x14ac:dyDescent="0.25">
      <c r="A122" s="338">
        <v>5590</v>
      </c>
      <c r="B122" s="485" t="s">
        <v>124</v>
      </c>
      <c r="C122" s="390">
        <v>56258078.600000001</v>
      </c>
      <c r="D122" s="390">
        <v>16689820.6</v>
      </c>
      <c r="E122" s="388"/>
      <c r="F122" s="390">
        <v>0</v>
      </c>
      <c r="G122" s="390">
        <v>3618676.8</v>
      </c>
      <c r="H122" s="390">
        <v>4055683.6</v>
      </c>
      <c r="I122" s="390">
        <v>2885824.78</v>
      </c>
      <c r="J122" s="390">
        <v>1229871.8899999999</v>
      </c>
      <c r="K122" s="390">
        <v>372675.2</v>
      </c>
      <c r="L122" s="390">
        <v>3696803.45</v>
      </c>
      <c r="M122" s="331">
        <f t="shared" si="3"/>
        <v>88807434.920000002</v>
      </c>
      <c r="N122" s="394">
        <v>153086.15</v>
      </c>
      <c r="O122" s="394">
        <v>1762846</v>
      </c>
      <c r="P122" s="394">
        <v>4021807.65</v>
      </c>
      <c r="Q122" s="394">
        <v>97237.75</v>
      </c>
      <c r="R122" s="394">
        <v>3175239.05</v>
      </c>
      <c r="S122" s="394">
        <v>25750.2</v>
      </c>
      <c r="T122" s="394"/>
      <c r="U122" s="394">
        <v>61950</v>
      </c>
      <c r="V122" s="394"/>
      <c r="W122" s="394"/>
      <c r="X122" s="379">
        <v>920515.62</v>
      </c>
      <c r="Y122" s="460">
        <f t="shared" si="4"/>
        <v>99025867.340000018</v>
      </c>
      <c r="Z122" s="395">
        <v>453531.17</v>
      </c>
      <c r="AA122" s="395"/>
      <c r="AB122" s="395">
        <v>3642772.85</v>
      </c>
      <c r="AC122" s="395"/>
      <c r="AD122" s="395">
        <v>2190428.66</v>
      </c>
      <c r="AE122" s="395">
        <v>290200</v>
      </c>
      <c r="AF122" s="395"/>
      <c r="AG122" s="395"/>
      <c r="AH122" s="395">
        <v>34094.71</v>
      </c>
      <c r="AI122" s="395">
        <v>351480.78</v>
      </c>
      <c r="AJ122" s="395">
        <v>517314.2</v>
      </c>
      <c r="AK122" s="395"/>
      <c r="AL122" s="452"/>
      <c r="AM122" s="460">
        <f t="shared" si="5"/>
        <v>7479822.3700000001</v>
      </c>
      <c r="AN122" s="395">
        <v>61</v>
      </c>
      <c r="AO122" s="398">
        <v>18688</v>
      </c>
      <c r="AP122" s="455">
        <v>-425355.01</v>
      </c>
      <c r="AQ122" s="465"/>
      <c r="AR122" s="465">
        <v>-766422.94</v>
      </c>
      <c r="AS122" s="470">
        <v>0.7</v>
      </c>
      <c r="AT122" s="516"/>
      <c r="AU122" s="516"/>
      <c r="AV122" s="516"/>
      <c r="AW122" s="516"/>
      <c r="AX122" s="516"/>
      <c r="AY122" s="516"/>
      <c r="AZ122" s="522"/>
      <c r="BA122" s="522"/>
      <c r="BB122" s="522"/>
      <c r="BC122" s="522"/>
      <c r="BD122" s="522"/>
      <c r="BE122" s="522"/>
      <c r="BF122" s="522"/>
      <c r="BG122" s="522"/>
    </row>
    <row r="123" spans="1:59" x14ac:dyDescent="0.25">
      <c r="A123" s="338">
        <v>5591</v>
      </c>
      <c r="B123" s="485" t="s">
        <v>394</v>
      </c>
      <c r="C123" s="390">
        <v>29655035.82</v>
      </c>
      <c r="D123" s="390">
        <v>3120595.88</v>
      </c>
      <c r="E123" s="388"/>
      <c r="F123" s="390">
        <v>0</v>
      </c>
      <c r="G123" s="390">
        <v>6210346.4000000004</v>
      </c>
      <c r="H123" s="390">
        <v>384973.7</v>
      </c>
      <c r="I123" s="390">
        <v>0</v>
      </c>
      <c r="J123" s="390">
        <v>2464233.13</v>
      </c>
      <c r="K123" s="390">
        <v>728905.4</v>
      </c>
      <c r="L123" s="390">
        <v>5014400.55</v>
      </c>
      <c r="M123" s="331">
        <f t="shared" si="3"/>
        <v>47578490.880000003</v>
      </c>
      <c r="N123" s="394">
        <v>2364789</v>
      </c>
      <c r="O123" s="394">
        <v>1102475.1000000001</v>
      </c>
      <c r="P123" s="394">
        <v>2169137.5</v>
      </c>
      <c r="Q123" s="394">
        <v>329854.67</v>
      </c>
      <c r="R123" s="394">
        <v>1117007.05</v>
      </c>
      <c r="S123" s="394"/>
      <c r="T123" s="394"/>
      <c r="U123" s="394">
        <v>71900</v>
      </c>
      <c r="V123" s="394">
        <v>23498.25</v>
      </c>
      <c r="W123" s="394">
        <v>49994.65</v>
      </c>
      <c r="X123" s="379">
        <v>791088.1</v>
      </c>
      <c r="Y123" s="460">
        <f t="shared" si="4"/>
        <v>55598235.200000003</v>
      </c>
      <c r="Z123" s="395">
        <v>395615.1</v>
      </c>
      <c r="AA123" s="395"/>
      <c r="AB123" s="395">
        <v>1434326.55</v>
      </c>
      <c r="AC123" s="395">
        <v>4320</v>
      </c>
      <c r="AD123" s="395">
        <v>2207015.27</v>
      </c>
      <c r="AE123" s="395"/>
      <c r="AF123" s="395"/>
      <c r="AG123" s="395"/>
      <c r="AH123" s="395">
        <v>1411.2</v>
      </c>
      <c r="AI123" s="395">
        <v>563986.68000000005</v>
      </c>
      <c r="AJ123" s="395"/>
      <c r="AK123" s="395"/>
      <c r="AL123" s="452">
        <v>241660.97</v>
      </c>
      <c r="AM123" s="460">
        <f t="shared" si="5"/>
        <v>4848335.7699999996</v>
      </c>
      <c r="AN123" s="395">
        <v>77</v>
      </c>
      <c r="AO123" s="398">
        <v>20863</v>
      </c>
      <c r="AP123" s="455">
        <v>-1308350.45</v>
      </c>
      <c r="AQ123" s="465"/>
      <c r="AR123" s="465">
        <v>-8754.91</v>
      </c>
      <c r="AS123" s="470">
        <v>1.4</v>
      </c>
      <c r="AT123" s="516"/>
      <c r="AU123" s="516"/>
      <c r="AV123" s="516"/>
      <c r="AW123" s="516"/>
      <c r="AX123" s="516"/>
      <c r="AY123" s="516"/>
      <c r="AZ123" s="522"/>
      <c r="BA123" s="522"/>
      <c r="BB123" s="522"/>
      <c r="BC123" s="522"/>
      <c r="BD123" s="522"/>
      <c r="BE123" s="522"/>
      <c r="BF123" s="522"/>
      <c r="BG123" s="522"/>
    </row>
    <row r="124" spans="1:59" x14ac:dyDescent="0.25">
      <c r="A124" s="338">
        <v>5592</v>
      </c>
      <c r="B124" s="485" t="s">
        <v>215</v>
      </c>
      <c r="C124" s="390">
        <v>6087510.3099999996</v>
      </c>
      <c r="D124" s="390">
        <v>783894.22</v>
      </c>
      <c r="E124" s="388"/>
      <c r="F124" s="390">
        <v>0</v>
      </c>
      <c r="G124" s="390">
        <v>559962.4</v>
      </c>
      <c r="H124" s="390">
        <v>75994.75</v>
      </c>
      <c r="I124" s="390">
        <v>45581.35</v>
      </c>
      <c r="J124" s="390">
        <v>186916.63</v>
      </c>
      <c r="K124" s="390">
        <v>141567.75</v>
      </c>
      <c r="L124" s="390">
        <v>845890.95</v>
      </c>
      <c r="M124" s="331">
        <f t="shared" si="3"/>
        <v>8727318.3599999994</v>
      </c>
      <c r="N124" s="394">
        <v>220475.4</v>
      </c>
      <c r="O124" s="394">
        <v>83.5</v>
      </c>
      <c r="P124" s="394">
        <v>301143.25</v>
      </c>
      <c r="Q124" s="394">
        <v>50808.95</v>
      </c>
      <c r="R124" s="394">
        <v>112571.65</v>
      </c>
      <c r="S124" s="394">
        <v>150</v>
      </c>
      <c r="T124" s="394">
        <v>500</v>
      </c>
      <c r="U124" s="394">
        <v>16050</v>
      </c>
      <c r="V124" s="394"/>
      <c r="W124" s="394"/>
      <c r="X124" s="379">
        <v>71494.2</v>
      </c>
      <c r="Y124" s="460">
        <f t="shared" si="4"/>
        <v>9500595.3099999987</v>
      </c>
      <c r="Z124" s="395">
        <v>87746.05</v>
      </c>
      <c r="AA124" s="395"/>
      <c r="AB124" s="395">
        <v>393638.63</v>
      </c>
      <c r="AC124" s="395"/>
      <c r="AD124" s="395">
        <v>215256.58</v>
      </c>
      <c r="AE124" s="395"/>
      <c r="AF124" s="395"/>
      <c r="AG124" s="395"/>
      <c r="AH124" s="395"/>
      <c r="AI124" s="395">
        <v>98968.67</v>
      </c>
      <c r="AJ124" s="395">
        <v>84832.4</v>
      </c>
      <c r="AK124" s="395">
        <v>84832.42</v>
      </c>
      <c r="AL124" s="452"/>
      <c r="AM124" s="460">
        <f t="shared" si="5"/>
        <v>965274.75000000012</v>
      </c>
      <c r="AN124" s="395">
        <v>70.5</v>
      </c>
      <c r="AO124" s="398">
        <v>3247</v>
      </c>
      <c r="AP124" s="455">
        <v>-117204.62</v>
      </c>
      <c r="AQ124" s="465"/>
      <c r="AR124" s="465">
        <v>-12135.29</v>
      </c>
      <c r="AS124" s="470">
        <v>1.25</v>
      </c>
      <c r="AT124" s="516"/>
      <c r="AU124" s="516"/>
      <c r="AV124" s="516"/>
      <c r="AW124" s="516"/>
      <c r="AX124" s="516"/>
      <c r="AY124" s="516"/>
      <c r="AZ124" s="522"/>
      <c r="BA124" s="522"/>
      <c r="BB124" s="522"/>
      <c r="BC124" s="522"/>
      <c r="BD124" s="522"/>
      <c r="BE124" s="522"/>
      <c r="BF124" s="522"/>
      <c r="BG124" s="522"/>
    </row>
    <row r="125" spans="1:59" x14ac:dyDescent="0.25">
      <c r="A125" s="338">
        <v>5601</v>
      </c>
      <c r="B125" s="485" t="s">
        <v>297</v>
      </c>
      <c r="C125" s="390">
        <v>4878850.43</v>
      </c>
      <c r="D125" s="390">
        <v>1060518.8799999999</v>
      </c>
      <c r="E125" s="388"/>
      <c r="F125" s="390">
        <v>0</v>
      </c>
      <c r="G125" s="390">
        <v>47216.1</v>
      </c>
      <c r="H125" s="390">
        <v>12717.25</v>
      </c>
      <c r="I125" s="390">
        <v>13068.55</v>
      </c>
      <c r="J125" s="390">
        <v>121037.52</v>
      </c>
      <c r="K125" s="390">
        <v>7556.7</v>
      </c>
      <c r="L125" s="390">
        <v>490552.9</v>
      </c>
      <c r="M125" s="331">
        <f t="shared" si="3"/>
        <v>6631518.3299999991</v>
      </c>
      <c r="N125" s="394">
        <v>47732.35</v>
      </c>
      <c r="O125" s="394">
        <v>310583.40000000002</v>
      </c>
      <c r="P125" s="394">
        <v>590638.19999999995</v>
      </c>
      <c r="Q125" s="394">
        <v>1536.82</v>
      </c>
      <c r="R125" s="394">
        <v>763633.75</v>
      </c>
      <c r="S125" s="394"/>
      <c r="T125" s="394"/>
      <c r="U125" s="394">
        <v>7087.5</v>
      </c>
      <c r="V125" s="394"/>
      <c r="W125" s="394"/>
      <c r="X125" s="379">
        <v>7188.82</v>
      </c>
      <c r="Y125" s="460">
        <f t="shared" si="4"/>
        <v>8359919.1699999999</v>
      </c>
      <c r="Z125" s="395"/>
      <c r="AA125" s="395">
        <v>2447.4899999999998</v>
      </c>
      <c r="AB125" s="395">
        <v>81868.38</v>
      </c>
      <c r="AC125" s="395">
        <v>257179.8</v>
      </c>
      <c r="AD125" s="395">
        <v>128052.7</v>
      </c>
      <c r="AE125" s="395"/>
      <c r="AF125" s="395">
        <v>4379.22</v>
      </c>
      <c r="AG125" s="395"/>
      <c r="AH125" s="395">
        <v>51332.05</v>
      </c>
      <c r="AI125" s="395">
        <v>45217.8</v>
      </c>
      <c r="AJ125" s="395"/>
      <c r="AK125" s="395"/>
      <c r="AL125" s="452"/>
      <c r="AM125" s="460">
        <f t="shared" si="5"/>
        <v>570477.44000000006</v>
      </c>
      <c r="AN125" s="395">
        <v>67.5</v>
      </c>
      <c r="AO125" s="398">
        <v>2251</v>
      </c>
      <c r="AP125" s="455">
        <v>-12673.96</v>
      </c>
      <c r="AQ125" s="465"/>
      <c r="AR125" s="465">
        <v>-7708.02</v>
      </c>
      <c r="AS125" s="470">
        <v>1</v>
      </c>
      <c r="AT125" s="516"/>
      <c r="AU125" s="516"/>
      <c r="AV125" s="516"/>
      <c r="AW125" s="516"/>
      <c r="AX125" s="516"/>
      <c r="AY125" s="516"/>
      <c r="AZ125" s="522"/>
      <c r="BA125" s="522"/>
      <c r="BB125" s="522"/>
      <c r="BC125" s="522"/>
      <c r="BD125" s="522"/>
      <c r="BE125" s="522"/>
      <c r="BF125" s="522"/>
      <c r="BG125" s="522"/>
    </row>
    <row r="126" spans="1:59" x14ac:dyDescent="0.25">
      <c r="A126" s="338">
        <v>5604</v>
      </c>
      <c r="B126" s="485" t="s">
        <v>143</v>
      </c>
      <c r="C126" s="390">
        <v>3713769.34</v>
      </c>
      <c r="D126" s="390">
        <v>567698.43999999994</v>
      </c>
      <c r="E126" s="388"/>
      <c r="F126" s="390">
        <v>0</v>
      </c>
      <c r="G126" s="390">
        <v>117455.5</v>
      </c>
      <c r="H126" s="390">
        <v>20763.3</v>
      </c>
      <c r="I126" s="390">
        <v>0</v>
      </c>
      <c r="J126" s="390">
        <v>86748.479999999996</v>
      </c>
      <c r="K126" s="390">
        <v>20348.599999999999</v>
      </c>
      <c r="L126" s="390">
        <v>405290.4</v>
      </c>
      <c r="M126" s="331">
        <f t="shared" si="3"/>
        <v>4932074.0599999996</v>
      </c>
      <c r="N126" s="394">
        <v>105948.3</v>
      </c>
      <c r="O126" s="394">
        <v>-54.75</v>
      </c>
      <c r="P126" s="394">
        <v>210749.5</v>
      </c>
      <c r="Q126" s="394">
        <v>16420.169999999998</v>
      </c>
      <c r="R126" s="394">
        <v>103810.7</v>
      </c>
      <c r="S126" s="394">
        <v>3008.25</v>
      </c>
      <c r="T126" s="394"/>
      <c r="U126" s="394">
        <v>22950</v>
      </c>
      <c r="V126" s="394"/>
      <c r="W126" s="394"/>
      <c r="X126" s="379">
        <v>16578.91</v>
      </c>
      <c r="Y126" s="460">
        <f t="shared" si="4"/>
        <v>5411485.1399999997</v>
      </c>
      <c r="Z126" s="395">
        <v>85747.05</v>
      </c>
      <c r="AA126" s="395"/>
      <c r="AB126" s="395">
        <v>409643.4</v>
      </c>
      <c r="AC126" s="395"/>
      <c r="AD126" s="395">
        <v>119175.01</v>
      </c>
      <c r="AE126" s="395">
        <v>93652.15</v>
      </c>
      <c r="AF126" s="395"/>
      <c r="AG126" s="395"/>
      <c r="AH126" s="395">
        <v>10132.299999999999</v>
      </c>
      <c r="AI126" s="395"/>
      <c r="AJ126" s="395"/>
      <c r="AK126" s="395"/>
      <c r="AL126" s="452"/>
      <c r="AM126" s="460">
        <f t="shared" si="5"/>
        <v>718349.91</v>
      </c>
      <c r="AN126" s="395">
        <v>69</v>
      </c>
      <c r="AO126" s="398">
        <v>2105</v>
      </c>
      <c r="AP126" s="455">
        <v>-43233.91</v>
      </c>
      <c r="AQ126" s="465"/>
      <c r="AR126" s="465">
        <v>-1455.11</v>
      </c>
      <c r="AS126" s="470">
        <v>1</v>
      </c>
      <c r="AT126" s="516"/>
      <c r="AU126" s="516"/>
      <c r="AV126" s="516"/>
      <c r="AW126" s="516"/>
      <c r="AX126" s="516"/>
      <c r="AY126" s="516"/>
      <c r="AZ126" s="522"/>
      <c r="BA126" s="522"/>
      <c r="BB126" s="522"/>
      <c r="BC126" s="522"/>
      <c r="BD126" s="522"/>
      <c r="BE126" s="522"/>
      <c r="BF126" s="522"/>
      <c r="BG126" s="522"/>
    </row>
    <row r="127" spans="1:59" x14ac:dyDescent="0.25">
      <c r="A127" s="338">
        <v>5606</v>
      </c>
      <c r="B127" s="485" t="s">
        <v>144</v>
      </c>
      <c r="C127" s="390">
        <v>32329769.07</v>
      </c>
      <c r="D127" s="390">
        <v>7421290.46</v>
      </c>
      <c r="E127" s="388"/>
      <c r="F127" s="390">
        <v>0</v>
      </c>
      <c r="G127" s="390">
        <v>2477250.5499999998</v>
      </c>
      <c r="H127" s="390">
        <v>88295.6</v>
      </c>
      <c r="I127" s="390">
        <v>1361832.33</v>
      </c>
      <c r="J127" s="390">
        <v>271196.74</v>
      </c>
      <c r="K127" s="390">
        <v>139267.6</v>
      </c>
      <c r="L127" s="390">
        <v>2236909.9500000002</v>
      </c>
      <c r="M127" s="331">
        <f t="shared" si="3"/>
        <v>46325812.300000004</v>
      </c>
      <c r="N127" s="394">
        <v>149368.25</v>
      </c>
      <c r="O127" s="394">
        <v>1698280.7</v>
      </c>
      <c r="P127" s="394">
        <v>2307429.0499999998</v>
      </c>
      <c r="Q127" s="394">
        <v>-90098.94</v>
      </c>
      <c r="R127" s="394">
        <v>1525779.6</v>
      </c>
      <c r="S127" s="394"/>
      <c r="T127" s="394"/>
      <c r="U127" s="394">
        <v>90850</v>
      </c>
      <c r="V127" s="394"/>
      <c r="W127" s="394"/>
      <c r="X127" s="379">
        <v>307729.27</v>
      </c>
      <c r="Y127" s="460">
        <f t="shared" si="4"/>
        <v>52315150.230000012</v>
      </c>
      <c r="Z127" s="395">
        <v>169238</v>
      </c>
      <c r="AA127" s="395"/>
      <c r="AB127" s="395">
        <v>1365438.47</v>
      </c>
      <c r="AC127" s="395"/>
      <c r="AD127" s="395">
        <v>1599390.53</v>
      </c>
      <c r="AE127" s="395">
        <v>117117</v>
      </c>
      <c r="AF127" s="395"/>
      <c r="AG127" s="395"/>
      <c r="AH127" s="395">
        <v>15189.26</v>
      </c>
      <c r="AI127" s="395">
        <v>285842.8</v>
      </c>
      <c r="AJ127" s="395">
        <v>204173.45</v>
      </c>
      <c r="AK127" s="395">
        <v>81669.399999999994</v>
      </c>
      <c r="AL127" s="452"/>
      <c r="AM127" s="460">
        <f t="shared" si="5"/>
        <v>3838058.9099999997</v>
      </c>
      <c r="AN127" s="395">
        <v>54</v>
      </c>
      <c r="AO127" s="398">
        <v>10455</v>
      </c>
      <c r="AP127" s="455">
        <v>-128103.74</v>
      </c>
      <c r="AQ127" s="465"/>
      <c r="AR127" s="465">
        <v>-111574.46</v>
      </c>
      <c r="AS127" s="470">
        <v>0.7</v>
      </c>
      <c r="AT127" s="516"/>
      <c r="AU127" s="516"/>
      <c r="AV127" s="516"/>
      <c r="AW127" s="516"/>
      <c r="AX127" s="516"/>
      <c r="AY127" s="516"/>
      <c r="AZ127" s="522"/>
      <c r="BA127" s="522"/>
      <c r="BB127" s="522"/>
      <c r="BC127" s="522"/>
      <c r="BD127" s="522"/>
      <c r="BE127" s="522"/>
      <c r="BF127" s="522"/>
      <c r="BG127" s="522"/>
    </row>
    <row r="128" spans="1:59" x14ac:dyDescent="0.25">
      <c r="A128" s="338">
        <v>5607</v>
      </c>
      <c r="B128" s="485" t="s">
        <v>299</v>
      </c>
      <c r="C128" s="390">
        <v>4743377.83</v>
      </c>
      <c r="D128" s="390">
        <v>695095.51</v>
      </c>
      <c r="E128" s="388"/>
      <c r="F128" s="390">
        <v>0</v>
      </c>
      <c r="G128" s="390">
        <v>470589.95</v>
      </c>
      <c r="H128" s="390">
        <v>146403</v>
      </c>
      <c r="I128" s="390">
        <v>-135.85</v>
      </c>
      <c r="J128" s="390">
        <v>211359.3</v>
      </c>
      <c r="K128" s="390">
        <v>119887.6</v>
      </c>
      <c r="L128" s="390">
        <v>812063.85</v>
      </c>
      <c r="M128" s="331">
        <f t="shared" si="3"/>
        <v>7198641.1899999995</v>
      </c>
      <c r="N128" s="394">
        <v>241469.15</v>
      </c>
      <c r="O128" s="394">
        <v>22786.7</v>
      </c>
      <c r="P128" s="394">
        <v>644550.9</v>
      </c>
      <c r="Q128" s="394">
        <v>-2283.14</v>
      </c>
      <c r="R128" s="394">
        <v>478937.4</v>
      </c>
      <c r="S128" s="394"/>
      <c r="T128" s="394">
        <v>17993.7</v>
      </c>
      <c r="U128" s="394">
        <v>40050</v>
      </c>
      <c r="V128" s="394"/>
      <c r="W128" s="394"/>
      <c r="X128" s="379">
        <v>74006.38</v>
      </c>
      <c r="Y128" s="460">
        <f t="shared" si="4"/>
        <v>8716152.2800000012</v>
      </c>
      <c r="Z128" s="395">
        <v>106775.95</v>
      </c>
      <c r="AA128" s="395"/>
      <c r="AB128" s="395">
        <v>195820.45</v>
      </c>
      <c r="AC128" s="395">
        <v>400347.7</v>
      </c>
      <c r="AD128" s="395">
        <v>153953.65</v>
      </c>
      <c r="AE128" s="395">
        <v>217752</v>
      </c>
      <c r="AF128" s="395"/>
      <c r="AG128" s="395"/>
      <c r="AH128" s="395">
        <v>28637.4</v>
      </c>
      <c r="AI128" s="395">
        <v>147422.1</v>
      </c>
      <c r="AJ128" s="395"/>
      <c r="AK128" s="395"/>
      <c r="AL128" s="452"/>
      <c r="AM128" s="460">
        <f t="shared" si="5"/>
        <v>1250709.25</v>
      </c>
      <c r="AN128" s="395">
        <v>68.5</v>
      </c>
      <c r="AO128" s="398">
        <v>2894</v>
      </c>
      <c r="AP128" s="455">
        <v>-109442.74</v>
      </c>
      <c r="AQ128" s="465"/>
      <c r="AR128" s="465">
        <v>-3269.53</v>
      </c>
      <c r="AS128" s="470">
        <v>1.1499999999999999</v>
      </c>
      <c r="AT128" s="516"/>
      <c r="AU128" s="516"/>
      <c r="AV128" s="516"/>
      <c r="AW128" s="516"/>
      <c r="AX128" s="516"/>
      <c r="AY128" s="516"/>
      <c r="AZ128" s="522"/>
      <c r="BA128" s="522"/>
      <c r="BB128" s="522"/>
      <c r="BC128" s="522"/>
      <c r="BD128" s="522"/>
      <c r="BE128" s="522"/>
      <c r="BF128" s="522"/>
      <c r="BG128" s="522"/>
    </row>
    <row r="129" spans="1:59" x14ac:dyDescent="0.25">
      <c r="A129" s="338">
        <v>5609</v>
      </c>
      <c r="B129" s="485" t="s">
        <v>128</v>
      </c>
      <c r="C129" s="390">
        <v>710367.19</v>
      </c>
      <c r="D129" s="390">
        <v>161320.57999999999</v>
      </c>
      <c r="E129" s="388"/>
      <c r="F129" s="390">
        <v>0</v>
      </c>
      <c r="G129" s="390">
        <v>8251</v>
      </c>
      <c r="H129" s="390">
        <v>720.9</v>
      </c>
      <c r="I129" s="390">
        <v>0</v>
      </c>
      <c r="J129" s="390">
        <v>59004.01</v>
      </c>
      <c r="K129" s="390">
        <v>185.9</v>
      </c>
      <c r="L129" s="390">
        <v>59111.8</v>
      </c>
      <c r="M129" s="331">
        <f t="shared" si="3"/>
        <v>998961.38</v>
      </c>
      <c r="N129" s="394">
        <v>0</v>
      </c>
      <c r="O129" s="394">
        <v>0</v>
      </c>
      <c r="P129" s="394">
        <v>22715</v>
      </c>
      <c r="Q129" s="394">
        <v>2003.79</v>
      </c>
      <c r="R129" s="394">
        <v>42729.15</v>
      </c>
      <c r="S129" s="394"/>
      <c r="T129" s="394"/>
      <c r="U129" s="394">
        <v>1200</v>
      </c>
      <c r="V129" s="394"/>
      <c r="W129" s="394"/>
      <c r="X129" s="379">
        <v>1076.1500000000001</v>
      </c>
      <c r="Y129" s="460">
        <f t="shared" si="4"/>
        <v>1068685.47</v>
      </c>
      <c r="Z129" s="395"/>
      <c r="AA129" s="395"/>
      <c r="AB129" s="395">
        <v>33015</v>
      </c>
      <c r="AC129" s="395">
        <v>37827.550000000003</v>
      </c>
      <c r="AD129" s="395">
        <v>21049.95</v>
      </c>
      <c r="AE129" s="395"/>
      <c r="AF129" s="395"/>
      <c r="AG129" s="395"/>
      <c r="AH129" s="395">
        <v>8932.5</v>
      </c>
      <c r="AI129" s="395">
        <v>5885.85</v>
      </c>
      <c r="AJ129" s="395"/>
      <c r="AK129" s="395"/>
      <c r="AL129" s="452"/>
      <c r="AM129" s="460">
        <f t="shared" si="5"/>
        <v>106710.85</v>
      </c>
      <c r="AN129" s="395">
        <v>62</v>
      </c>
      <c r="AO129" s="398">
        <v>337</v>
      </c>
      <c r="AP129" s="455">
        <v>-6552.11</v>
      </c>
      <c r="AQ129" s="465"/>
      <c r="AR129" s="465">
        <v>-460.48</v>
      </c>
      <c r="AS129" s="470">
        <v>1</v>
      </c>
      <c r="AT129" s="516"/>
      <c r="AU129" s="516"/>
      <c r="AV129" s="516"/>
      <c r="AW129" s="516"/>
      <c r="AX129" s="516"/>
      <c r="AY129" s="516"/>
      <c r="AZ129" s="522"/>
      <c r="BA129" s="522"/>
      <c r="BB129" s="522"/>
      <c r="BC129" s="522"/>
      <c r="BD129" s="522"/>
      <c r="BE129" s="522"/>
      <c r="BF129" s="522"/>
      <c r="BG129" s="522"/>
    </row>
    <row r="130" spans="1:59" x14ac:dyDescent="0.25">
      <c r="A130" s="338">
        <v>5610</v>
      </c>
      <c r="B130" s="485" t="s">
        <v>129</v>
      </c>
      <c r="C130" s="390">
        <v>1003929.85</v>
      </c>
      <c r="D130" s="390">
        <v>221693.26</v>
      </c>
      <c r="E130" s="388"/>
      <c r="F130" s="390">
        <v>0</v>
      </c>
      <c r="G130" s="390">
        <v>1155.1500000000001</v>
      </c>
      <c r="H130" s="390">
        <v>4309.1000000000004</v>
      </c>
      <c r="I130" s="390">
        <v>42593.15</v>
      </c>
      <c r="J130" s="390">
        <v>26916.85</v>
      </c>
      <c r="K130" s="390">
        <v>6697.85</v>
      </c>
      <c r="L130" s="390">
        <v>120309.2</v>
      </c>
      <c r="M130" s="331">
        <f t="shared" si="3"/>
        <v>1427604.41</v>
      </c>
      <c r="N130" s="394">
        <v>1817.85</v>
      </c>
      <c r="O130" s="394">
        <v>5785.2</v>
      </c>
      <c r="P130" s="394">
        <v>55309.1</v>
      </c>
      <c r="Q130" s="394">
        <v>-13472.35</v>
      </c>
      <c r="R130" s="394">
        <v>65663</v>
      </c>
      <c r="S130" s="394"/>
      <c r="T130" s="394"/>
      <c r="U130" s="394">
        <v>4575</v>
      </c>
      <c r="V130" s="394"/>
      <c r="W130" s="394"/>
      <c r="X130" s="379">
        <v>655.42</v>
      </c>
      <c r="Y130" s="460">
        <f t="shared" si="4"/>
        <v>1547937.63</v>
      </c>
      <c r="Z130" s="395"/>
      <c r="AA130" s="395"/>
      <c r="AB130" s="395">
        <v>56659</v>
      </c>
      <c r="AC130" s="395">
        <v>50451.15</v>
      </c>
      <c r="AD130" s="395"/>
      <c r="AE130" s="395"/>
      <c r="AF130" s="395"/>
      <c r="AG130" s="395"/>
      <c r="AH130" s="395"/>
      <c r="AI130" s="395"/>
      <c r="AJ130" s="395"/>
      <c r="AK130" s="395"/>
      <c r="AL130" s="452"/>
      <c r="AM130" s="460">
        <f t="shared" si="5"/>
        <v>107110.15</v>
      </c>
      <c r="AN130" s="395">
        <v>72</v>
      </c>
      <c r="AO130" s="398">
        <v>388</v>
      </c>
      <c r="AP130" s="455">
        <v>-6131.57</v>
      </c>
      <c r="AQ130" s="465"/>
      <c r="AR130" s="465">
        <v>-5216.2700000000004</v>
      </c>
      <c r="AS130" s="470">
        <v>1.2</v>
      </c>
      <c r="AT130" s="516"/>
      <c r="AU130" s="516"/>
      <c r="AV130" s="516"/>
      <c r="AW130" s="516"/>
      <c r="AX130" s="516"/>
      <c r="AY130" s="516"/>
      <c r="AZ130" s="522"/>
      <c r="BA130" s="522"/>
      <c r="BB130" s="522"/>
      <c r="BC130" s="522"/>
      <c r="BD130" s="522"/>
      <c r="BE130" s="522"/>
      <c r="BF130" s="522"/>
      <c r="BG130" s="522"/>
    </row>
    <row r="131" spans="1:59" x14ac:dyDescent="0.25">
      <c r="A131" s="338">
        <v>5611</v>
      </c>
      <c r="B131" s="485" t="s">
        <v>296</v>
      </c>
      <c r="C131" s="390">
        <v>7096638.0499999998</v>
      </c>
      <c r="D131" s="390">
        <v>1083196.49</v>
      </c>
      <c r="E131" s="388"/>
      <c r="F131" s="390">
        <v>0</v>
      </c>
      <c r="G131" s="390">
        <v>338381.35</v>
      </c>
      <c r="H131" s="390">
        <v>22265.05</v>
      </c>
      <c r="I131" s="390">
        <v>90726.6</v>
      </c>
      <c r="J131" s="390">
        <v>106210.31</v>
      </c>
      <c r="K131" s="390">
        <v>18582.650000000001</v>
      </c>
      <c r="L131" s="390">
        <v>802625.45</v>
      </c>
      <c r="M131" s="331">
        <f t="shared" si="3"/>
        <v>9558625.9500000011</v>
      </c>
      <c r="N131" s="394">
        <v>108590.3</v>
      </c>
      <c r="O131" s="394">
        <v>360273.6</v>
      </c>
      <c r="P131" s="394">
        <v>433066.7</v>
      </c>
      <c r="Q131" s="394">
        <v>21308.07</v>
      </c>
      <c r="R131" s="394">
        <v>195452.3</v>
      </c>
      <c r="S131" s="394">
        <v>725</v>
      </c>
      <c r="T131" s="394">
        <v>11767.3</v>
      </c>
      <c r="U131" s="394">
        <v>19530</v>
      </c>
      <c r="V131" s="394">
        <v>1508</v>
      </c>
      <c r="W131" s="394"/>
      <c r="X131" s="379">
        <v>43258.41</v>
      </c>
      <c r="Y131" s="460">
        <f t="shared" si="4"/>
        <v>10754105.630000003</v>
      </c>
      <c r="Z131" s="395">
        <v>35395.06</v>
      </c>
      <c r="AA131" s="395"/>
      <c r="AB131" s="395"/>
      <c r="AC131" s="395"/>
      <c r="AD131" s="395">
        <v>319730.96000000002</v>
      </c>
      <c r="AE131" s="395">
        <v>50942.82</v>
      </c>
      <c r="AF131" s="395">
        <v>1322.54</v>
      </c>
      <c r="AG131" s="395"/>
      <c r="AH131" s="395"/>
      <c r="AI131" s="395"/>
      <c r="AJ131" s="395"/>
      <c r="AK131" s="395"/>
      <c r="AL131" s="452"/>
      <c r="AM131" s="460">
        <f t="shared" si="5"/>
        <v>407391.38</v>
      </c>
      <c r="AN131" s="395">
        <v>69</v>
      </c>
      <c r="AO131" s="398">
        <v>3348</v>
      </c>
      <c r="AP131" s="455">
        <v>-49490.14</v>
      </c>
      <c r="AQ131" s="465"/>
      <c r="AR131" s="465">
        <v>-6573</v>
      </c>
      <c r="AS131" s="470">
        <v>1.2</v>
      </c>
      <c r="AT131" s="516"/>
      <c r="AU131" s="516"/>
      <c r="AV131" s="516"/>
      <c r="AW131" s="516"/>
      <c r="AX131" s="516"/>
      <c r="AY131" s="516"/>
      <c r="AZ131" s="522"/>
      <c r="BA131" s="522"/>
      <c r="BB131" s="522"/>
      <c r="BC131" s="522"/>
      <c r="BD131" s="522"/>
      <c r="BE131" s="522"/>
      <c r="BF131" s="522"/>
      <c r="BG131" s="522"/>
    </row>
    <row r="132" spans="1:59" x14ac:dyDescent="0.25">
      <c r="A132" s="338">
        <v>5613</v>
      </c>
      <c r="B132" s="485" t="s">
        <v>426</v>
      </c>
      <c r="C132" s="390">
        <v>15371354.609999999</v>
      </c>
      <c r="D132" s="390">
        <v>3572285.72</v>
      </c>
      <c r="E132" s="388"/>
      <c r="F132" s="390">
        <v>0</v>
      </c>
      <c r="G132" s="390">
        <v>203162.45</v>
      </c>
      <c r="H132" s="390">
        <v>38116.050000000003</v>
      </c>
      <c r="I132" s="390">
        <v>247378.1</v>
      </c>
      <c r="J132" s="390">
        <v>527617.93000000005</v>
      </c>
      <c r="K132" s="390">
        <v>38012.449999999997</v>
      </c>
      <c r="L132" s="390">
        <v>2203648.5</v>
      </c>
      <c r="M132" s="331">
        <f t="shared" si="3"/>
        <v>22201575.809999999</v>
      </c>
      <c r="N132" s="394">
        <v>31370.7</v>
      </c>
      <c r="O132" s="394">
        <v>124049.9</v>
      </c>
      <c r="P132" s="394">
        <v>749989.65</v>
      </c>
      <c r="Q132" s="394">
        <v>70473.53</v>
      </c>
      <c r="R132" s="394">
        <v>817678.05</v>
      </c>
      <c r="S132" s="394"/>
      <c r="T132" s="394"/>
      <c r="U132" s="394">
        <v>26850</v>
      </c>
      <c r="V132" s="394"/>
      <c r="W132" s="394"/>
      <c r="X132" s="379">
        <v>28940.6</v>
      </c>
      <c r="Y132" s="460">
        <f t="shared" si="4"/>
        <v>24050928.239999998</v>
      </c>
      <c r="Z132" s="395">
        <v>-9202.7999999999993</v>
      </c>
      <c r="AA132" s="395"/>
      <c r="AB132" s="395">
        <v>676957.25</v>
      </c>
      <c r="AC132" s="395"/>
      <c r="AD132" s="395">
        <v>371059</v>
      </c>
      <c r="AE132" s="395">
        <v>47112</v>
      </c>
      <c r="AF132" s="395"/>
      <c r="AG132" s="395"/>
      <c r="AH132" s="395">
        <v>122720</v>
      </c>
      <c r="AI132" s="395">
        <v>158580</v>
      </c>
      <c r="AJ132" s="395"/>
      <c r="AK132" s="395"/>
      <c r="AL132" s="452"/>
      <c r="AM132" s="460">
        <f t="shared" si="5"/>
        <v>1367225.45</v>
      </c>
      <c r="AN132" s="395">
        <v>62.5</v>
      </c>
      <c r="AO132" s="398">
        <v>5389</v>
      </c>
      <c r="AP132" s="455">
        <v>-40257.919999999998</v>
      </c>
      <c r="AQ132" s="465"/>
      <c r="AR132" s="465">
        <v>-36921.5</v>
      </c>
      <c r="AS132" s="470">
        <v>1.5</v>
      </c>
      <c r="AT132" s="516"/>
      <c r="AU132" s="516"/>
      <c r="AV132" s="516"/>
      <c r="AW132" s="516"/>
      <c r="AX132" s="516"/>
      <c r="AY132" s="516"/>
      <c r="AZ132" s="522"/>
      <c r="BA132" s="522"/>
      <c r="BB132" s="522"/>
      <c r="BC132" s="522"/>
      <c r="BD132" s="522"/>
      <c r="BE132" s="522"/>
      <c r="BF132" s="522"/>
      <c r="BG132" s="522"/>
    </row>
    <row r="133" spans="1:59" x14ac:dyDescent="0.25">
      <c r="A133" s="338">
        <v>5621</v>
      </c>
      <c r="B133" s="485" t="s">
        <v>403</v>
      </c>
      <c r="C133" s="390">
        <v>1022471.12</v>
      </c>
      <c r="D133" s="390">
        <v>128981.38</v>
      </c>
      <c r="E133" s="388"/>
      <c r="F133" s="390">
        <v>0</v>
      </c>
      <c r="G133" s="390">
        <v>419399.6</v>
      </c>
      <c r="H133" s="390">
        <v>2787.6</v>
      </c>
      <c r="I133" s="390">
        <v>0</v>
      </c>
      <c r="J133" s="390">
        <v>69241.11</v>
      </c>
      <c r="K133" s="390">
        <v>28236.75</v>
      </c>
      <c r="L133" s="390">
        <v>321936.59999999998</v>
      </c>
      <c r="M133" s="331">
        <f t="shared" si="3"/>
        <v>1993054.1600000001</v>
      </c>
      <c r="N133" s="394">
        <v>292461.5</v>
      </c>
      <c r="O133" s="394">
        <v>0.2</v>
      </c>
      <c r="P133" s="394">
        <v>82032.5</v>
      </c>
      <c r="Q133" s="394">
        <v>4629.88</v>
      </c>
      <c r="R133" s="394">
        <v>34672.9</v>
      </c>
      <c r="S133" s="394"/>
      <c r="T133" s="394">
        <v>769.2</v>
      </c>
      <c r="U133" s="394">
        <v>3200</v>
      </c>
      <c r="V133" s="394"/>
      <c r="W133" s="394"/>
      <c r="X133" s="379">
        <v>50640.04</v>
      </c>
      <c r="Y133" s="460">
        <f t="shared" si="4"/>
        <v>2461460.3800000004</v>
      </c>
      <c r="Z133" s="395">
        <v>50862.15</v>
      </c>
      <c r="AA133" s="395"/>
      <c r="AB133" s="395">
        <v>226296.25</v>
      </c>
      <c r="AC133" s="395"/>
      <c r="AD133" s="395">
        <v>42922.75</v>
      </c>
      <c r="AE133" s="395">
        <v>90089.8</v>
      </c>
      <c r="AF133" s="395"/>
      <c r="AG133" s="395"/>
      <c r="AH133" s="395"/>
      <c r="AI133" s="395">
        <v>104065.3</v>
      </c>
      <c r="AJ133" s="395"/>
      <c r="AK133" s="395"/>
      <c r="AL133" s="452"/>
      <c r="AM133" s="460">
        <f t="shared" si="5"/>
        <v>514236.25</v>
      </c>
      <c r="AN133" s="395">
        <v>62</v>
      </c>
      <c r="AO133" s="398">
        <v>528</v>
      </c>
      <c r="AP133" s="455">
        <v>-9314.2800000000007</v>
      </c>
      <c r="AQ133" s="465"/>
      <c r="AR133" s="465">
        <v>-204.26</v>
      </c>
      <c r="AS133" s="470">
        <v>1.1000000000000001</v>
      </c>
      <c r="AT133" s="516"/>
      <c r="AU133" s="516"/>
      <c r="AV133" s="516"/>
      <c r="AW133" s="516"/>
      <c r="AX133" s="516"/>
      <c r="AY133" s="516"/>
      <c r="AZ133" s="522"/>
      <c r="BA133" s="522"/>
      <c r="BB133" s="522"/>
      <c r="BC133" s="522"/>
      <c r="BD133" s="522"/>
      <c r="BE133" s="522"/>
      <c r="BF133" s="522"/>
      <c r="BG133" s="522"/>
    </row>
    <row r="134" spans="1:59" x14ac:dyDescent="0.25">
      <c r="A134" s="338">
        <v>5622</v>
      </c>
      <c r="B134" s="485" t="s">
        <v>147</v>
      </c>
      <c r="C134" s="390">
        <v>1460371.93</v>
      </c>
      <c r="D134" s="390">
        <v>247561.17</v>
      </c>
      <c r="E134" s="388"/>
      <c r="F134" s="390">
        <v>0</v>
      </c>
      <c r="G134" s="390">
        <v>10945.85</v>
      </c>
      <c r="H134" s="390">
        <v>2624.95</v>
      </c>
      <c r="I134" s="390">
        <v>0</v>
      </c>
      <c r="J134" s="390">
        <v>14665.45</v>
      </c>
      <c r="K134" s="390">
        <v>3690.5</v>
      </c>
      <c r="L134" s="390">
        <v>151065.4</v>
      </c>
      <c r="M134" s="331">
        <f t="shared" si="3"/>
        <v>1890925.2499999998</v>
      </c>
      <c r="N134" s="394">
        <v>26810.25</v>
      </c>
      <c r="O134" s="394">
        <v>0</v>
      </c>
      <c r="P134" s="394">
        <v>54697.5</v>
      </c>
      <c r="Q134" s="394">
        <v>0</v>
      </c>
      <c r="R134" s="394">
        <v>39404.65</v>
      </c>
      <c r="S134" s="394"/>
      <c r="T134" s="394"/>
      <c r="U134" s="394">
        <v>2900</v>
      </c>
      <c r="V134" s="394"/>
      <c r="W134" s="394"/>
      <c r="X134" s="379">
        <v>1627.78</v>
      </c>
      <c r="Y134" s="460">
        <f t="shared" si="4"/>
        <v>2016365.4299999997</v>
      </c>
      <c r="Z134" s="395">
        <v>20333.75</v>
      </c>
      <c r="AA134" s="395"/>
      <c r="AB134" s="395">
        <v>132415.4</v>
      </c>
      <c r="AC134" s="395"/>
      <c r="AD134" s="395">
        <v>74098.75</v>
      </c>
      <c r="AE134" s="395">
        <v>18880</v>
      </c>
      <c r="AF134" s="395"/>
      <c r="AG134" s="395"/>
      <c r="AH134" s="395"/>
      <c r="AI134" s="395"/>
      <c r="AJ134" s="395"/>
      <c r="AK134" s="395"/>
      <c r="AL134" s="452"/>
      <c r="AM134" s="460">
        <f t="shared" si="5"/>
        <v>245727.9</v>
      </c>
      <c r="AN134" s="395">
        <v>68</v>
      </c>
      <c r="AO134" s="398">
        <v>583</v>
      </c>
      <c r="AP134" s="455">
        <v>-1602.49</v>
      </c>
      <c r="AQ134" s="465"/>
      <c r="AR134" s="465">
        <v>-332.81</v>
      </c>
      <c r="AS134" s="470">
        <v>1</v>
      </c>
      <c r="AT134" s="516"/>
      <c r="AU134" s="516"/>
      <c r="AV134" s="516"/>
      <c r="AW134" s="516"/>
      <c r="AX134" s="516"/>
      <c r="AY134" s="516"/>
      <c r="AZ134" s="522"/>
      <c r="BA134" s="522"/>
      <c r="BB134" s="522"/>
      <c r="BC134" s="522"/>
      <c r="BD134" s="522"/>
      <c r="BE134" s="522"/>
      <c r="BF134" s="522"/>
      <c r="BG134" s="522"/>
    </row>
    <row r="135" spans="1:59" x14ac:dyDescent="0.25">
      <c r="A135" s="338">
        <v>5623</v>
      </c>
      <c r="B135" s="485" t="s">
        <v>148</v>
      </c>
      <c r="C135" s="390">
        <v>3166423.62</v>
      </c>
      <c r="D135" s="390">
        <v>1287103</v>
      </c>
      <c r="E135" s="388"/>
      <c r="F135" s="390">
        <v>0</v>
      </c>
      <c r="G135" s="390">
        <v>-37222.6</v>
      </c>
      <c r="H135" s="390">
        <v>-10993.85</v>
      </c>
      <c r="I135" s="390">
        <v>172845.75</v>
      </c>
      <c r="J135" s="390">
        <v>55295.25</v>
      </c>
      <c r="K135" s="390">
        <v>-987</v>
      </c>
      <c r="L135" s="390">
        <v>353857.95</v>
      </c>
      <c r="M135" s="331">
        <f t="shared" ref="M135:M198" si="6">SUM(C135:L135)</f>
        <v>4986322.120000001</v>
      </c>
      <c r="N135" s="394">
        <v>2588.25</v>
      </c>
      <c r="O135" s="394">
        <v>0</v>
      </c>
      <c r="P135" s="394">
        <v>67045</v>
      </c>
      <c r="Q135" s="394">
        <v>14447.47</v>
      </c>
      <c r="R135" s="394">
        <v>181888.8</v>
      </c>
      <c r="S135" s="394"/>
      <c r="T135" s="394">
        <v>1150</v>
      </c>
      <c r="U135" s="394">
        <v>1562.5</v>
      </c>
      <c r="V135" s="394"/>
      <c r="W135" s="394"/>
      <c r="X135" s="379">
        <v>-5783.41</v>
      </c>
      <c r="Y135" s="460">
        <f t="shared" si="4"/>
        <v>5249220.7300000004</v>
      </c>
      <c r="Z135" s="395">
        <v>3248.3</v>
      </c>
      <c r="AA135" s="395"/>
      <c r="AB135" s="395">
        <v>152405.5</v>
      </c>
      <c r="AC135" s="395"/>
      <c r="AD135" s="395">
        <v>63374.95</v>
      </c>
      <c r="AE135" s="395">
        <v>194.2</v>
      </c>
      <c r="AF135" s="395">
        <v>1150</v>
      </c>
      <c r="AG135" s="395"/>
      <c r="AH135" s="395"/>
      <c r="AI135" s="395"/>
      <c r="AJ135" s="395"/>
      <c r="AK135" s="395"/>
      <c r="AL135" s="452"/>
      <c r="AM135" s="460">
        <f t="shared" si="5"/>
        <v>220372.95</v>
      </c>
      <c r="AN135" s="395">
        <v>52</v>
      </c>
      <c r="AO135" s="398">
        <v>686</v>
      </c>
      <c r="AP135" s="455">
        <v>-22779.51</v>
      </c>
      <c r="AQ135" s="465"/>
      <c r="AR135" s="465">
        <v>-63718.03</v>
      </c>
      <c r="AS135" s="470">
        <v>1</v>
      </c>
      <c r="AT135" s="516"/>
      <c r="AU135" s="516"/>
      <c r="AV135" s="516"/>
      <c r="AW135" s="516"/>
      <c r="AX135" s="516"/>
      <c r="AY135" s="516"/>
      <c r="AZ135" s="522"/>
      <c r="BA135" s="522"/>
      <c r="BB135" s="522"/>
      <c r="BC135" s="522"/>
      <c r="BD135" s="522"/>
      <c r="BE135" s="522"/>
      <c r="BF135" s="522"/>
      <c r="BG135" s="522"/>
    </row>
    <row r="136" spans="1:59" x14ac:dyDescent="0.25">
      <c r="A136" s="338">
        <v>5624</v>
      </c>
      <c r="B136" s="485" t="s">
        <v>439</v>
      </c>
      <c r="C136" s="390">
        <v>14540905.33</v>
      </c>
      <c r="D136" s="390">
        <v>1407611.75</v>
      </c>
      <c r="E136" s="388"/>
      <c r="F136" s="390">
        <v>0</v>
      </c>
      <c r="G136" s="390">
        <v>2591301.62</v>
      </c>
      <c r="H136" s="390">
        <v>157895.29999999999</v>
      </c>
      <c r="I136" s="390">
        <v>0</v>
      </c>
      <c r="J136" s="390">
        <v>827180.89</v>
      </c>
      <c r="K136" s="390">
        <v>388139.95</v>
      </c>
      <c r="L136" s="390">
        <v>2741244.25</v>
      </c>
      <c r="M136" s="331">
        <f t="shared" si="6"/>
        <v>22654279.09</v>
      </c>
      <c r="N136" s="394">
        <v>1067420.95</v>
      </c>
      <c r="O136" s="394">
        <v>5816</v>
      </c>
      <c r="P136" s="394">
        <v>1752239.15</v>
      </c>
      <c r="Q136" s="394">
        <v>23694.2</v>
      </c>
      <c r="R136" s="394">
        <v>1002009.7</v>
      </c>
      <c r="S136" s="394">
        <v>54167.65</v>
      </c>
      <c r="T136" s="394"/>
      <c r="U136" s="394">
        <v>32760</v>
      </c>
      <c r="V136" s="394"/>
      <c r="W136" s="394"/>
      <c r="X136" s="379">
        <v>329781.56</v>
      </c>
      <c r="Y136" s="460">
        <f t="shared" ref="Y136:Y199" si="7">SUM(M136:X136)</f>
        <v>26922168.299999993</v>
      </c>
      <c r="Z136" s="395"/>
      <c r="AA136" s="395">
        <v>6658.55</v>
      </c>
      <c r="AB136" s="395">
        <v>1384587.01</v>
      </c>
      <c r="AC136" s="395"/>
      <c r="AD136" s="395">
        <v>1062197.94</v>
      </c>
      <c r="AE136" s="395"/>
      <c r="AF136" s="395">
        <v>-101988.15</v>
      </c>
      <c r="AG136" s="395"/>
      <c r="AH136" s="395">
        <v>130904.7</v>
      </c>
      <c r="AI136" s="395">
        <v>493233.13</v>
      </c>
      <c r="AJ136" s="395"/>
      <c r="AK136" s="395"/>
      <c r="AL136" s="452">
        <v>492972.48</v>
      </c>
      <c r="AM136" s="460">
        <f t="shared" ref="AM136:AM199" si="8">SUM(Z136:AL136)</f>
        <v>3468565.66</v>
      </c>
      <c r="AN136" s="395">
        <v>62.5</v>
      </c>
      <c r="AO136" s="398">
        <v>9614</v>
      </c>
      <c r="AP136" s="455">
        <v>-467050.49</v>
      </c>
      <c r="AQ136" s="465"/>
      <c r="AR136" s="465">
        <v>-199.73</v>
      </c>
      <c r="AS136" s="470">
        <v>1.25</v>
      </c>
      <c r="AT136" s="516"/>
      <c r="AU136" s="516"/>
      <c r="AV136" s="516"/>
      <c r="AW136" s="516"/>
      <c r="AX136" s="516"/>
      <c r="AY136" s="516"/>
      <c r="AZ136" s="522"/>
      <c r="BA136" s="522"/>
      <c r="BB136" s="522"/>
      <c r="BC136" s="522"/>
      <c r="BD136" s="522"/>
      <c r="BE136" s="522"/>
      <c r="BF136" s="522"/>
      <c r="BG136" s="522"/>
    </row>
    <row r="137" spans="1:59" x14ac:dyDescent="0.25">
      <c r="A137" s="338">
        <v>5625</v>
      </c>
      <c r="B137" s="485" t="s">
        <v>300</v>
      </c>
      <c r="C137" s="390">
        <v>1048996.71</v>
      </c>
      <c r="D137" s="390">
        <v>164706.1</v>
      </c>
      <c r="E137" s="388"/>
      <c r="F137" s="390">
        <v>0</v>
      </c>
      <c r="G137" s="390">
        <v>16987.25</v>
      </c>
      <c r="H137" s="390">
        <v>1120.5</v>
      </c>
      <c r="I137" s="390">
        <v>0</v>
      </c>
      <c r="J137" s="390">
        <v>25906.17</v>
      </c>
      <c r="K137" s="390">
        <v>9282.5</v>
      </c>
      <c r="L137" s="390">
        <v>116322</v>
      </c>
      <c r="M137" s="331">
        <f t="shared" si="6"/>
        <v>1383321.23</v>
      </c>
      <c r="N137" s="394">
        <v>0</v>
      </c>
      <c r="O137" s="394">
        <v>0</v>
      </c>
      <c r="P137" s="394">
        <v>144952.45000000001</v>
      </c>
      <c r="Q137" s="394">
        <v>0</v>
      </c>
      <c r="R137" s="394">
        <v>43281.7</v>
      </c>
      <c r="S137" s="394"/>
      <c r="T137" s="394"/>
      <c r="U137" s="394">
        <v>1260</v>
      </c>
      <c r="V137" s="394"/>
      <c r="W137" s="394"/>
      <c r="X137" s="379">
        <v>2171.9699999999998</v>
      </c>
      <c r="Y137" s="460">
        <f t="shared" si="7"/>
        <v>1574987.3499999999</v>
      </c>
      <c r="Z137" s="395"/>
      <c r="AA137" s="395"/>
      <c r="AB137" s="395">
        <v>99311.6</v>
      </c>
      <c r="AC137" s="395"/>
      <c r="AD137" s="395">
        <v>37547.449999999997</v>
      </c>
      <c r="AE137" s="395"/>
      <c r="AF137" s="395"/>
      <c r="AG137" s="395"/>
      <c r="AH137" s="395"/>
      <c r="AI137" s="395"/>
      <c r="AJ137" s="395"/>
      <c r="AK137" s="395"/>
      <c r="AL137" s="452"/>
      <c r="AM137" s="460">
        <f t="shared" si="8"/>
        <v>136859.04999999999</v>
      </c>
      <c r="AN137" s="395">
        <v>77</v>
      </c>
      <c r="AO137" s="398">
        <v>404</v>
      </c>
      <c r="AP137" s="455">
        <v>-88.77</v>
      </c>
      <c r="AQ137" s="465"/>
      <c r="AR137" s="465">
        <v>0</v>
      </c>
      <c r="AS137" s="470">
        <v>1.2</v>
      </c>
      <c r="AT137" s="516"/>
      <c r="AU137" s="516"/>
      <c r="AV137" s="516"/>
      <c r="AW137" s="516"/>
      <c r="AX137" s="516"/>
      <c r="AY137" s="516"/>
      <c r="AZ137" s="522"/>
      <c r="BA137" s="522"/>
      <c r="BB137" s="522"/>
      <c r="BC137" s="522"/>
      <c r="BD137" s="522"/>
      <c r="BE137" s="522"/>
      <c r="BF137" s="522"/>
      <c r="BG137" s="522"/>
    </row>
    <row r="138" spans="1:59" x14ac:dyDescent="0.25">
      <c r="A138" s="338">
        <v>5627</v>
      </c>
      <c r="B138" s="485" t="s">
        <v>254</v>
      </c>
      <c r="C138" s="390">
        <v>10304498.880000001</v>
      </c>
      <c r="D138" s="390">
        <v>741408.26</v>
      </c>
      <c r="E138" s="388"/>
      <c r="F138" s="390">
        <v>0</v>
      </c>
      <c r="G138" s="390">
        <v>-507466</v>
      </c>
      <c r="H138" s="390">
        <v>168642.1</v>
      </c>
      <c r="I138" s="390">
        <v>0</v>
      </c>
      <c r="J138" s="390">
        <v>811299.64</v>
      </c>
      <c r="K138" s="390">
        <v>226072.5</v>
      </c>
      <c r="L138" s="390">
        <v>1626382.6</v>
      </c>
      <c r="M138" s="331">
        <f t="shared" si="6"/>
        <v>13370837.98</v>
      </c>
      <c r="N138" s="394">
        <v>351553.85</v>
      </c>
      <c r="O138" s="394">
        <v>26414.2</v>
      </c>
      <c r="P138" s="394">
        <v>663135.1</v>
      </c>
      <c r="Q138" s="394">
        <v>116725.81</v>
      </c>
      <c r="R138" s="394">
        <v>129165</v>
      </c>
      <c r="S138" s="394"/>
      <c r="T138" s="394">
        <v>59627.45</v>
      </c>
      <c r="U138" s="394">
        <v>32100</v>
      </c>
      <c r="V138" s="394"/>
      <c r="W138" s="394"/>
      <c r="X138" s="379">
        <v>-40640.870000000003</v>
      </c>
      <c r="Y138" s="460">
        <f t="shared" si="7"/>
        <v>14708918.52</v>
      </c>
      <c r="Z138" s="395">
        <v>38248.1</v>
      </c>
      <c r="AA138" s="395"/>
      <c r="AB138" s="395">
        <v>611524.6</v>
      </c>
      <c r="AC138" s="395"/>
      <c r="AD138" s="395">
        <v>481000.74</v>
      </c>
      <c r="AE138" s="395"/>
      <c r="AF138" s="395"/>
      <c r="AG138" s="395"/>
      <c r="AH138" s="395">
        <v>42467.19</v>
      </c>
      <c r="AI138" s="395"/>
      <c r="AJ138" s="395"/>
      <c r="AK138" s="395"/>
      <c r="AL138" s="452"/>
      <c r="AM138" s="460">
        <f t="shared" si="8"/>
        <v>1173240.6299999999</v>
      </c>
      <c r="AN138" s="395">
        <v>77.5</v>
      </c>
      <c r="AO138" s="398">
        <v>8487</v>
      </c>
      <c r="AP138" s="455">
        <v>-355491.9</v>
      </c>
      <c r="AQ138" s="465"/>
      <c r="AR138" s="465">
        <v>-1921.6</v>
      </c>
      <c r="AS138" s="470">
        <v>1.5</v>
      </c>
      <c r="AT138" s="516"/>
      <c r="AU138" s="516"/>
      <c r="AV138" s="516"/>
      <c r="AW138" s="516"/>
      <c r="AX138" s="516"/>
      <c r="AY138" s="516"/>
      <c r="AZ138" s="522"/>
      <c r="BA138" s="522"/>
      <c r="BB138" s="522"/>
      <c r="BC138" s="522"/>
      <c r="BD138" s="522"/>
      <c r="BE138" s="522"/>
      <c r="BF138" s="522"/>
      <c r="BG138" s="522"/>
    </row>
    <row r="139" spans="1:59" x14ac:dyDescent="0.25">
      <c r="A139" s="338">
        <v>5628</v>
      </c>
      <c r="B139" s="485" t="s">
        <v>255</v>
      </c>
      <c r="C139" s="390">
        <v>1368519.47</v>
      </c>
      <c r="D139" s="390">
        <v>0</v>
      </c>
      <c r="E139" s="388"/>
      <c r="F139" s="390">
        <v>0</v>
      </c>
      <c r="G139" s="390">
        <v>4818.1499999999996</v>
      </c>
      <c r="H139" s="390">
        <v>923.75</v>
      </c>
      <c r="I139" s="390">
        <v>0</v>
      </c>
      <c r="J139" s="390">
        <v>62499.47</v>
      </c>
      <c r="K139" s="390">
        <v>859.5</v>
      </c>
      <c r="L139" s="390">
        <v>99101.3</v>
      </c>
      <c r="M139" s="331">
        <f t="shared" si="6"/>
        <v>1536721.64</v>
      </c>
      <c r="N139" s="394">
        <v>9088.4500000000007</v>
      </c>
      <c r="O139" s="394">
        <v>0</v>
      </c>
      <c r="P139" s="394">
        <v>61502.9</v>
      </c>
      <c r="Q139" s="394">
        <v>0</v>
      </c>
      <c r="R139" s="394">
        <v>62570.9</v>
      </c>
      <c r="S139" s="394"/>
      <c r="T139" s="394"/>
      <c r="U139" s="394">
        <v>0</v>
      </c>
      <c r="V139" s="394"/>
      <c r="W139" s="394"/>
      <c r="X139" s="379">
        <v>688.72</v>
      </c>
      <c r="Y139" s="460">
        <f t="shared" si="7"/>
        <v>1670572.6099999996</v>
      </c>
      <c r="Z139" s="395">
        <v>12595.8</v>
      </c>
      <c r="AA139" s="395"/>
      <c r="AB139" s="395">
        <v>77738</v>
      </c>
      <c r="AC139" s="395"/>
      <c r="AD139" s="395">
        <v>29556.7</v>
      </c>
      <c r="AE139" s="395"/>
      <c r="AF139" s="395"/>
      <c r="AG139" s="395"/>
      <c r="AH139" s="395"/>
      <c r="AI139" s="395">
        <v>9122.85</v>
      </c>
      <c r="AJ139" s="395"/>
      <c r="AK139" s="395"/>
      <c r="AL139" s="452"/>
      <c r="AM139" s="460">
        <f t="shared" si="8"/>
        <v>129013.35</v>
      </c>
      <c r="AN139" s="395">
        <v>62</v>
      </c>
      <c r="AO139" s="398">
        <v>396</v>
      </c>
      <c r="AP139" s="455">
        <v>-10689.49</v>
      </c>
      <c r="AQ139" s="465"/>
      <c r="AR139" s="465">
        <v>0</v>
      </c>
      <c r="AS139" s="470">
        <v>1</v>
      </c>
      <c r="AT139" s="516"/>
      <c r="AU139" s="516"/>
      <c r="AV139" s="516"/>
      <c r="AW139" s="516"/>
      <c r="AX139" s="516"/>
      <c r="AY139" s="516"/>
      <c r="AZ139" s="522"/>
      <c r="BA139" s="522"/>
      <c r="BB139" s="522"/>
      <c r="BC139" s="522"/>
      <c r="BD139" s="522"/>
      <c r="BE139" s="522"/>
      <c r="BF139" s="522"/>
      <c r="BG139" s="522"/>
    </row>
    <row r="140" spans="1:59" x14ac:dyDescent="0.25">
      <c r="A140" s="338">
        <v>5629</v>
      </c>
      <c r="B140" s="485" t="s">
        <v>151</v>
      </c>
      <c r="C140" s="390">
        <v>537724.31999999995</v>
      </c>
      <c r="D140" s="390">
        <v>45029.75</v>
      </c>
      <c r="E140" s="388"/>
      <c r="F140" s="390">
        <v>0</v>
      </c>
      <c r="G140" s="390">
        <v>1804.15</v>
      </c>
      <c r="H140" s="390">
        <v>335.45</v>
      </c>
      <c r="I140" s="390">
        <v>0</v>
      </c>
      <c r="J140" s="390">
        <v>18243.009999999998</v>
      </c>
      <c r="K140" s="390">
        <v>715.55</v>
      </c>
      <c r="L140" s="390">
        <v>37549.25</v>
      </c>
      <c r="M140" s="331">
        <f t="shared" si="6"/>
        <v>641401.48</v>
      </c>
      <c r="N140" s="394">
        <v>0</v>
      </c>
      <c r="O140" s="394">
        <v>0</v>
      </c>
      <c r="P140" s="394">
        <v>2557.5</v>
      </c>
      <c r="Q140" s="394">
        <v>0</v>
      </c>
      <c r="R140" s="394">
        <v>1508.35</v>
      </c>
      <c r="S140" s="394"/>
      <c r="T140" s="394"/>
      <c r="U140" s="394">
        <v>1200</v>
      </c>
      <c r="V140" s="394"/>
      <c r="W140" s="394"/>
      <c r="X140" s="379">
        <v>256.64</v>
      </c>
      <c r="Y140" s="460">
        <f t="shared" si="7"/>
        <v>646923.97</v>
      </c>
      <c r="Z140" s="395"/>
      <c r="AA140" s="395"/>
      <c r="AB140" s="395">
        <v>40749.85</v>
      </c>
      <c r="AC140" s="395"/>
      <c r="AD140" s="395">
        <v>16142.8</v>
      </c>
      <c r="AE140" s="395"/>
      <c r="AF140" s="395"/>
      <c r="AG140" s="395"/>
      <c r="AH140" s="395"/>
      <c r="AI140" s="395"/>
      <c r="AJ140" s="395"/>
      <c r="AK140" s="395"/>
      <c r="AL140" s="452"/>
      <c r="AM140" s="460">
        <f t="shared" si="8"/>
        <v>56892.649999999994</v>
      </c>
      <c r="AN140" s="395">
        <v>73.5</v>
      </c>
      <c r="AO140" s="398">
        <v>201</v>
      </c>
      <c r="AP140" s="455">
        <v>-15345.52</v>
      </c>
      <c r="AQ140" s="465"/>
      <c r="AR140" s="465">
        <v>0</v>
      </c>
      <c r="AS140" s="470">
        <v>1</v>
      </c>
      <c r="AT140" s="516"/>
      <c r="AU140" s="516"/>
      <c r="AV140" s="516"/>
      <c r="AW140" s="516"/>
      <c r="AX140" s="516"/>
      <c r="AY140" s="516"/>
      <c r="AZ140" s="522"/>
      <c r="BA140" s="522"/>
      <c r="BB140" s="522"/>
      <c r="BC140" s="522"/>
      <c r="BD140" s="522"/>
      <c r="BE140" s="522"/>
      <c r="BF140" s="522"/>
      <c r="BG140" s="522"/>
    </row>
    <row r="141" spans="1:59" x14ac:dyDescent="0.25">
      <c r="A141" s="338">
        <v>5631</v>
      </c>
      <c r="B141" s="485" t="s">
        <v>152</v>
      </c>
      <c r="C141" s="390">
        <v>2172048.31</v>
      </c>
      <c r="D141" s="390">
        <v>441423.05</v>
      </c>
      <c r="E141" s="388"/>
      <c r="F141" s="390">
        <v>0</v>
      </c>
      <c r="G141" s="390">
        <v>34084.050000000003</v>
      </c>
      <c r="H141" s="390">
        <v>1414.7</v>
      </c>
      <c r="I141" s="390">
        <v>78240</v>
      </c>
      <c r="J141" s="390">
        <v>69432.86</v>
      </c>
      <c r="K141" s="390">
        <v>3267.65</v>
      </c>
      <c r="L141" s="390">
        <v>207013.45</v>
      </c>
      <c r="M141" s="331">
        <f t="shared" si="6"/>
        <v>3006924.07</v>
      </c>
      <c r="N141" s="394">
        <v>1561.75</v>
      </c>
      <c r="O141" s="394">
        <v>209452.6</v>
      </c>
      <c r="P141" s="394">
        <v>103772.75</v>
      </c>
      <c r="Q141" s="394">
        <v>0</v>
      </c>
      <c r="R141" s="394">
        <v>66947</v>
      </c>
      <c r="S141" s="394"/>
      <c r="T141" s="394"/>
      <c r="U141" s="394">
        <v>2662.5</v>
      </c>
      <c r="V141" s="394"/>
      <c r="W141" s="394"/>
      <c r="X141" s="379">
        <v>4257.96</v>
      </c>
      <c r="Y141" s="460">
        <f t="shared" si="7"/>
        <v>3395578.63</v>
      </c>
      <c r="Z141" s="395">
        <v>13094.85</v>
      </c>
      <c r="AA141" s="395"/>
      <c r="AB141" s="395">
        <v>137195.54999999999</v>
      </c>
      <c r="AC141" s="395"/>
      <c r="AD141" s="395">
        <v>57033.75</v>
      </c>
      <c r="AE141" s="395"/>
      <c r="AF141" s="395"/>
      <c r="AG141" s="395"/>
      <c r="AH141" s="395"/>
      <c r="AI141" s="395"/>
      <c r="AJ141" s="395"/>
      <c r="AK141" s="395"/>
      <c r="AL141" s="452"/>
      <c r="AM141" s="460">
        <f t="shared" si="8"/>
        <v>207324.15</v>
      </c>
      <c r="AN141" s="395">
        <v>68</v>
      </c>
      <c r="AO141" s="398">
        <v>742</v>
      </c>
      <c r="AP141" s="455">
        <v>-45226</v>
      </c>
      <c r="AQ141" s="465"/>
      <c r="AR141" s="465">
        <v>-11006.35</v>
      </c>
      <c r="AS141" s="470">
        <v>1</v>
      </c>
      <c r="AT141" s="516"/>
      <c r="AU141" s="516"/>
      <c r="AV141" s="516"/>
      <c r="AW141" s="516"/>
      <c r="AX141" s="516"/>
      <c r="AY141" s="516"/>
      <c r="AZ141" s="522"/>
      <c r="BA141" s="522"/>
      <c r="BB141" s="522"/>
      <c r="BC141" s="522"/>
      <c r="BD141" s="522"/>
      <c r="BE141" s="522"/>
      <c r="BF141" s="522"/>
      <c r="BG141" s="522"/>
    </row>
    <row r="142" spans="1:59" x14ac:dyDescent="0.25">
      <c r="A142" s="338">
        <v>5632</v>
      </c>
      <c r="B142" s="485" t="s">
        <v>153</v>
      </c>
      <c r="C142" s="390">
        <v>3320177.82</v>
      </c>
      <c r="D142" s="390">
        <v>628662.04</v>
      </c>
      <c r="E142" s="388"/>
      <c r="F142" s="390">
        <v>0</v>
      </c>
      <c r="G142" s="390">
        <v>208779.05</v>
      </c>
      <c r="H142" s="390">
        <v>14689.65</v>
      </c>
      <c r="I142" s="390">
        <v>0</v>
      </c>
      <c r="J142" s="390">
        <v>210458.31</v>
      </c>
      <c r="K142" s="390">
        <v>23646.6</v>
      </c>
      <c r="L142" s="390">
        <v>348972.1</v>
      </c>
      <c r="M142" s="331">
        <f t="shared" si="6"/>
        <v>4755385.5699999984</v>
      </c>
      <c r="N142" s="394">
        <v>74620.800000000003</v>
      </c>
      <c r="O142" s="394">
        <v>0</v>
      </c>
      <c r="P142" s="394">
        <v>285035.40000000002</v>
      </c>
      <c r="Q142" s="394">
        <v>4195.5</v>
      </c>
      <c r="R142" s="394">
        <v>95165.3</v>
      </c>
      <c r="S142" s="394"/>
      <c r="T142" s="394">
        <v>100</v>
      </c>
      <c r="U142" s="394">
        <v>4600</v>
      </c>
      <c r="V142" s="394"/>
      <c r="W142" s="394"/>
      <c r="X142" s="379">
        <v>26804.28</v>
      </c>
      <c r="Y142" s="460">
        <f t="shared" si="7"/>
        <v>5245906.8499999987</v>
      </c>
      <c r="Z142" s="395">
        <v>-10825.4</v>
      </c>
      <c r="AA142" s="395">
        <v>944.5</v>
      </c>
      <c r="AB142" s="395">
        <v>227849.85</v>
      </c>
      <c r="AC142" s="395">
        <v>73845.3</v>
      </c>
      <c r="AD142" s="395">
        <v>116811.1</v>
      </c>
      <c r="AE142" s="395"/>
      <c r="AF142" s="395"/>
      <c r="AG142" s="395"/>
      <c r="AH142" s="395"/>
      <c r="AI142" s="395">
        <v>48052.9</v>
      </c>
      <c r="AJ142" s="395"/>
      <c r="AK142" s="395"/>
      <c r="AL142" s="452"/>
      <c r="AM142" s="460">
        <f t="shared" si="8"/>
        <v>456678.25</v>
      </c>
      <c r="AN142" s="395">
        <v>62</v>
      </c>
      <c r="AO142" s="398">
        <v>1730</v>
      </c>
      <c r="AP142" s="455">
        <v>-43095.32</v>
      </c>
      <c r="AQ142" s="465"/>
      <c r="AR142" s="465">
        <v>-1532.09</v>
      </c>
      <c r="AS142" s="470">
        <v>1</v>
      </c>
      <c r="AT142" s="516"/>
      <c r="AU142" s="516"/>
      <c r="AV142" s="516"/>
      <c r="AW142" s="516"/>
      <c r="AX142" s="516"/>
      <c r="AY142" s="516"/>
      <c r="AZ142" s="522"/>
      <c r="BA142" s="522"/>
      <c r="BB142" s="522"/>
      <c r="BC142" s="522"/>
      <c r="BD142" s="522"/>
      <c r="BE142" s="522"/>
      <c r="BF142" s="522"/>
      <c r="BG142" s="522"/>
    </row>
    <row r="143" spans="1:59" x14ac:dyDescent="0.25">
      <c r="A143" s="338">
        <v>5633</v>
      </c>
      <c r="B143" s="485" t="s">
        <v>154</v>
      </c>
      <c r="C143" s="390">
        <v>6091931.9000000004</v>
      </c>
      <c r="D143" s="390">
        <v>1493796.8</v>
      </c>
      <c r="E143" s="388"/>
      <c r="F143" s="390">
        <v>0</v>
      </c>
      <c r="G143" s="390">
        <v>383187.35</v>
      </c>
      <c r="H143" s="390">
        <v>103637.4</v>
      </c>
      <c r="I143" s="390">
        <v>0</v>
      </c>
      <c r="J143" s="390">
        <v>204276.94</v>
      </c>
      <c r="K143" s="390">
        <v>32221.7</v>
      </c>
      <c r="L143" s="390">
        <v>654603.94999999995</v>
      </c>
      <c r="M143" s="331">
        <f t="shared" si="6"/>
        <v>8963656.040000001</v>
      </c>
      <c r="N143" s="394">
        <v>197742.25</v>
      </c>
      <c r="O143" s="394">
        <v>442498.3</v>
      </c>
      <c r="P143" s="394">
        <v>530269.5</v>
      </c>
      <c r="Q143" s="394">
        <v>2267.2600000000002</v>
      </c>
      <c r="R143" s="394">
        <v>476944.2</v>
      </c>
      <c r="S143" s="394"/>
      <c r="T143" s="394">
        <v>11323</v>
      </c>
      <c r="U143" s="394">
        <v>8700</v>
      </c>
      <c r="V143" s="394"/>
      <c r="W143" s="394"/>
      <c r="X143" s="379">
        <v>58393.11</v>
      </c>
      <c r="Y143" s="460">
        <f t="shared" si="7"/>
        <v>10691793.66</v>
      </c>
      <c r="Z143" s="395">
        <v>388149.26</v>
      </c>
      <c r="AA143" s="395"/>
      <c r="AB143" s="395">
        <v>496678.37</v>
      </c>
      <c r="AC143" s="395"/>
      <c r="AD143" s="395">
        <v>204986.48</v>
      </c>
      <c r="AE143" s="395"/>
      <c r="AF143" s="395"/>
      <c r="AG143" s="395"/>
      <c r="AH143" s="395"/>
      <c r="AI143" s="395"/>
      <c r="AJ143" s="395"/>
      <c r="AK143" s="395"/>
      <c r="AL143" s="452"/>
      <c r="AM143" s="460">
        <f t="shared" si="8"/>
        <v>1089814.1100000001</v>
      </c>
      <c r="AN143" s="395">
        <v>60.5</v>
      </c>
      <c r="AO143" s="398">
        <v>2743</v>
      </c>
      <c r="AP143" s="455">
        <v>-40672.81</v>
      </c>
      <c r="AQ143" s="465"/>
      <c r="AR143" s="465">
        <v>0</v>
      </c>
      <c r="AS143" s="470">
        <v>1</v>
      </c>
      <c r="AT143" s="516"/>
      <c r="AU143" s="516"/>
      <c r="AV143" s="516"/>
      <c r="AW143" s="516"/>
      <c r="AX143" s="516"/>
      <c r="AY143" s="516"/>
      <c r="AZ143" s="522"/>
      <c r="BA143" s="522"/>
      <c r="BB143" s="522"/>
      <c r="BC143" s="522"/>
      <c r="BD143" s="522"/>
      <c r="BE143" s="522"/>
      <c r="BF143" s="522"/>
      <c r="BG143" s="522"/>
    </row>
    <row r="144" spans="1:59" x14ac:dyDescent="0.25">
      <c r="A144" s="338">
        <v>5634</v>
      </c>
      <c r="B144" s="485" t="s">
        <v>155</v>
      </c>
      <c r="C144" s="390">
        <v>8120857.5800000001</v>
      </c>
      <c r="D144" s="390">
        <v>1419864.32</v>
      </c>
      <c r="E144" s="388"/>
      <c r="F144" s="390">
        <v>0</v>
      </c>
      <c r="G144" s="390">
        <v>330941.15000000002</v>
      </c>
      <c r="H144" s="390">
        <v>18026.2</v>
      </c>
      <c r="I144" s="390">
        <v>79996.100000000006</v>
      </c>
      <c r="J144" s="390">
        <v>114182.63</v>
      </c>
      <c r="K144" s="390">
        <v>30661.9</v>
      </c>
      <c r="L144" s="390">
        <v>717057.2</v>
      </c>
      <c r="M144" s="331">
        <f t="shared" si="6"/>
        <v>10831587.08</v>
      </c>
      <c r="N144" s="394">
        <v>34427.1</v>
      </c>
      <c r="O144" s="394">
        <v>110134.1</v>
      </c>
      <c r="P144" s="394">
        <v>419119.95</v>
      </c>
      <c r="Q144" s="394">
        <v>-22414.37</v>
      </c>
      <c r="R144" s="394">
        <v>301776.34999999998</v>
      </c>
      <c r="S144" s="394">
        <v>1047.5</v>
      </c>
      <c r="T144" s="394"/>
      <c r="U144" s="394">
        <v>8200</v>
      </c>
      <c r="V144" s="394"/>
      <c r="W144" s="394"/>
      <c r="X144" s="379">
        <v>41857.550000000003</v>
      </c>
      <c r="Y144" s="460">
        <f t="shared" si="7"/>
        <v>11725735.26</v>
      </c>
      <c r="Z144" s="395">
        <v>157144.54999999999</v>
      </c>
      <c r="AA144" s="395"/>
      <c r="AB144" s="395">
        <v>351058.2</v>
      </c>
      <c r="AC144" s="395"/>
      <c r="AD144" s="395">
        <v>216526.9</v>
      </c>
      <c r="AE144" s="395">
        <v>127331.05</v>
      </c>
      <c r="AF144" s="395"/>
      <c r="AG144" s="395"/>
      <c r="AH144" s="395"/>
      <c r="AI144" s="395"/>
      <c r="AJ144" s="395"/>
      <c r="AK144" s="395"/>
      <c r="AL144" s="452"/>
      <c r="AM144" s="460">
        <f t="shared" si="8"/>
        <v>852060.70000000007</v>
      </c>
      <c r="AN144" s="395">
        <v>66</v>
      </c>
      <c r="AO144" s="398">
        <v>3127</v>
      </c>
      <c r="AP144" s="455">
        <v>1122.06</v>
      </c>
      <c r="AQ144" s="465"/>
      <c r="AR144" s="465">
        <v>-16430.84</v>
      </c>
      <c r="AS144" s="470">
        <v>1</v>
      </c>
      <c r="AT144" s="516"/>
      <c r="AU144" s="516"/>
      <c r="AV144" s="516"/>
      <c r="AW144" s="516"/>
      <c r="AX144" s="516"/>
      <c r="AY144" s="516"/>
      <c r="AZ144" s="522"/>
      <c r="BA144" s="522"/>
      <c r="BB144" s="522"/>
      <c r="BC144" s="522"/>
      <c r="BD144" s="522"/>
      <c r="BE144" s="522"/>
      <c r="BF144" s="522"/>
      <c r="BG144" s="522"/>
    </row>
    <row r="145" spans="1:112" x14ac:dyDescent="0.25">
      <c r="A145" s="338">
        <v>5635</v>
      </c>
      <c r="B145" s="485" t="s">
        <v>156</v>
      </c>
      <c r="C145" s="390">
        <v>19560873.640000001</v>
      </c>
      <c r="D145" s="390">
        <v>2401276.71</v>
      </c>
      <c r="E145" s="388"/>
      <c r="F145" s="390">
        <v>0</v>
      </c>
      <c r="G145" s="390">
        <v>14005278</v>
      </c>
      <c r="H145" s="390">
        <v>806592.7</v>
      </c>
      <c r="I145" s="390">
        <v>0</v>
      </c>
      <c r="J145" s="390">
        <v>1749282.28</v>
      </c>
      <c r="K145" s="390">
        <v>453708.3</v>
      </c>
      <c r="L145" s="390">
        <v>2909270.35</v>
      </c>
      <c r="M145" s="331">
        <f t="shared" si="6"/>
        <v>41886281.980000004</v>
      </c>
      <c r="N145" s="394">
        <v>2487367.85</v>
      </c>
      <c r="O145" s="394">
        <v>328899.90000000002</v>
      </c>
      <c r="P145" s="394">
        <v>1907493.5</v>
      </c>
      <c r="Q145" s="394">
        <v>76637.2</v>
      </c>
      <c r="R145" s="394">
        <v>676244.1</v>
      </c>
      <c r="S145" s="394"/>
      <c r="T145" s="394">
        <v>69925</v>
      </c>
      <c r="U145" s="394">
        <v>46000</v>
      </c>
      <c r="V145" s="394">
        <v>17115.7</v>
      </c>
      <c r="W145" s="394"/>
      <c r="X145" s="379">
        <v>1776637.74</v>
      </c>
      <c r="Y145" s="460">
        <f t="shared" si="7"/>
        <v>49272602.970000014</v>
      </c>
      <c r="Z145" s="395">
        <v>133980</v>
      </c>
      <c r="AA145" s="395"/>
      <c r="AB145" s="395">
        <v>1342645.48</v>
      </c>
      <c r="AC145" s="395"/>
      <c r="AD145" s="395">
        <v>1353185.7</v>
      </c>
      <c r="AE145" s="395"/>
      <c r="AF145" s="395"/>
      <c r="AG145" s="395"/>
      <c r="AH145" s="395">
        <v>404257.3</v>
      </c>
      <c r="AI145" s="395">
        <v>1045958.65</v>
      </c>
      <c r="AJ145" s="395">
        <v>373556.5</v>
      </c>
      <c r="AK145" s="395"/>
      <c r="AL145" s="452">
        <v>272465.3</v>
      </c>
      <c r="AM145" s="460">
        <f t="shared" si="8"/>
        <v>4926048.93</v>
      </c>
      <c r="AN145" s="395">
        <v>62.5</v>
      </c>
      <c r="AO145" s="398">
        <v>13164</v>
      </c>
      <c r="AP145" s="455">
        <v>-620064.99</v>
      </c>
      <c r="AQ145" s="465"/>
      <c r="AR145" s="465">
        <v>-25901.47</v>
      </c>
      <c r="AS145" s="470">
        <v>1.2</v>
      </c>
      <c r="AT145" s="516"/>
      <c r="AU145" s="516"/>
      <c r="AV145" s="516"/>
      <c r="AW145" s="516"/>
      <c r="AX145" s="516"/>
      <c r="AY145" s="516"/>
      <c r="AZ145" s="522"/>
      <c r="BA145" s="522"/>
      <c r="BB145" s="522"/>
      <c r="BC145" s="522"/>
      <c r="BD145" s="522"/>
      <c r="BE145" s="522"/>
      <c r="BF145" s="522"/>
      <c r="BG145" s="522"/>
    </row>
    <row r="146" spans="1:112" x14ac:dyDescent="0.25">
      <c r="A146" s="338">
        <v>5636</v>
      </c>
      <c r="B146" s="485" t="s">
        <v>157</v>
      </c>
      <c r="C146" s="390">
        <v>5896847.8300000001</v>
      </c>
      <c r="D146" s="390">
        <v>961158.63</v>
      </c>
      <c r="E146" s="388"/>
      <c r="F146" s="390">
        <v>0</v>
      </c>
      <c r="G146" s="390">
        <v>1252000.3500000001</v>
      </c>
      <c r="H146" s="390">
        <v>207905.95</v>
      </c>
      <c r="I146" s="390">
        <v>0</v>
      </c>
      <c r="J146" s="390">
        <v>357527.27</v>
      </c>
      <c r="K146" s="390">
        <v>284447.09999999998</v>
      </c>
      <c r="L146" s="390">
        <v>1189901.8500000001</v>
      </c>
      <c r="M146" s="331">
        <f t="shared" si="6"/>
        <v>10149788.98</v>
      </c>
      <c r="N146" s="394">
        <v>619311.94999999995</v>
      </c>
      <c r="O146" s="394">
        <v>211610.6</v>
      </c>
      <c r="P146" s="394">
        <v>400593</v>
      </c>
      <c r="Q146" s="394">
        <v>728.49</v>
      </c>
      <c r="R146" s="394">
        <v>366210.85</v>
      </c>
      <c r="S146" s="394"/>
      <c r="T146" s="394">
        <v>32470.45</v>
      </c>
      <c r="U146" s="394">
        <v>8025</v>
      </c>
      <c r="V146" s="394"/>
      <c r="W146" s="394"/>
      <c r="X146" s="379">
        <v>175111.21</v>
      </c>
      <c r="Y146" s="460">
        <f t="shared" si="7"/>
        <v>11963850.529999999</v>
      </c>
      <c r="Z146" s="395">
        <v>236626.75</v>
      </c>
      <c r="AA146" s="395"/>
      <c r="AB146" s="395">
        <v>269422.15000000002</v>
      </c>
      <c r="AC146" s="395"/>
      <c r="AD146" s="395">
        <v>119693.4</v>
      </c>
      <c r="AE146" s="395">
        <v>236728.9</v>
      </c>
      <c r="AF146" s="395"/>
      <c r="AG146" s="395"/>
      <c r="AH146" s="395"/>
      <c r="AI146" s="395">
        <v>152305.1</v>
      </c>
      <c r="AJ146" s="395"/>
      <c r="AK146" s="395"/>
      <c r="AL146" s="452"/>
      <c r="AM146" s="460">
        <f t="shared" si="8"/>
        <v>1014776.3</v>
      </c>
      <c r="AN146" s="395">
        <v>60</v>
      </c>
      <c r="AO146" s="398">
        <v>2909</v>
      </c>
      <c r="AP146" s="455">
        <v>-79322.78</v>
      </c>
      <c r="AQ146" s="465"/>
      <c r="AR146" s="465">
        <v>-3378.24</v>
      </c>
      <c r="AS146" s="470">
        <v>1</v>
      </c>
      <c r="AT146" s="516"/>
      <c r="AU146" s="516"/>
      <c r="AV146" s="516"/>
      <c r="AW146" s="516"/>
      <c r="AX146" s="516"/>
      <c r="AY146" s="516"/>
      <c r="AZ146" s="522"/>
      <c r="BA146" s="522"/>
      <c r="BB146" s="522"/>
      <c r="BC146" s="522"/>
      <c r="BD146" s="522"/>
      <c r="BE146" s="522"/>
      <c r="BF146" s="522"/>
      <c r="BG146" s="522"/>
    </row>
    <row r="147" spans="1:112" x14ac:dyDescent="0.25">
      <c r="A147" s="338">
        <v>5637</v>
      </c>
      <c r="B147" s="485" t="s">
        <v>158</v>
      </c>
      <c r="C147" s="390">
        <v>2534331.83</v>
      </c>
      <c r="D147" s="390">
        <v>215880.28</v>
      </c>
      <c r="E147" s="388"/>
      <c r="F147" s="390">
        <v>0</v>
      </c>
      <c r="G147" s="390">
        <v>11469.8</v>
      </c>
      <c r="H147" s="390">
        <v>583.35</v>
      </c>
      <c r="I147" s="390">
        <v>0</v>
      </c>
      <c r="J147" s="390">
        <v>75916.59</v>
      </c>
      <c r="K147" s="390">
        <v>5748.85</v>
      </c>
      <c r="L147" s="390">
        <v>289953.59999999998</v>
      </c>
      <c r="M147" s="331">
        <f t="shared" si="6"/>
        <v>3133884.3</v>
      </c>
      <c r="N147" s="394">
        <v>222888.05</v>
      </c>
      <c r="O147" s="394">
        <v>9743.7999999999993</v>
      </c>
      <c r="P147" s="394">
        <v>111469.3</v>
      </c>
      <c r="Q147" s="394">
        <v>2396.9899999999998</v>
      </c>
      <c r="R147" s="394">
        <v>102752.3</v>
      </c>
      <c r="S147" s="394"/>
      <c r="T147" s="394">
        <v>933.1</v>
      </c>
      <c r="U147" s="394">
        <v>4160</v>
      </c>
      <c r="V147" s="394"/>
      <c r="W147" s="394"/>
      <c r="X147" s="379">
        <v>1445.74</v>
      </c>
      <c r="Y147" s="460">
        <f t="shared" si="7"/>
        <v>3589673.5799999996</v>
      </c>
      <c r="Z147" s="395">
        <v>36922.949999999997</v>
      </c>
      <c r="AA147" s="395"/>
      <c r="AB147" s="395">
        <v>181410</v>
      </c>
      <c r="AC147" s="395"/>
      <c r="AD147" s="395">
        <v>61467.15</v>
      </c>
      <c r="AE147" s="395">
        <v>37399.800000000003</v>
      </c>
      <c r="AF147" s="395"/>
      <c r="AG147" s="395"/>
      <c r="AH147" s="395"/>
      <c r="AI147" s="395">
        <v>36424.199999999997</v>
      </c>
      <c r="AJ147" s="395"/>
      <c r="AK147" s="395"/>
      <c r="AL147" s="452"/>
      <c r="AM147" s="460">
        <f t="shared" si="8"/>
        <v>353624.10000000003</v>
      </c>
      <c r="AN147" s="395">
        <v>73</v>
      </c>
      <c r="AO147" s="398">
        <v>1008</v>
      </c>
      <c r="AP147" s="455">
        <v>-32228.12</v>
      </c>
      <c r="AQ147" s="465"/>
      <c r="AR147" s="465">
        <v>-1637.58</v>
      </c>
      <c r="AS147" s="470">
        <v>1.5</v>
      </c>
      <c r="AT147" s="516"/>
      <c r="AU147" s="516"/>
      <c r="AV147" s="516"/>
      <c r="AW147" s="516"/>
      <c r="AX147" s="516"/>
      <c r="AY147" s="516"/>
      <c r="AZ147" s="522"/>
      <c r="BA147" s="522"/>
      <c r="BB147" s="522"/>
      <c r="BC147" s="522"/>
      <c r="BD147" s="522"/>
      <c r="BE147" s="522"/>
      <c r="BF147" s="522"/>
      <c r="BG147" s="522"/>
    </row>
    <row r="148" spans="1:112" x14ac:dyDescent="0.25">
      <c r="A148" s="338">
        <v>5638</v>
      </c>
      <c r="B148" s="485" t="s">
        <v>159</v>
      </c>
      <c r="C148" s="390">
        <v>5413937.4900000002</v>
      </c>
      <c r="D148" s="390">
        <v>1398789.75</v>
      </c>
      <c r="E148" s="388"/>
      <c r="F148" s="390">
        <v>0</v>
      </c>
      <c r="G148" s="390">
        <v>6296.1</v>
      </c>
      <c r="H148" s="390">
        <v>39576</v>
      </c>
      <c r="I148" s="390">
        <v>317203.75</v>
      </c>
      <c r="J148" s="390">
        <v>128647.64</v>
      </c>
      <c r="K148" s="390">
        <v>64583.25</v>
      </c>
      <c r="L148" s="390">
        <v>678102.1</v>
      </c>
      <c r="M148" s="331">
        <f t="shared" si="6"/>
        <v>8047136.0799999991</v>
      </c>
      <c r="N148" s="394">
        <v>290954.15000000002</v>
      </c>
      <c r="O148" s="394">
        <v>1585561.3</v>
      </c>
      <c r="P148" s="394">
        <v>317299.65000000002</v>
      </c>
      <c r="Q148" s="394">
        <v>17148.830000000002</v>
      </c>
      <c r="R148" s="394">
        <v>218303.75</v>
      </c>
      <c r="S148" s="394">
        <v>150</v>
      </c>
      <c r="T148" s="394">
        <v>8560.1</v>
      </c>
      <c r="U148" s="394">
        <v>13800</v>
      </c>
      <c r="V148" s="394"/>
      <c r="W148" s="394"/>
      <c r="X148" s="379">
        <v>5502.22</v>
      </c>
      <c r="Y148" s="460">
        <f t="shared" si="7"/>
        <v>10504416.08</v>
      </c>
      <c r="Z148" s="395">
        <v>343792.3</v>
      </c>
      <c r="AA148" s="395"/>
      <c r="AB148" s="395">
        <v>2078.4</v>
      </c>
      <c r="AC148" s="395">
        <v>468344.4</v>
      </c>
      <c r="AD148" s="395">
        <v>323169.90000000002</v>
      </c>
      <c r="AE148" s="395"/>
      <c r="AF148" s="395"/>
      <c r="AG148" s="395"/>
      <c r="AH148" s="395"/>
      <c r="AI148" s="395"/>
      <c r="AJ148" s="395"/>
      <c r="AK148" s="395"/>
      <c r="AL148" s="452"/>
      <c r="AM148" s="460">
        <f t="shared" si="8"/>
        <v>1137385</v>
      </c>
      <c r="AN148" s="395">
        <v>55</v>
      </c>
      <c r="AO148" s="398">
        <v>2679</v>
      </c>
      <c r="AP148" s="455">
        <v>-53189.35</v>
      </c>
      <c r="AQ148" s="465"/>
      <c r="AR148" s="465">
        <v>-14646.69</v>
      </c>
      <c r="AS148" s="470">
        <v>1</v>
      </c>
      <c r="AT148" s="516"/>
      <c r="AU148" s="516"/>
      <c r="AV148" s="516"/>
      <c r="AW148" s="516"/>
      <c r="AX148" s="516"/>
      <c r="AY148" s="516"/>
      <c r="AZ148" s="522"/>
      <c r="BA148" s="522"/>
      <c r="BB148" s="522"/>
      <c r="BC148" s="522"/>
      <c r="BD148" s="522"/>
      <c r="BE148" s="522"/>
      <c r="BF148" s="522"/>
      <c r="BG148" s="522"/>
    </row>
    <row r="149" spans="1:112" x14ac:dyDescent="0.25">
      <c r="A149" s="338">
        <v>5639</v>
      </c>
      <c r="B149" s="485" t="s">
        <v>160</v>
      </c>
      <c r="C149" s="390">
        <v>2141205.88</v>
      </c>
      <c r="D149" s="390">
        <v>510646.95</v>
      </c>
      <c r="E149" s="388"/>
      <c r="F149" s="390">
        <v>0</v>
      </c>
      <c r="G149" s="390">
        <v>-61349.1</v>
      </c>
      <c r="H149" s="390">
        <v>3361.6</v>
      </c>
      <c r="I149" s="390">
        <v>0</v>
      </c>
      <c r="J149" s="390">
        <v>9023.2800000000007</v>
      </c>
      <c r="K149" s="390">
        <v>-8250.15</v>
      </c>
      <c r="L149" s="390">
        <v>257092.2</v>
      </c>
      <c r="M149" s="331">
        <f t="shared" si="6"/>
        <v>2851730.66</v>
      </c>
      <c r="N149" s="394">
        <v>15484.7</v>
      </c>
      <c r="O149" s="394">
        <v>3045.2</v>
      </c>
      <c r="P149" s="394">
        <v>129002.9</v>
      </c>
      <c r="Q149" s="394">
        <v>669.49</v>
      </c>
      <c r="R149" s="394">
        <v>20303.5</v>
      </c>
      <c r="S149" s="394"/>
      <c r="T149" s="394">
        <v>194.5</v>
      </c>
      <c r="U149" s="394">
        <v>2325</v>
      </c>
      <c r="V149" s="394"/>
      <c r="W149" s="394"/>
      <c r="X149" s="379">
        <v>-6955.42</v>
      </c>
      <c r="Y149" s="460">
        <f t="shared" si="7"/>
        <v>3015800.5300000007</v>
      </c>
      <c r="Z149" s="395">
        <v>-3219.4</v>
      </c>
      <c r="AA149" s="395"/>
      <c r="AB149" s="395">
        <v>120271</v>
      </c>
      <c r="AC149" s="395"/>
      <c r="AD149" s="395">
        <v>64266.7</v>
      </c>
      <c r="AE149" s="395"/>
      <c r="AF149" s="395"/>
      <c r="AG149" s="395"/>
      <c r="AH149" s="395"/>
      <c r="AI149" s="395"/>
      <c r="AJ149" s="395"/>
      <c r="AK149" s="395"/>
      <c r="AL149" s="452"/>
      <c r="AM149" s="460">
        <f t="shared" si="8"/>
        <v>181318.3</v>
      </c>
      <c r="AN149" s="395">
        <v>61</v>
      </c>
      <c r="AO149" s="398">
        <v>825</v>
      </c>
      <c r="AP149" s="455">
        <v>-11017.54</v>
      </c>
      <c r="AQ149" s="465"/>
      <c r="AR149" s="465">
        <v>0</v>
      </c>
      <c r="AS149" s="470">
        <v>1.25</v>
      </c>
      <c r="AT149" s="516"/>
      <c r="AU149" s="516"/>
      <c r="AV149" s="516"/>
      <c r="AW149" s="516"/>
      <c r="AX149" s="516"/>
      <c r="AY149" s="516"/>
      <c r="AZ149" s="522"/>
      <c r="BA149" s="522"/>
      <c r="BB149" s="522"/>
      <c r="BC149" s="522"/>
      <c r="BD149" s="522"/>
      <c r="BE149" s="522"/>
      <c r="BF149" s="522"/>
      <c r="BG149" s="522"/>
    </row>
    <row r="150" spans="1:112" x14ac:dyDescent="0.25">
      <c r="A150" s="338">
        <v>5640</v>
      </c>
      <c r="B150" s="485" t="s">
        <v>161</v>
      </c>
      <c r="C150" s="390">
        <v>2832777.84</v>
      </c>
      <c r="D150" s="390">
        <v>557058.31000000006</v>
      </c>
      <c r="E150" s="388"/>
      <c r="F150" s="390">
        <v>0</v>
      </c>
      <c r="G150" s="390">
        <v>20319.099999999999</v>
      </c>
      <c r="H150" s="390">
        <v>6040.6</v>
      </c>
      <c r="I150" s="390">
        <v>123554.25</v>
      </c>
      <c r="J150" s="390">
        <v>23735.61</v>
      </c>
      <c r="K150" s="390">
        <v>3322.35</v>
      </c>
      <c r="L150" s="390">
        <v>200088.65</v>
      </c>
      <c r="M150" s="331">
        <f t="shared" si="6"/>
        <v>3766896.71</v>
      </c>
      <c r="N150" s="394">
        <v>14468.85</v>
      </c>
      <c r="O150" s="394">
        <v>73401.600000000006</v>
      </c>
      <c r="P150" s="394">
        <v>158128.6</v>
      </c>
      <c r="Q150" s="394">
        <v>123.98</v>
      </c>
      <c r="R150" s="394">
        <v>111804.6</v>
      </c>
      <c r="S150" s="394"/>
      <c r="T150" s="394"/>
      <c r="U150" s="394">
        <v>3500</v>
      </c>
      <c r="V150" s="394"/>
      <c r="W150" s="394"/>
      <c r="X150" s="379">
        <v>3161.76</v>
      </c>
      <c r="Y150" s="460">
        <f t="shared" si="7"/>
        <v>4131486.1</v>
      </c>
      <c r="Z150" s="395">
        <v>21320.6</v>
      </c>
      <c r="AA150" s="395"/>
      <c r="AB150" s="395">
        <v>72185.75</v>
      </c>
      <c r="AC150" s="395"/>
      <c r="AD150" s="395">
        <v>46385</v>
      </c>
      <c r="AE150" s="395"/>
      <c r="AF150" s="395"/>
      <c r="AG150" s="395"/>
      <c r="AH150" s="395"/>
      <c r="AI150" s="395"/>
      <c r="AJ150" s="395"/>
      <c r="AK150" s="395"/>
      <c r="AL150" s="452"/>
      <c r="AM150" s="460">
        <f t="shared" si="8"/>
        <v>139891.35</v>
      </c>
      <c r="AN150" s="395">
        <v>66</v>
      </c>
      <c r="AO150" s="398">
        <v>722</v>
      </c>
      <c r="AP150" s="455">
        <v>-3891.6</v>
      </c>
      <c r="AQ150" s="465"/>
      <c r="AR150" s="465">
        <v>-2209.71</v>
      </c>
      <c r="AS150" s="470">
        <v>1</v>
      </c>
      <c r="AT150" s="516"/>
      <c r="AU150" s="516"/>
      <c r="AV150" s="516"/>
      <c r="AW150" s="516"/>
      <c r="AX150" s="516"/>
      <c r="AY150" s="516"/>
      <c r="AZ150" s="522"/>
      <c r="BA150" s="522"/>
      <c r="BB150" s="522"/>
      <c r="BC150" s="522"/>
      <c r="BD150" s="522"/>
      <c r="BE150" s="522"/>
      <c r="BF150" s="522"/>
      <c r="BG150" s="522"/>
    </row>
    <row r="151" spans="1:112" x14ac:dyDescent="0.25">
      <c r="A151" s="338">
        <v>5642</v>
      </c>
      <c r="B151" s="485" t="s">
        <v>162</v>
      </c>
      <c r="C151" s="390">
        <v>35745322.630000003</v>
      </c>
      <c r="D151" s="390">
        <v>5542645.3799999999</v>
      </c>
      <c r="E151" s="388"/>
      <c r="F151" s="390">
        <v>0</v>
      </c>
      <c r="G151" s="390">
        <v>3651770.75</v>
      </c>
      <c r="H151" s="390">
        <v>1108062.8</v>
      </c>
      <c r="I151" s="390">
        <v>1785593.95</v>
      </c>
      <c r="J151" s="390">
        <v>1767628.67</v>
      </c>
      <c r="K151" s="390">
        <v>528585.69999999995</v>
      </c>
      <c r="L151" s="390">
        <v>3270455.1</v>
      </c>
      <c r="M151" s="331">
        <f t="shared" si="6"/>
        <v>53400064.980000012</v>
      </c>
      <c r="N151" s="394">
        <v>1316828.75</v>
      </c>
      <c r="O151" s="394">
        <v>1575229.1</v>
      </c>
      <c r="P151" s="394">
        <v>1876741.5</v>
      </c>
      <c r="Q151" s="394">
        <v>124680.94</v>
      </c>
      <c r="R151" s="394">
        <v>1985121.55</v>
      </c>
      <c r="S151" s="394">
        <v>86516.45</v>
      </c>
      <c r="T151" s="394"/>
      <c r="U151" s="394">
        <v>48800</v>
      </c>
      <c r="V151" s="394"/>
      <c r="W151" s="394"/>
      <c r="X151" s="379">
        <v>570927.19999999995</v>
      </c>
      <c r="Y151" s="460">
        <f t="shared" si="7"/>
        <v>60984910.470000014</v>
      </c>
      <c r="Z151" s="395">
        <v>244080</v>
      </c>
      <c r="AA151" s="395"/>
      <c r="AB151" s="395">
        <v>3942007.54</v>
      </c>
      <c r="AC151" s="395"/>
      <c r="AD151" s="395">
        <v>1088587.25</v>
      </c>
      <c r="AE151" s="395">
        <v>174817.6</v>
      </c>
      <c r="AF151" s="395"/>
      <c r="AG151" s="395"/>
      <c r="AH151" s="395">
        <v>134164.5</v>
      </c>
      <c r="AI151" s="395"/>
      <c r="AJ151" s="395"/>
      <c r="AK151" s="395"/>
      <c r="AL151" s="452"/>
      <c r="AM151" s="460">
        <f t="shared" si="8"/>
        <v>5583656.8899999997</v>
      </c>
      <c r="AN151" s="395">
        <v>67</v>
      </c>
      <c r="AO151" s="398">
        <v>16095</v>
      </c>
      <c r="AP151" s="455">
        <v>-1266950.6599999999</v>
      </c>
      <c r="AQ151" s="465"/>
      <c r="AR151" s="465">
        <v>-65343.82</v>
      </c>
      <c r="AS151" s="470">
        <v>1</v>
      </c>
      <c r="AT151" s="516"/>
      <c r="AU151" s="516"/>
      <c r="AV151" s="516"/>
      <c r="AW151" s="516"/>
      <c r="AX151" s="516"/>
      <c r="AY151" s="516"/>
      <c r="AZ151" s="522"/>
      <c r="BA151" s="522"/>
      <c r="BB151" s="522"/>
      <c r="BC151" s="522"/>
      <c r="BD151" s="522"/>
      <c r="BE151" s="522"/>
      <c r="BF151" s="522"/>
      <c r="BG151" s="522"/>
    </row>
    <row r="152" spans="1:112" x14ac:dyDescent="0.25">
      <c r="A152" s="338">
        <v>5643</v>
      </c>
      <c r="B152" s="485" t="s">
        <v>163</v>
      </c>
      <c r="C152" s="390">
        <v>12324304.48</v>
      </c>
      <c r="D152" s="390">
        <v>1798238.34</v>
      </c>
      <c r="E152" s="388"/>
      <c r="F152" s="390">
        <v>0</v>
      </c>
      <c r="G152" s="390">
        <v>387344.6</v>
      </c>
      <c r="H152" s="390">
        <v>65130.75</v>
      </c>
      <c r="I152" s="390">
        <v>447354.21</v>
      </c>
      <c r="J152" s="390">
        <v>265216.28000000003</v>
      </c>
      <c r="K152" s="390">
        <v>126037</v>
      </c>
      <c r="L152" s="390">
        <v>1126087.1299999999</v>
      </c>
      <c r="M152" s="331">
        <f t="shared" si="6"/>
        <v>16539712.789999999</v>
      </c>
      <c r="N152" s="394">
        <v>212698.65</v>
      </c>
      <c r="O152" s="394">
        <v>90172</v>
      </c>
      <c r="P152" s="394">
        <v>427353.4</v>
      </c>
      <c r="Q152" s="394">
        <v>34745.64</v>
      </c>
      <c r="R152" s="394">
        <v>292102.59999999998</v>
      </c>
      <c r="S152" s="394">
        <v>1200</v>
      </c>
      <c r="T152" s="394">
        <v>594.85</v>
      </c>
      <c r="U152" s="394">
        <v>17955</v>
      </c>
      <c r="V152" s="394"/>
      <c r="W152" s="394"/>
      <c r="X152" s="379">
        <v>54273.01</v>
      </c>
      <c r="Y152" s="460">
        <f t="shared" si="7"/>
        <v>17670807.940000001</v>
      </c>
      <c r="Z152" s="395">
        <v>92526.6</v>
      </c>
      <c r="AA152" s="395"/>
      <c r="AB152" s="395">
        <v>902079.66</v>
      </c>
      <c r="AC152" s="395"/>
      <c r="AD152" s="395">
        <v>390501.3</v>
      </c>
      <c r="AE152" s="395"/>
      <c r="AF152" s="395"/>
      <c r="AG152" s="395"/>
      <c r="AH152" s="395"/>
      <c r="AI152" s="395">
        <v>116891.3</v>
      </c>
      <c r="AJ152" s="395"/>
      <c r="AK152" s="395"/>
      <c r="AL152" s="452"/>
      <c r="AM152" s="460">
        <f t="shared" si="8"/>
        <v>1501998.86</v>
      </c>
      <c r="AN152" s="395">
        <v>62.5</v>
      </c>
      <c r="AO152" s="398">
        <v>5241</v>
      </c>
      <c r="AP152" s="455">
        <v>-195126.12</v>
      </c>
      <c r="AQ152" s="465"/>
      <c r="AR152" s="465">
        <v>-37519.589999999997</v>
      </c>
      <c r="AS152" s="470">
        <v>1</v>
      </c>
      <c r="AT152" s="516"/>
      <c r="AU152" s="516"/>
      <c r="AV152" s="516"/>
      <c r="AW152" s="516"/>
      <c r="AX152" s="516"/>
      <c r="AY152" s="516"/>
      <c r="AZ152" s="522"/>
      <c r="BA152" s="522"/>
      <c r="BB152" s="522"/>
      <c r="BC152" s="522"/>
      <c r="BD152" s="522"/>
      <c r="BE152" s="522"/>
      <c r="BF152" s="522"/>
      <c r="BG152" s="522"/>
    </row>
    <row r="153" spans="1:112" x14ac:dyDescent="0.25">
      <c r="A153" s="338">
        <v>5644</v>
      </c>
      <c r="B153" s="485" t="s">
        <v>311</v>
      </c>
      <c r="C153" s="390">
        <v>896561.02</v>
      </c>
      <c r="D153" s="390">
        <v>174079.08</v>
      </c>
      <c r="E153" s="388"/>
      <c r="F153" s="390">
        <v>0</v>
      </c>
      <c r="G153" s="390">
        <v>26071.95</v>
      </c>
      <c r="H153" s="390">
        <v>-115.35</v>
      </c>
      <c r="I153" s="390">
        <v>0</v>
      </c>
      <c r="J153" s="390">
        <v>3739.98</v>
      </c>
      <c r="K153" s="390">
        <v>-150</v>
      </c>
      <c r="L153" s="390">
        <v>82657.55</v>
      </c>
      <c r="M153" s="331">
        <f t="shared" si="6"/>
        <v>1182844.23</v>
      </c>
      <c r="N153" s="394">
        <v>4509.8999999999996</v>
      </c>
      <c r="O153" s="394">
        <v>0</v>
      </c>
      <c r="P153" s="394">
        <v>24420</v>
      </c>
      <c r="Q153" s="394">
        <v>0</v>
      </c>
      <c r="R153" s="394">
        <v>1730.6</v>
      </c>
      <c r="S153" s="394"/>
      <c r="T153" s="394">
        <v>50</v>
      </c>
      <c r="U153" s="394">
        <v>2950</v>
      </c>
      <c r="V153" s="394"/>
      <c r="W153" s="394"/>
      <c r="X153" s="379">
        <v>3113.41</v>
      </c>
      <c r="Y153" s="460">
        <f t="shared" si="7"/>
        <v>1219618.1399999999</v>
      </c>
      <c r="Z153" s="395">
        <v>40784.800000000003</v>
      </c>
      <c r="AA153" s="395"/>
      <c r="AB153" s="395">
        <v>67487.5</v>
      </c>
      <c r="AC153" s="395"/>
      <c r="AD153" s="395">
        <v>36440</v>
      </c>
      <c r="AE153" s="395">
        <v>28410.799999999999</v>
      </c>
      <c r="AF153" s="395"/>
      <c r="AG153" s="395"/>
      <c r="AH153" s="395"/>
      <c r="AI153" s="395">
        <v>7102.25</v>
      </c>
      <c r="AJ153" s="395"/>
      <c r="AK153" s="395"/>
      <c r="AL153" s="452"/>
      <c r="AM153" s="460">
        <f t="shared" si="8"/>
        <v>180225.34999999998</v>
      </c>
      <c r="AN153" s="395">
        <v>74</v>
      </c>
      <c r="AO153" s="398">
        <v>407</v>
      </c>
      <c r="AP153" s="455">
        <v>-30.02</v>
      </c>
      <c r="AQ153" s="465"/>
      <c r="AR153" s="465">
        <v>-392.34</v>
      </c>
      <c r="AS153" s="470">
        <v>1</v>
      </c>
      <c r="AT153" s="516"/>
      <c r="AU153" s="516"/>
      <c r="AV153" s="516"/>
      <c r="AW153" s="516"/>
      <c r="AX153" s="516"/>
      <c r="AY153" s="516"/>
      <c r="AZ153" s="522"/>
      <c r="BA153" s="522"/>
      <c r="BB153" s="522"/>
      <c r="BC153" s="522"/>
      <c r="BD153" s="522"/>
      <c r="BE153" s="522"/>
      <c r="BF153" s="522"/>
      <c r="BG153" s="522"/>
    </row>
    <row r="154" spans="1:112" x14ac:dyDescent="0.25">
      <c r="A154" s="338">
        <v>5645</v>
      </c>
      <c r="B154" s="485" t="s">
        <v>312</v>
      </c>
      <c r="C154" s="390">
        <v>965059.85</v>
      </c>
      <c r="D154" s="390">
        <v>174988.67</v>
      </c>
      <c r="E154" s="388"/>
      <c r="F154" s="390">
        <v>0</v>
      </c>
      <c r="G154" s="390">
        <v>71950.5</v>
      </c>
      <c r="H154" s="390">
        <v>65620.95</v>
      </c>
      <c r="I154" s="390">
        <v>0</v>
      </c>
      <c r="J154" s="390">
        <v>66708.12</v>
      </c>
      <c r="K154" s="390">
        <v>20606.599999999999</v>
      </c>
      <c r="L154" s="390">
        <v>159938.35</v>
      </c>
      <c r="M154" s="331">
        <f t="shared" si="6"/>
        <v>1524873.04</v>
      </c>
      <c r="N154" s="394">
        <v>37607.800000000003</v>
      </c>
      <c r="O154" s="394">
        <v>89491.8</v>
      </c>
      <c r="P154" s="394">
        <v>69675.649999999994</v>
      </c>
      <c r="Q154" s="394">
        <v>2974.46</v>
      </c>
      <c r="R154" s="394">
        <v>19294.45</v>
      </c>
      <c r="S154" s="394">
        <v>75</v>
      </c>
      <c r="T154" s="394"/>
      <c r="U154" s="394">
        <v>1175</v>
      </c>
      <c r="V154" s="394"/>
      <c r="W154" s="394"/>
      <c r="X154" s="379">
        <v>16501.27</v>
      </c>
      <c r="Y154" s="460">
        <f t="shared" si="7"/>
        <v>1761668.47</v>
      </c>
      <c r="Z154" s="395">
        <v>-10726.8</v>
      </c>
      <c r="AA154" s="395"/>
      <c r="AB154" s="395">
        <v>118770.3</v>
      </c>
      <c r="AC154" s="395"/>
      <c r="AD154" s="395">
        <v>53986.53</v>
      </c>
      <c r="AE154" s="395">
        <v>5330</v>
      </c>
      <c r="AF154" s="395"/>
      <c r="AG154" s="395"/>
      <c r="AH154" s="395"/>
      <c r="AI154" s="395">
        <v>29715.85</v>
      </c>
      <c r="AJ154" s="395"/>
      <c r="AK154" s="395"/>
      <c r="AL154" s="452"/>
      <c r="AM154" s="460">
        <f t="shared" si="8"/>
        <v>197075.88</v>
      </c>
      <c r="AN154" s="395">
        <v>56</v>
      </c>
      <c r="AO154" s="398">
        <v>466</v>
      </c>
      <c r="AP154" s="455">
        <v>-10244.790000000001</v>
      </c>
      <c r="AQ154" s="465"/>
      <c r="AR154" s="465">
        <v>-1656.45</v>
      </c>
      <c r="AS154" s="470">
        <v>1</v>
      </c>
      <c r="AT154" s="516"/>
      <c r="AU154" s="516"/>
      <c r="AV154" s="516"/>
      <c r="AW154" s="516"/>
      <c r="AX154" s="516"/>
      <c r="AY154" s="516"/>
      <c r="AZ154" s="522"/>
      <c r="BA154" s="522"/>
      <c r="BB154" s="522"/>
      <c r="BC154" s="522"/>
      <c r="BD154" s="522"/>
      <c r="BE154" s="522"/>
      <c r="BF154" s="522"/>
      <c r="BG154" s="522"/>
    </row>
    <row r="155" spans="1:112" x14ac:dyDescent="0.25">
      <c r="A155" s="338">
        <v>5646</v>
      </c>
      <c r="B155" s="485" t="s">
        <v>313</v>
      </c>
      <c r="C155" s="390">
        <v>11983243.58</v>
      </c>
      <c r="D155" s="390">
        <v>2870606.54</v>
      </c>
      <c r="E155" s="388"/>
      <c r="F155" s="390">
        <v>0</v>
      </c>
      <c r="G155" s="390">
        <v>1370881.9</v>
      </c>
      <c r="H155" s="390">
        <v>9302227.5500000007</v>
      </c>
      <c r="I155" s="390">
        <v>762116.87</v>
      </c>
      <c r="J155" s="390">
        <v>587722.06000000006</v>
      </c>
      <c r="K155" s="390">
        <v>135101.5</v>
      </c>
      <c r="L155" s="390">
        <v>1656997.9</v>
      </c>
      <c r="M155" s="331">
        <f t="shared" si="6"/>
        <v>28668897.899999999</v>
      </c>
      <c r="N155" s="394">
        <v>1057317.55</v>
      </c>
      <c r="O155" s="394">
        <v>764394.2</v>
      </c>
      <c r="P155" s="394">
        <v>778605.7</v>
      </c>
      <c r="Q155" s="394">
        <v>23957.29</v>
      </c>
      <c r="R155" s="394">
        <v>751144.8</v>
      </c>
      <c r="S155" s="394"/>
      <c r="T155" s="394">
        <v>19158.45</v>
      </c>
      <c r="U155" s="394">
        <v>45900</v>
      </c>
      <c r="V155" s="394"/>
      <c r="W155" s="394"/>
      <c r="X155" s="379">
        <v>1280206.22</v>
      </c>
      <c r="Y155" s="460">
        <f t="shared" si="7"/>
        <v>33389582.109999996</v>
      </c>
      <c r="Z155" s="395">
        <v>94519</v>
      </c>
      <c r="AA155" s="395"/>
      <c r="AB155" s="395">
        <v>893521.23</v>
      </c>
      <c r="AC155" s="395"/>
      <c r="AD155" s="395">
        <v>503312.1</v>
      </c>
      <c r="AE155" s="395">
        <v>57443.5</v>
      </c>
      <c r="AF155" s="395"/>
      <c r="AG155" s="395"/>
      <c r="AH155" s="395"/>
      <c r="AI155" s="395"/>
      <c r="AJ155" s="395"/>
      <c r="AK155" s="395"/>
      <c r="AL155" s="452"/>
      <c r="AM155" s="460">
        <f t="shared" si="8"/>
        <v>1548795.83</v>
      </c>
      <c r="AN155" s="395">
        <v>55</v>
      </c>
      <c r="AO155" s="398">
        <v>5865</v>
      </c>
      <c r="AP155" s="455">
        <v>-178640.07</v>
      </c>
      <c r="AQ155" s="465"/>
      <c r="AR155" s="465">
        <v>-34323.89</v>
      </c>
      <c r="AS155" s="470">
        <v>1</v>
      </c>
      <c r="AT155" s="516"/>
      <c r="AU155" s="516"/>
      <c r="AV155" s="516"/>
      <c r="AW155" s="516"/>
      <c r="AX155" s="516"/>
      <c r="AY155" s="516"/>
      <c r="AZ155" s="522"/>
      <c r="BA155" s="522"/>
      <c r="BB155" s="522"/>
      <c r="BC155" s="522"/>
      <c r="BD155" s="522"/>
      <c r="BE155" s="522"/>
      <c r="BF155" s="522"/>
      <c r="BG155" s="522"/>
    </row>
    <row r="156" spans="1:112" x14ac:dyDescent="0.25">
      <c r="A156" s="338">
        <v>5648</v>
      </c>
      <c r="B156" s="485" t="s">
        <v>314</v>
      </c>
      <c r="C156" s="390">
        <v>13667948.9</v>
      </c>
      <c r="D156" s="390">
        <v>3820279.14</v>
      </c>
      <c r="E156" s="388"/>
      <c r="F156" s="390">
        <v>0</v>
      </c>
      <c r="G156" s="390">
        <v>1159829.75</v>
      </c>
      <c r="H156" s="390">
        <v>221403.4</v>
      </c>
      <c r="I156" s="390">
        <v>548606.35</v>
      </c>
      <c r="J156" s="390">
        <v>709111.6</v>
      </c>
      <c r="K156" s="390">
        <v>137836.75</v>
      </c>
      <c r="L156" s="390">
        <v>1306376.6399999999</v>
      </c>
      <c r="M156" s="331">
        <f t="shared" si="6"/>
        <v>21571392.530000001</v>
      </c>
      <c r="N156" s="394">
        <v>85040.6</v>
      </c>
      <c r="O156" s="394">
        <v>333365.8</v>
      </c>
      <c r="P156" s="394">
        <v>655689</v>
      </c>
      <c r="Q156" s="394">
        <v>10214.629999999999</v>
      </c>
      <c r="R156" s="394">
        <v>680965.4</v>
      </c>
      <c r="S156" s="394"/>
      <c r="T156" s="394">
        <v>4558.6000000000004</v>
      </c>
      <c r="U156" s="394">
        <v>20300</v>
      </c>
      <c r="V156" s="394"/>
      <c r="W156" s="394"/>
      <c r="X156" s="379">
        <v>165674.60999999999</v>
      </c>
      <c r="Y156" s="460">
        <f t="shared" si="7"/>
        <v>23527201.170000002</v>
      </c>
      <c r="Z156" s="395">
        <v>372498.7</v>
      </c>
      <c r="AA156" s="395"/>
      <c r="AB156" s="395">
        <v>1190617.6599999999</v>
      </c>
      <c r="AC156" s="395"/>
      <c r="AD156" s="395">
        <v>362730.58</v>
      </c>
      <c r="AE156" s="395"/>
      <c r="AF156" s="395"/>
      <c r="AG156" s="395"/>
      <c r="AH156" s="395">
        <v>198885.1</v>
      </c>
      <c r="AI156" s="395">
        <v>131999.98000000001</v>
      </c>
      <c r="AJ156" s="395"/>
      <c r="AK156" s="395"/>
      <c r="AL156" s="452"/>
      <c r="AM156" s="460">
        <f t="shared" si="8"/>
        <v>2256732.02</v>
      </c>
      <c r="AN156" s="395">
        <v>55</v>
      </c>
      <c r="AO156" s="398">
        <v>4909</v>
      </c>
      <c r="AP156" s="455">
        <v>-152293.5</v>
      </c>
      <c r="AQ156" s="465"/>
      <c r="AR156" s="465">
        <v>-115155.93</v>
      </c>
      <c r="AS156" s="470">
        <v>0.8</v>
      </c>
      <c r="AT156" s="516"/>
      <c r="AU156" s="516"/>
      <c r="AV156" s="516"/>
      <c r="AW156" s="516"/>
      <c r="AX156" s="516"/>
      <c r="AY156" s="516"/>
      <c r="AZ156" s="522"/>
      <c r="BA156" s="522"/>
      <c r="BB156" s="522"/>
      <c r="BC156" s="522"/>
      <c r="BD156" s="522"/>
      <c r="BE156" s="522"/>
      <c r="BF156" s="522"/>
      <c r="BG156" s="522"/>
    </row>
    <row r="157" spans="1:112" x14ac:dyDescent="0.25">
      <c r="A157" s="338">
        <v>5649</v>
      </c>
      <c r="B157" s="485" t="s">
        <v>315</v>
      </c>
      <c r="C157" s="390">
        <v>3951006.69</v>
      </c>
      <c r="D157" s="390">
        <v>651361.13</v>
      </c>
      <c r="E157" s="388"/>
      <c r="F157" s="390">
        <v>0</v>
      </c>
      <c r="G157" s="390">
        <v>6763769.25</v>
      </c>
      <c r="H157" s="390">
        <v>868223.1</v>
      </c>
      <c r="I157" s="390">
        <v>30789.15</v>
      </c>
      <c r="J157" s="390">
        <v>256600.22</v>
      </c>
      <c r="K157" s="390">
        <v>65122.1</v>
      </c>
      <c r="L157" s="390">
        <v>557667.69999999995</v>
      </c>
      <c r="M157" s="331">
        <f t="shared" si="6"/>
        <v>13144539.34</v>
      </c>
      <c r="N157" s="394">
        <v>588474.4</v>
      </c>
      <c r="O157" s="394">
        <v>0</v>
      </c>
      <c r="P157" s="394">
        <v>319670.95</v>
      </c>
      <c r="Q157" s="394">
        <v>19414.7</v>
      </c>
      <c r="R157" s="394">
        <v>40091.5</v>
      </c>
      <c r="S157" s="394"/>
      <c r="T157" s="394">
        <v>2537.3000000000002</v>
      </c>
      <c r="U157" s="394">
        <v>3435</v>
      </c>
      <c r="V157" s="394"/>
      <c r="W157" s="394"/>
      <c r="X157" s="379">
        <v>915433.7</v>
      </c>
      <c r="Y157" s="460">
        <f t="shared" si="7"/>
        <v>15033596.889999999</v>
      </c>
      <c r="Z157" s="395">
        <v>2400.1999999999998</v>
      </c>
      <c r="AA157" s="395"/>
      <c r="AB157" s="395">
        <v>488382.7</v>
      </c>
      <c r="AC157" s="395"/>
      <c r="AD157" s="395">
        <v>106692.5</v>
      </c>
      <c r="AE157" s="395"/>
      <c r="AF157" s="395"/>
      <c r="AG157" s="395"/>
      <c r="AH157" s="395"/>
      <c r="AI157" s="395">
        <v>118433.85</v>
      </c>
      <c r="AJ157" s="395"/>
      <c r="AK157" s="395"/>
      <c r="AL157" s="452"/>
      <c r="AM157" s="460">
        <f t="shared" si="8"/>
        <v>715909.25</v>
      </c>
      <c r="AN157" s="395">
        <v>65</v>
      </c>
      <c r="AO157" s="398">
        <v>1889</v>
      </c>
      <c r="AP157" s="455">
        <v>-65339.54</v>
      </c>
      <c r="AQ157" s="465"/>
      <c r="AR157" s="465">
        <v>-3405.73</v>
      </c>
      <c r="AS157" s="470">
        <v>1</v>
      </c>
      <c r="AT157" s="516"/>
      <c r="AU157" s="516"/>
      <c r="AV157" s="516"/>
      <c r="AW157" s="516"/>
      <c r="AX157" s="516"/>
      <c r="AY157" s="516"/>
      <c r="AZ157" s="522"/>
      <c r="BA157" s="522"/>
      <c r="BB157" s="522"/>
      <c r="BC157" s="522"/>
      <c r="BD157" s="522"/>
      <c r="BE157" s="522"/>
      <c r="BF157" s="522"/>
      <c r="BG157" s="522"/>
    </row>
    <row r="158" spans="1:112" s="334" customFormat="1" x14ac:dyDescent="0.25">
      <c r="A158" s="339">
        <v>5650</v>
      </c>
      <c r="B158" s="485" t="s">
        <v>316</v>
      </c>
      <c r="C158" s="390">
        <v>2559525.7000000002</v>
      </c>
      <c r="D158" s="390">
        <v>945639.1</v>
      </c>
      <c r="E158" s="388"/>
      <c r="F158" s="390">
        <v>0</v>
      </c>
      <c r="G158" s="390">
        <v>5439.45</v>
      </c>
      <c r="H158" s="390">
        <v>23.5</v>
      </c>
      <c r="I158" s="390">
        <v>0</v>
      </c>
      <c r="J158" s="390">
        <v>-25222.14</v>
      </c>
      <c r="K158" s="390">
        <v>0</v>
      </c>
      <c r="L158" s="390">
        <v>57315</v>
      </c>
      <c r="M158" s="331">
        <f t="shared" si="6"/>
        <v>3542720.6100000003</v>
      </c>
      <c r="N158" s="394">
        <v>46.25</v>
      </c>
      <c r="O158" s="394">
        <v>21020126.699999999</v>
      </c>
      <c r="P158" s="394">
        <v>8745</v>
      </c>
      <c r="Q158" s="394">
        <v>0</v>
      </c>
      <c r="R158" s="394">
        <v>29908.799999999999</v>
      </c>
      <c r="S158" s="394"/>
      <c r="T158" s="394"/>
      <c r="U158" s="394">
        <v>495</v>
      </c>
      <c r="V158" s="394"/>
      <c r="W158" s="394"/>
      <c r="X158" s="379">
        <v>655.26</v>
      </c>
      <c r="Y158" s="460">
        <f t="shared" si="7"/>
        <v>24602697.620000001</v>
      </c>
      <c r="Z158" s="395"/>
      <c r="AA158" s="395"/>
      <c r="AB158" s="395">
        <v>29235.85</v>
      </c>
      <c r="AC158" s="395"/>
      <c r="AD158" s="395">
        <v>25912.05</v>
      </c>
      <c r="AE158" s="395"/>
      <c r="AF158" s="395"/>
      <c r="AG158" s="395"/>
      <c r="AH158" s="395"/>
      <c r="AI158" s="395"/>
      <c r="AJ158" s="395"/>
      <c r="AK158" s="395"/>
      <c r="AL158" s="452"/>
      <c r="AM158" s="460">
        <f t="shared" si="8"/>
        <v>55147.899999999994</v>
      </c>
      <c r="AN158" s="395">
        <v>56</v>
      </c>
      <c r="AO158" s="398">
        <v>194</v>
      </c>
      <c r="AP158" s="455">
        <v>-3776.83</v>
      </c>
      <c r="AQ158" s="333"/>
      <c r="AR158" s="465">
        <v>0</v>
      </c>
      <c r="AS158" s="470">
        <v>1.25</v>
      </c>
      <c r="AT158" s="516"/>
      <c r="AU158" s="516"/>
      <c r="AV158" s="516"/>
      <c r="AW158" s="516"/>
      <c r="AX158" s="516"/>
      <c r="AY158" s="516"/>
      <c r="AZ158" s="522"/>
      <c r="BA158" s="522"/>
      <c r="BB158" s="522"/>
      <c r="BC158" s="522"/>
      <c r="BD158" s="522"/>
      <c r="BE158" s="522"/>
      <c r="BF158" s="522"/>
      <c r="BG158" s="522"/>
      <c r="BH158" s="455"/>
      <c r="BI158" s="455"/>
      <c r="BJ158" s="455"/>
      <c r="BK158" s="455"/>
      <c r="BL158" s="455"/>
      <c r="BM158" s="455"/>
      <c r="BN158" s="455"/>
      <c r="BO158" s="6"/>
      <c r="BP158" s="455"/>
      <c r="BQ158" s="455"/>
      <c r="BR158" s="455"/>
      <c r="BS158" s="455"/>
      <c r="BT158" s="455"/>
      <c r="BU158" s="455"/>
      <c r="BV158" s="455"/>
      <c r="BW158" s="455"/>
      <c r="BX158" s="455"/>
      <c r="BY158" s="455"/>
      <c r="BZ158" s="455"/>
      <c r="CA158" s="455"/>
      <c r="CB158" s="455"/>
      <c r="CC158" s="455"/>
      <c r="CD158" s="455"/>
      <c r="CE158" s="455"/>
      <c r="CF158" s="455"/>
      <c r="CG158" s="455"/>
      <c r="CH158" s="455"/>
      <c r="CI158" s="455"/>
      <c r="CJ158" s="455"/>
      <c r="CK158" s="455"/>
      <c r="CL158" s="455"/>
      <c r="CM158" s="455"/>
      <c r="CN158" s="455"/>
      <c r="CO158" s="455"/>
      <c r="CP158" s="455"/>
      <c r="CQ158" s="455"/>
      <c r="CR158" s="455"/>
      <c r="CS158" s="455"/>
      <c r="CT158" s="455"/>
      <c r="CU158" s="455"/>
      <c r="CV158" s="455"/>
      <c r="CW158" s="455"/>
      <c r="CX158" s="455"/>
      <c r="CY158" s="455"/>
      <c r="CZ158" s="455"/>
      <c r="DA158" s="455"/>
      <c r="DB158" s="455"/>
      <c r="DC158" s="455"/>
      <c r="DD158" s="455"/>
      <c r="DE158" s="455"/>
      <c r="DF158" s="455"/>
      <c r="DG158" s="455"/>
      <c r="DH158" s="455"/>
    </row>
    <row r="159" spans="1:112" x14ac:dyDescent="0.25">
      <c r="A159" s="338">
        <v>5651</v>
      </c>
      <c r="B159" s="485" t="s">
        <v>317</v>
      </c>
      <c r="C159" s="390">
        <v>2086591.78</v>
      </c>
      <c r="D159" s="390">
        <v>272976.64000000001</v>
      </c>
      <c r="E159" s="388"/>
      <c r="F159" s="390">
        <v>0</v>
      </c>
      <c r="G159" s="390">
        <v>520466.05</v>
      </c>
      <c r="H159" s="390">
        <v>14644.8</v>
      </c>
      <c r="I159" s="390">
        <v>0</v>
      </c>
      <c r="J159" s="390">
        <v>32671.37</v>
      </c>
      <c r="K159" s="390">
        <v>36688.400000000001</v>
      </c>
      <c r="L159" s="390">
        <v>383846.1</v>
      </c>
      <c r="M159" s="331">
        <f t="shared" si="6"/>
        <v>3347885.1399999997</v>
      </c>
      <c r="N159" s="394">
        <v>170466.25</v>
      </c>
      <c r="O159" s="394">
        <v>0</v>
      </c>
      <c r="P159" s="394">
        <v>179231.25</v>
      </c>
      <c r="Q159" s="394">
        <v>8244.7000000000007</v>
      </c>
      <c r="R159" s="394">
        <v>112130.1</v>
      </c>
      <c r="S159" s="394"/>
      <c r="T159" s="394"/>
      <c r="U159" s="394">
        <v>4120</v>
      </c>
      <c r="V159" s="394"/>
      <c r="W159" s="394"/>
      <c r="X159" s="379">
        <v>64184.88</v>
      </c>
      <c r="Y159" s="460">
        <f t="shared" si="7"/>
        <v>3886262.32</v>
      </c>
      <c r="Z159" s="395"/>
      <c r="AA159" s="395"/>
      <c r="AB159" s="395">
        <v>115411.9</v>
      </c>
      <c r="AC159" s="395"/>
      <c r="AD159" s="395">
        <v>112941.6</v>
      </c>
      <c r="AE159" s="395"/>
      <c r="AF159" s="395"/>
      <c r="AG159" s="395"/>
      <c r="AH159" s="395"/>
      <c r="AI159" s="395"/>
      <c r="AJ159" s="395"/>
      <c r="AK159" s="395"/>
      <c r="AL159" s="452"/>
      <c r="AM159" s="460">
        <f t="shared" si="8"/>
        <v>228353.5</v>
      </c>
      <c r="AN159" s="395">
        <v>60.5</v>
      </c>
      <c r="AO159" s="398">
        <v>958</v>
      </c>
      <c r="AP159" s="455">
        <v>-25961.53</v>
      </c>
      <c r="AQ159" s="465"/>
      <c r="AR159" s="465">
        <v>-576.03</v>
      </c>
      <c r="AS159" s="470">
        <v>1</v>
      </c>
      <c r="AT159" s="516"/>
      <c r="AU159" s="516"/>
      <c r="AV159" s="516"/>
      <c r="AW159" s="516"/>
      <c r="AX159" s="516"/>
      <c r="AY159" s="516"/>
      <c r="AZ159" s="522"/>
      <c r="BA159" s="522"/>
      <c r="BB159" s="522"/>
      <c r="BC159" s="522"/>
      <c r="BD159" s="522"/>
      <c r="BE159" s="522"/>
      <c r="BF159" s="522"/>
      <c r="BG159" s="522"/>
    </row>
    <row r="160" spans="1:112" x14ac:dyDescent="0.25">
      <c r="A160" s="338">
        <v>5652</v>
      </c>
      <c r="B160" s="485" t="s">
        <v>198</v>
      </c>
      <c r="C160" s="390">
        <v>1431995.28</v>
      </c>
      <c r="D160" s="390">
        <v>365200.97</v>
      </c>
      <c r="E160" s="388"/>
      <c r="F160" s="390">
        <v>0</v>
      </c>
      <c r="G160" s="390">
        <v>24301.8</v>
      </c>
      <c r="H160" s="390">
        <v>534.04999999999995</v>
      </c>
      <c r="I160" s="390">
        <v>0</v>
      </c>
      <c r="J160" s="390">
        <v>28766.84</v>
      </c>
      <c r="K160" s="390">
        <v>817.15</v>
      </c>
      <c r="L160" s="390">
        <v>131709.35</v>
      </c>
      <c r="M160" s="331">
        <f t="shared" si="6"/>
        <v>1983325.4400000002</v>
      </c>
      <c r="N160" s="394">
        <v>3228.45</v>
      </c>
      <c r="O160" s="394">
        <v>78379.8</v>
      </c>
      <c r="P160" s="394">
        <v>37024.1</v>
      </c>
      <c r="Q160" s="394">
        <v>3767.87</v>
      </c>
      <c r="R160" s="394">
        <v>51803.95</v>
      </c>
      <c r="S160" s="394"/>
      <c r="T160" s="394">
        <v>395.5</v>
      </c>
      <c r="U160" s="394">
        <v>3600</v>
      </c>
      <c r="V160" s="394"/>
      <c r="W160" s="394"/>
      <c r="X160" s="379">
        <v>2978.98</v>
      </c>
      <c r="Y160" s="460">
        <f t="shared" si="7"/>
        <v>2164504.0900000003</v>
      </c>
      <c r="Z160" s="395">
        <v>4628.5</v>
      </c>
      <c r="AA160" s="395"/>
      <c r="AB160" s="395">
        <v>83906.25</v>
      </c>
      <c r="AC160" s="395"/>
      <c r="AD160" s="395">
        <v>44680.05</v>
      </c>
      <c r="AE160" s="395"/>
      <c r="AF160" s="395"/>
      <c r="AG160" s="395"/>
      <c r="AH160" s="395"/>
      <c r="AI160" s="395"/>
      <c r="AJ160" s="395"/>
      <c r="AK160" s="395"/>
      <c r="AL160" s="452"/>
      <c r="AM160" s="460">
        <f t="shared" si="8"/>
        <v>133214.79999999999</v>
      </c>
      <c r="AN160" s="395">
        <v>76</v>
      </c>
      <c r="AO160" s="398">
        <v>615</v>
      </c>
      <c r="AP160" s="455">
        <v>-17306.95</v>
      </c>
      <c r="AQ160" s="465"/>
      <c r="AR160" s="465">
        <v>-480.35</v>
      </c>
      <c r="AS160" s="470">
        <v>1.2</v>
      </c>
      <c r="AT160" s="516"/>
      <c r="AU160" s="516"/>
      <c r="AV160" s="516"/>
      <c r="AW160" s="516"/>
      <c r="AX160" s="516"/>
      <c r="AY160" s="516"/>
      <c r="AZ160" s="522"/>
      <c r="BA160" s="522"/>
      <c r="BB160" s="522"/>
      <c r="BC160" s="522"/>
      <c r="BD160" s="522"/>
      <c r="BE160" s="522"/>
      <c r="BF160" s="522"/>
      <c r="BG160" s="522"/>
    </row>
    <row r="161" spans="1:59" x14ac:dyDescent="0.25">
      <c r="A161" s="338">
        <v>5653</v>
      </c>
      <c r="B161" s="485" t="s">
        <v>199</v>
      </c>
      <c r="C161" s="390">
        <v>2938661.51</v>
      </c>
      <c r="D161" s="390">
        <v>684946.15</v>
      </c>
      <c r="E161" s="388"/>
      <c r="F161" s="390">
        <v>0</v>
      </c>
      <c r="G161" s="390">
        <v>44890.55</v>
      </c>
      <c r="H161" s="390">
        <v>6263.3</v>
      </c>
      <c r="I161" s="390">
        <v>44343.35</v>
      </c>
      <c r="J161" s="390">
        <v>57614.15</v>
      </c>
      <c r="K161" s="390">
        <v>3412.75</v>
      </c>
      <c r="L161" s="390">
        <v>206787.20000000001</v>
      </c>
      <c r="M161" s="331">
        <f t="shared" si="6"/>
        <v>3986918.9599999995</v>
      </c>
      <c r="N161" s="394">
        <v>6135.7</v>
      </c>
      <c r="O161" s="394">
        <v>0</v>
      </c>
      <c r="P161" s="394">
        <v>223229.15</v>
      </c>
      <c r="Q161" s="394">
        <v>978.52</v>
      </c>
      <c r="R161" s="394">
        <v>133408.65</v>
      </c>
      <c r="S161" s="394"/>
      <c r="T161" s="394"/>
      <c r="U161" s="394">
        <v>5850</v>
      </c>
      <c r="V161" s="394"/>
      <c r="W161" s="394"/>
      <c r="X161" s="379">
        <v>6135.74</v>
      </c>
      <c r="Y161" s="460">
        <f t="shared" si="7"/>
        <v>4362656.72</v>
      </c>
      <c r="Z161" s="395">
        <v>-14095.7</v>
      </c>
      <c r="AA161" s="395"/>
      <c r="AB161" s="395">
        <v>144546.4</v>
      </c>
      <c r="AC161" s="395"/>
      <c r="AD161" s="395">
        <v>58749</v>
      </c>
      <c r="AE161" s="395"/>
      <c r="AF161" s="395"/>
      <c r="AG161" s="395"/>
      <c r="AH161" s="395"/>
      <c r="AI161" s="395"/>
      <c r="AJ161" s="395"/>
      <c r="AK161" s="395"/>
      <c r="AL161" s="452"/>
      <c r="AM161" s="460">
        <f t="shared" si="8"/>
        <v>189199.7</v>
      </c>
      <c r="AN161" s="395">
        <v>58.5</v>
      </c>
      <c r="AO161" s="398">
        <v>870</v>
      </c>
      <c r="AP161" s="455">
        <v>-7935.47</v>
      </c>
      <c r="AQ161" s="465"/>
      <c r="AR161" s="465">
        <v>-13811.53</v>
      </c>
      <c r="AS161" s="470">
        <v>0.8</v>
      </c>
      <c r="AT161" s="516"/>
      <c r="AU161" s="516"/>
      <c r="AV161" s="516"/>
      <c r="AW161" s="516"/>
      <c r="AX161" s="516"/>
      <c r="AY161" s="516"/>
      <c r="AZ161" s="522"/>
      <c r="BA161" s="522"/>
      <c r="BB161" s="522"/>
      <c r="BC161" s="522"/>
      <c r="BD161" s="522"/>
      <c r="BE161" s="522"/>
      <c r="BF161" s="522"/>
      <c r="BG161" s="522"/>
    </row>
    <row r="162" spans="1:59" x14ac:dyDescent="0.25">
      <c r="A162" s="338">
        <v>5654</v>
      </c>
      <c r="B162" s="485" t="s">
        <v>200</v>
      </c>
      <c r="C162" s="390">
        <v>1139448.78</v>
      </c>
      <c r="D162" s="390">
        <v>155972.25</v>
      </c>
      <c r="E162" s="388"/>
      <c r="F162" s="390">
        <v>0</v>
      </c>
      <c r="G162" s="390">
        <v>793.79999999999905</v>
      </c>
      <c r="H162" s="390">
        <v>1271.2</v>
      </c>
      <c r="I162" s="390">
        <v>0</v>
      </c>
      <c r="J162" s="390">
        <v>41216.39</v>
      </c>
      <c r="K162" s="390">
        <v>1973.05</v>
      </c>
      <c r="L162" s="390">
        <v>106239.65</v>
      </c>
      <c r="M162" s="331">
        <f t="shared" si="6"/>
        <v>1446915.1199999999</v>
      </c>
      <c r="N162" s="394">
        <v>6506.75</v>
      </c>
      <c r="O162" s="394">
        <v>-5434.1</v>
      </c>
      <c r="P162" s="394">
        <v>81977.5</v>
      </c>
      <c r="Q162" s="394">
        <v>46734.8</v>
      </c>
      <c r="R162" s="394">
        <v>81561.55</v>
      </c>
      <c r="S162" s="394"/>
      <c r="T162" s="394">
        <v>701.25</v>
      </c>
      <c r="U162" s="394">
        <v>3850</v>
      </c>
      <c r="V162" s="394"/>
      <c r="W162" s="394"/>
      <c r="X162" s="379">
        <v>247.69</v>
      </c>
      <c r="Y162" s="460">
        <f t="shared" si="7"/>
        <v>1663060.5599999998</v>
      </c>
      <c r="Z162" s="395">
        <v>9200</v>
      </c>
      <c r="AA162" s="395"/>
      <c r="AB162" s="395">
        <v>174969.05</v>
      </c>
      <c r="AC162" s="395"/>
      <c r="AD162" s="395">
        <v>26030</v>
      </c>
      <c r="AE162" s="395">
        <v>2000</v>
      </c>
      <c r="AF162" s="395"/>
      <c r="AG162" s="395"/>
      <c r="AH162" s="395"/>
      <c r="AI162" s="395">
        <v>13316.2</v>
      </c>
      <c r="AJ162" s="395"/>
      <c r="AK162" s="395"/>
      <c r="AL162" s="452"/>
      <c r="AM162" s="460">
        <f t="shared" si="8"/>
        <v>225515.25</v>
      </c>
      <c r="AN162" s="395">
        <v>76</v>
      </c>
      <c r="AO162" s="398">
        <v>542</v>
      </c>
      <c r="AP162" s="455">
        <v>-29527.75</v>
      </c>
      <c r="AQ162" s="465"/>
      <c r="AR162" s="465">
        <v>-161.51</v>
      </c>
      <c r="AS162" s="470">
        <v>1</v>
      </c>
      <c r="AT162" s="516"/>
      <c r="AU162" s="516"/>
      <c r="AV162" s="516"/>
      <c r="AW162" s="516"/>
      <c r="AX162" s="516"/>
      <c r="AY162" s="516"/>
      <c r="AZ162" s="522"/>
      <c r="BA162" s="522"/>
      <c r="BB162" s="522"/>
      <c r="BC162" s="522"/>
      <c r="BD162" s="522"/>
      <c r="BE162" s="522"/>
      <c r="BF162" s="522"/>
      <c r="BG162" s="522"/>
    </row>
    <row r="163" spans="1:59" x14ac:dyDescent="0.25">
      <c r="A163" s="338">
        <v>5655</v>
      </c>
      <c r="B163" s="485" t="s">
        <v>201</v>
      </c>
      <c r="C163" s="390">
        <v>5111671.9400000004</v>
      </c>
      <c r="D163" s="390">
        <v>659201.59</v>
      </c>
      <c r="E163" s="388"/>
      <c r="F163" s="390">
        <v>0</v>
      </c>
      <c r="G163" s="390">
        <v>274162.8</v>
      </c>
      <c r="H163" s="390">
        <v>3191.55</v>
      </c>
      <c r="I163" s="390">
        <v>66010.45</v>
      </c>
      <c r="J163" s="390">
        <v>-13414.22</v>
      </c>
      <c r="K163" s="390">
        <v>11308.65</v>
      </c>
      <c r="L163" s="390">
        <v>415850.1</v>
      </c>
      <c r="M163" s="331">
        <f t="shared" si="6"/>
        <v>6527982.8600000003</v>
      </c>
      <c r="N163" s="394">
        <v>104127.75</v>
      </c>
      <c r="O163" s="394">
        <v>37934.400000000001</v>
      </c>
      <c r="P163" s="394">
        <v>179277.05</v>
      </c>
      <c r="Q163" s="394">
        <v>-76.89</v>
      </c>
      <c r="R163" s="394">
        <v>189406.9</v>
      </c>
      <c r="S163" s="394"/>
      <c r="T163" s="394"/>
      <c r="U163" s="394">
        <v>7170</v>
      </c>
      <c r="V163" s="394"/>
      <c r="W163" s="394"/>
      <c r="X163" s="379">
        <v>33267.79</v>
      </c>
      <c r="Y163" s="460">
        <f t="shared" si="7"/>
        <v>7079089.8600000013</v>
      </c>
      <c r="Z163" s="395">
        <v>23503.4</v>
      </c>
      <c r="AA163" s="395"/>
      <c r="AB163" s="395">
        <v>199515.35</v>
      </c>
      <c r="AC163" s="395"/>
      <c r="AD163" s="395">
        <v>105587.3</v>
      </c>
      <c r="AE163" s="395">
        <v>37106.85</v>
      </c>
      <c r="AF163" s="395"/>
      <c r="AG163" s="395"/>
      <c r="AH163" s="395"/>
      <c r="AI163" s="395"/>
      <c r="AJ163" s="395"/>
      <c r="AK163" s="395"/>
      <c r="AL163" s="452"/>
      <c r="AM163" s="460">
        <f t="shared" si="8"/>
        <v>365712.89999999997</v>
      </c>
      <c r="AN163" s="395">
        <v>71.5</v>
      </c>
      <c r="AO163" s="398">
        <v>1480</v>
      </c>
      <c r="AP163" s="455">
        <v>-56723.22</v>
      </c>
      <c r="AQ163" s="465"/>
      <c r="AR163" s="465">
        <v>-2589.31</v>
      </c>
      <c r="AS163" s="470">
        <v>1</v>
      </c>
      <c r="AT163" s="516"/>
      <c r="AU163" s="516"/>
      <c r="AV163" s="516"/>
      <c r="AW163" s="516"/>
      <c r="AX163" s="516"/>
      <c r="AY163" s="516"/>
      <c r="AZ163" s="522"/>
      <c r="BA163" s="522"/>
      <c r="BB163" s="522"/>
      <c r="BC163" s="522"/>
      <c r="BD163" s="522"/>
      <c r="BE163" s="522"/>
      <c r="BF163" s="522"/>
      <c r="BG163" s="522"/>
    </row>
    <row r="164" spans="1:59" x14ac:dyDescent="0.25">
      <c r="A164" s="338">
        <v>5661</v>
      </c>
      <c r="B164" s="485" t="s">
        <v>202</v>
      </c>
      <c r="C164" s="390">
        <v>602041.75</v>
      </c>
      <c r="D164" s="390">
        <v>44691.86</v>
      </c>
      <c r="E164" s="388"/>
      <c r="F164" s="390">
        <v>0</v>
      </c>
      <c r="G164" s="390">
        <v>12676.95</v>
      </c>
      <c r="H164" s="390">
        <v>507.1</v>
      </c>
      <c r="I164" s="390">
        <v>0</v>
      </c>
      <c r="J164" s="390">
        <v>6062.62</v>
      </c>
      <c r="K164" s="390">
        <v>425</v>
      </c>
      <c r="L164" s="390">
        <v>57867.5</v>
      </c>
      <c r="M164" s="331">
        <f t="shared" si="6"/>
        <v>724272.77999999991</v>
      </c>
      <c r="N164" s="394">
        <v>18651.95</v>
      </c>
      <c r="O164" s="394">
        <v>0</v>
      </c>
      <c r="P164" s="394">
        <v>16555</v>
      </c>
      <c r="Q164" s="394">
        <v>1200</v>
      </c>
      <c r="R164" s="394">
        <v>6543.15</v>
      </c>
      <c r="S164" s="394"/>
      <c r="T164" s="394"/>
      <c r="U164" s="394">
        <v>3800</v>
      </c>
      <c r="V164" s="394"/>
      <c r="W164" s="394"/>
      <c r="X164" s="379">
        <v>1581.39</v>
      </c>
      <c r="Y164" s="460">
        <f t="shared" si="7"/>
        <v>772604.2699999999</v>
      </c>
      <c r="Z164" s="395">
        <v>5000</v>
      </c>
      <c r="AA164" s="395"/>
      <c r="AB164" s="395">
        <v>34925.800000000003</v>
      </c>
      <c r="AC164" s="395"/>
      <c r="AD164" s="395">
        <v>25855.05</v>
      </c>
      <c r="AE164" s="395"/>
      <c r="AF164" s="395"/>
      <c r="AG164" s="395"/>
      <c r="AH164" s="395"/>
      <c r="AI164" s="395"/>
      <c r="AJ164" s="395"/>
      <c r="AK164" s="395"/>
      <c r="AL164" s="452"/>
      <c r="AM164" s="460">
        <f t="shared" si="8"/>
        <v>65780.850000000006</v>
      </c>
      <c r="AN164" s="395">
        <v>71.5</v>
      </c>
      <c r="AO164" s="398">
        <v>369</v>
      </c>
      <c r="AP164" s="455">
        <v>-52.72</v>
      </c>
      <c r="AQ164" s="465"/>
      <c r="AR164" s="465">
        <v>0</v>
      </c>
      <c r="AS164" s="470">
        <v>1</v>
      </c>
      <c r="AT164" s="516"/>
      <c r="AU164" s="516"/>
      <c r="AV164" s="516"/>
      <c r="AW164" s="516"/>
      <c r="AX164" s="516"/>
      <c r="AY164" s="516"/>
      <c r="AZ164" s="522"/>
      <c r="BA164" s="522"/>
      <c r="BB164" s="522"/>
      <c r="BC164" s="522"/>
      <c r="BD164" s="522"/>
      <c r="BE164" s="522"/>
      <c r="BF164" s="522"/>
      <c r="BG164" s="522"/>
    </row>
    <row r="165" spans="1:59" x14ac:dyDescent="0.25">
      <c r="A165" s="338">
        <v>5663</v>
      </c>
      <c r="B165" s="485" t="s">
        <v>203</v>
      </c>
      <c r="C165" s="390">
        <v>369889.6</v>
      </c>
      <c r="D165" s="390">
        <v>33569.839999999997</v>
      </c>
      <c r="E165" s="388"/>
      <c r="F165" s="390">
        <v>1280</v>
      </c>
      <c r="G165" s="390">
        <v>4875.5</v>
      </c>
      <c r="H165" s="390">
        <v>79.7</v>
      </c>
      <c r="I165" s="390">
        <v>0</v>
      </c>
      <c r="J165" s="390">
        <v>7597.84</v>
      </c>
      <c r="K165" s="390">
        <v>325.2</v>
      </c>
      <c r="L165" s="390">
        <v>32190.75</v>
      </c>
      <c r="M165" s="331">
        <f t="shared" si="6"/>
        <v>449808.43</v>
      </c>
      <c r="N165" s="394">
        <v>0</v>
      </c>
      <c r="O165" s="394">
        <v>0</v>
      </c>
      <c r="P165" s="394">
        <v>9427.15</v>
      </c>
      <c r="Q165" s="394">
        <v>0</v>
      </c>
      <c r="R165" s="394">
        <v>11775.6</v>
      </c>
      <c r="S165" s="394"/>
      <c r="T165" s="394"/>
      <c r="U165" s="394">
        <v>990</v>
      </c>
      <c r="V165" s="394"/>
      <c r="W165" s="394"/>
      <c r="X165" s="379">
        <v>594.36</v>
      </c>
      <c r="Y165" s="460">
        <f t="shared" si="7"/>
        <v>472595.54</v>
      </c>
      <c r="Z165" s="395"/>
      <c r="AA165" s="395"/>
      <c r="AB165" s="395">
        <v>28980</v>
      </c>
      <c r="AC165" s="395"/>
      <c r="AD165" s="395">
        <v>10558.3</v>
      </c>
      <c r="AE165" s="395"/>
      <c r="AF165" s="395"/>
      <c r="AG165" s="395"/>
      <c r="AH165" s="395"/>
      <c r="AI165" s="395"/>
      <c r="AJ165" s="395"/>
      <c r="AK165" s="395"/>
      <c r="AL165" s="452"/>
      <c r="AM165" s="460">
        <f t="shared" si="8"/>
        <v>39538.300000000003</v>
      </c>
      <c r="AN165" s="395">
        <v>80</v>
      </c>
      <c r="AO165" s="398">
        <v>219</v>
      </c>
      <c r="AP165" s="455">
        <v>-17752.509999999998</v>
      </c>
      <c r="AQ165" s="465"/>
      <c r="AR165" s="465">
        <v>0</v>
      </c>
      <c r="AS165" s="470">
        <v>1</v>
      </c>
      <c r="AT165" s="516"/>
      <c r="AU165" s="516"/>
      <c r="AV165" s="516"/>
      <c r="AW165" s="516"/>
      <c r="AX165" s="516"/>
      <c r="AY165" s="516"/>
      <c r="AZ165" s="522"/>
      <c r="BA165" s="522"/>
      <c r="BB165" s="522"/>
      <c r="BC165" s="522"/>
      <c r="BD165" s="522"/>
      <c r="BE165" s="522"/>
      <c r="BF165" s="522"/>
      <c r="BG165" s="522"/>
    </row>
    <row r="166" spans="1:59" x14ac:dyDescent="0.25">
      <c r="A166" s="338">
        <v>5665</v>
      </c>
      <c r="B166" s="485" t="s">
        <v>97</v>
      </c>
      <c r="C166" s="390">
        <v>416721.07</v>
      </c>
      <c r="D166" s="390">
        <v>46515.76</v>
      </c>
      <c r="E166" s="388"/>
      <c r="F166" s="390">
        <v>0</v>
      </c>
      <c r="G166" s="390">
        <v>128.55000000000001</v>
      </c>
      <c r="H166" s="390">
        <v>65.599999999999994</v>
      </c>
      <c r="I166" s="390">
        <v>0</v>
      </c>
      <c r="J166" s="390">
        <v>9972.25</v>
      </c>
      <c r="K166" s="390">
        <v>4.5</v>
      </c>
      <c r="L166" s="390">
        <v>25595.4</v>
      </c>
      <c r="M166" s="331">
        <f t="shared" si="6"/>
        <v>499003.13</v>
      </c>
      <c r="N166" s="394">
        <v>0</v>
      </c>
      <c r="O166" s="394">
        <v>0</v>
      </c>
      <c r="P166" s="394">
        <v>26698.65</v>
      </c>
      <c r="Q166" s="394">
        <v>0</v>
      </c>
      <c r="R166" s="394">
        <v>26239.25</v>
      </c>
      <c r="S166" s="394">
        <v>100</v>
      </c>
      <c r="T166" s="394"/>
      <c r="U166" s="394">
        <v>1690</v>
      </c>
      <c r="V166" s="394"/>
      <c r="W166" s="394"/>
      <c r="X166" s="379">
        <v>23.29</v>
      </c>
      <c r="Y166" s="460">
        <f t="shared" si="7"/>
        <v>553754.32000000007</v>
      </c>
      <c r="Z166" s="395"/>
      <c r="AA166" s="395"/>
      <c r="AB166" s="395">
        <v>16324.2</v>
      </c>
      <c r="AC166" s="395"/>
      <c r="AD166" s="395">
        <v>20813.599999999999</v>
      </c>
      <c r="AE166" s="395"/>
      <c r="AF166" s="395"/>
      <c r="AG166" s="395"/>
      <c r="AH166" s="395"/>
      <c r="AI166" s="395"/>
      <c r="AJ166" s="395"/>
      <c r="AK166" s="395"/>
      <c r="AL166" s="452"/>
      <c r="AM166" s="460">
        <f t="shared" si="8"/>
        <v>37137.800000000003</v>
      </c>
      <c r="AN166" s="395">
        <v>73</v>
      </c>
      <c r="AO166" s="398">
        <v>223</v>
      </c>
      <c r="AP166" s="455">
        <v>-84.4</v>
      </c>
      <c r="AQ166" s="465"/>
      <c r="AR166" s="465">
        <v>0</v>
      </c>
      <c r="AS166" s="470">
        <v>1</v>
      </c>
      <c r="AT166" s="516"/>
      <c r="AU166" s="516"/>
      <c r="AV166" s="516"/>
      <c r="AW166" s="516"/>
      <c r="AX166" s="516"/>
      <c r="AY166" s="516"/>
      <c r="AZ166" s="522"/>
      <c r="BA166" s="522"/>
      <c r="BB166" s="522"/>
      <c r="BC166" s="522"/>
      <c r="BD166" s="522"/>
      <c r="BE166" s="522"/>
      <c r="BF166" s="522"/>
      <c r="BG166" s="522"/>
    </row>
    <row r="167" spans="1:59" x14ac:dyDescent="0.25">
      <c r="A167" s="338">
        <v>5669</v>
      </c>
      <c r="B167" s="485" t="s">
        <v>98</v>
      </c>
      <c r="C167" s="390">
        <v>595315.93999999994</v>
      </c>
      <c r="D167" s="390">
        <v>111124.7</v>
      </c>
      <c r="E167" s="388"/>
      <c r="F167" s="390">
        <v>0</v>
      </c>
      <c r="G167" s="390">
        <v>5656</v>
      </c>
      <c r="H167" s="390">
        <v>562.5</v>
      </c>
      <c r="I167" s="390">
        <v>0</v>
      </c>
      <c r="J167" s="390">
        <v>-2083.19</v>
      </c>
      <c r="K167" s="390">
        <v>356.7</v>
      </c>
      <c r="L167" s="390">
        <v>24133.95</v>
      </c>
      <c r="M167" s="331">
        <f t="shared" si="6"/>
        <v>735066.59999999986</v>
      </c>
      <c r="N167" s="394">
        <v>0</v>
      </c>
      <c r="O167" s="394">
        <v>4.8</v>
      </c>
      <c r="P167" s="394">
        <v>8856.4</v>
      </c>
      <c r="Q167" s="394">
        <v>0</v>
      </c>
      <c r="R167" s="394">
        <v>23453.599999999999</v>
      </c>
      <c r="S167" s="394"/>
      <c r="T167" s="394"/>
      <c r="U167" s="394">
        <v>4200</v>
      </c>
      <c r="V167" s="394"/>
      <c r="W167" s="394"/>
      <c r="X167" s="379">
        <v>745.89</v>
      </c>
      <c r="Y167" s="460">
        <f t="shared" si="7"/>
        <v>772327.28999999992</v>
      </c>
      <c r="Z167" s="395">
        <v>3000</v>
      </c>
      <c r="AA167" s="395"/>
      <c r="AB167" s="395">
        <v>21193.35</v>
      </c>
      <c r="AC167" s="395"/>
      <c r="AD167" s="395">
        <v>17772.650000000001</v>
      </c>
      <c r="AE167" s="395"/>
      <c r="AF167" s="395"/>
      <c r="AG167" s="395"/>
      <c r="AH167" s="395"/>
      <c r="AI167" s="395"/>
      <c r="AJ167" s="395"/>
      <c r="AK167" s="395"/>
      <c r="AL167" s="452"/>
      <c r="AM167" s="460">
        <f t="shared" si="8"/>
        <v>41966</v>
      </c>
      <c r="AN167" s="395">
        <v>73</v>
      </c>
      <c r="AO167" s="398">
        <v>301</v>
      </c>
      <c r="AP167" s="455">
        <v>-8889.51</v>
      </c>
      <c r="AQ167" s="465"/>
      <c r="AR167" s="465">
        <v>-116.59</v>
      </c>
      <c r="AS167" s="470">
        <v>0.5</v>
      </c>
      <c r="AT167" s="516"/>
      <c r="AU167" s="516"/>
      <c r="AV167" s="516"/>
      <c r="AW167" s="516"/>
      <c r="AX167" s="516"/>
      <c r="AY167" s="516"/>
      <c r="AZ167" s="522"/>
      <c r="BA167" s="522"/>
      <c r="BB167" s="522"/>
      <c r="BC167" s="522"/>
      <c r="BD167" s="522"/>
      <c r="BE167" s="522"/>
      <c r="BF167" s="522"/>
      <c r="BG167" s="522"/>
    </row>
    <row r="168" spans="1:59" x14ac:dyDescent="0.25">
      <c r="A168" s="338">
        <v>5671</v>
      </c>
      <c r="B168" s="485" t="s">
        <v>99</v>
      </c>
      <c r="C168" s="390">
        <v>393577.67</v>
      </c>
      <c r="D168" s="390">
        <v>49036.56</v>
      </c>
      <c r="E168" s="388"/>
      <c r="F168" s="390">
        <v>0</v>
      </c>
      <c r="G168" s="390">
        <v>3443.65</v>
      </c>
      <c r="H168" s="390">
        <v>33.549999999999997</v>
      </c>
      <c r="I168" s="390">
        <v>0</v>
      </c>
      <c r="J168" s="390">
        <v>873.22</v>
      </c>
      <c r="K168" s="390">
        <v>223.5</v>
      </c>
      <c r="L168" s="390">
        <v>32024.9</v>
      </c>
      <c r="M168" s="331">
        <f t="shared" si="6"/>
        <v>479213.05</v>
      </c>
      <c r="N168" s="394">
        <v>0</v>
      </c>
      <c r="O168" s="394">
        <v>0</v>
      </c>
      <c r="P168" s="394">
        <v>21780</v>
      </c>
      <c r="Q168" s="394">
        <v>8434.0499999999993</v>
      </c>
      <c r="R168" s="394">
        <v>36520.65</v>
      </c>
      <c r="S168" s="394"/>
      <c r="T168" s="394"/>
      <c r="U168" s="394">
        <v>2250</v>
      </c>
      <c r="V168" s="394"/>
      <c r="W168" s="394"/>
      <c r="X168" s="379">
        <v>417.08</v>
      </c>
      <c r="Y168" s="460">
        <f t="shared" si="7"/>
        <v>548614.82999999996</v>
      </c>
      <c r="Z168" s="395"/>
      <c r="AA168" s="395"/>
      <c r="AB168" s="395">
        <v>12094.15</v>
      </c>
      <c r="AC168" s="395"/>
      <c r="AD168" s="395">
        <v>18629.099999999999</v>
      </c>
      <c r="AE168" s="395"/>
      <c r="AF168" s="395"/>
      <c r="AG168" s="395"/>
      <c r="AH168" s="395"/>
      <c r="AI168" s="395"/>
      <c r="AJ168" s="395"/>
      <c r="AK168" s="395"/>
      <c r="AL168" s="452"/>
      <c r="AM168" s="460">
        <f t="shared" si="8"/>
        <v>30723.25</v>
      </c>
      <c r="AN168" s="395">
        <v>78</v>
      </c>
      <c r="AO168" s="398">
        <v>245</v>
      </c>
      <c r="AP168" s="455">
        <v>-17407.05</v>
      </c>
      <c r="AQ168" s="465"/>
      <c r="AR168" s="465">
        <v>0</v>
      </c>
      <c r="AS168" s="470">
        <v>1</v>
      </c>
      <c r="AT168" s="516"/>
      <c r="AU168" s="516"/>
      <c r="AV168" s="516"/>
      <c r="AW168" s="516"/>
      <c r="AX168" s="516"/>
      <c r="AY168" s="516"/>
      <c r="AZ168" s="522"/>
      <c r="BA168" s="522"/>
      <c r="BB168" s="522"/>
      <c r="BC168" s="522"/>
      <c r="BD168" s="522"/>
      <c r="BE168" s="522"/>
      <c r="BF168" s="522"/>
      <c r="BG168" s="522"/>
    </row>
    <row r="169" spans="1:59" x14ac:dyDescent="0.25">
      <c r="A169" s="338">
        <v>5673</v>
      </c>
      <c r="B169" s="485" t="s">
        <v>100</v>
      </c>
      <c r="C169" s="390">
        <v>650325.26</v>
      </c>
      <c r="D169" s="390">
        <v>85231.25</v>
      </c>
      <c r="E169" s="388"/>
      <c r="F169" s="390">
        <v>2030</v>
      </c>
      <c r="G169" s="390">
        <v>1879.65</v>
      </c>
      <c r="H169" s="390">
        <v>556.20000000000005</v>
      </c>
      <c r="I169" s="390">
        <v>0</v>
      </c>
      <c r="J169" s="390">
        <v>10930.52</v>
      </c>
      <c r="K169" s="390">
        <v>408</v>
      </c>
      <c r="L169" s="390">
        <v>28437</v>
      </c>
      <c r="M169" s="331">
        <f t="shared" si="6"/>
        <v>779797.88</v>
      </c>
      <c r="N169" s="394">
        <v>14893.5</v>
      </c>
      <c r="O169" s="394">
        <v>5892.3</v>
      </c>
      <c r="P169" s="394">
        <v>8946.2999999999993</v>
      </c>
      <c r="Q169" s="394">
        <v>0</v>
      </c>
      <c r="R169" s="394">
        <v>4401.95</v>
      </c>
      <c r="S169" s="394"/>
      <c r="T169" s="394"/>
      <c r="U169" s="394">
        <v>1325</v>
      </c>
      <c r="V169" s="394"/>
      <c r="W169" s="394"/>
      <c r="X169" s="379">
        <v>292.17</v>
      </c>
      <c r="Y169" s="460">
        <f t="shared" si="7"/>
        <v>815549.10000000009</v>
      </c>
      <c r="Z169" s="395"/>
      <c r="AA169" s="395"/>
      <c r="AB169" s="395">
        <v>65033.35</v>
      </c>
      <c r="AC169" s="395"/>
      <c r="AD169" s="395">
        <v>24041.200000000001</v>
      </c>
      <c r="AE169" s="395">
        <v>2400</v>
      </c>
      <c r="AF169" s="395"/>
      <c r="AG169" s="395"/>
      <c r="AH169" s="395"/>
      <c r="AI169" s="395"/>
      <c r="AJ169" s="395"/>
      <c r="AK169" s="395"/>
      <c r="AL169" s="452"/>
      <c r="AM169" s="460">
        <f t="shared" si="8"/>
        <v>91474.55</v>
      </c>
      <c r="AN169" s="395">
        <v>73.5</v>
      </c>
      <c r="AO169" s="398">
        <v>384</v>
      </c>
      <c r="AP169" s="455">
        <v>-17050.080000000002</v>
      </c>
      <c r="AQ169" s="465"/>
      <c r="AR169" s="465">
        <v>-51.43</v>
      </c>
      <c r="AS169" s="470">
        <v>0.6</v>
      </c>
      <c r="AT169" s="516"/>
      <c r="AU169" s="516"/>
      <c r="AV169" s="516"/>
      <c r="AW169" s="516"/>
      <c r="AX169" s="516"/>
      <c r="AY169" s="516"/>
      <c r="AZ169" s="523"/>
      <c r="BA169" s="523"/>
      <c r="BB169" s="523"/>
      <c r="BC169" s="523"/>
      <c r="BD169" s="523"/>
      <c r="BE169" s="523"/>
      <c r="BF169" s="523"/>
      <c r="BG169" s="523"/>
    </row>
    <row r="170" spans="1:59" x14ac:dyDescent="0.25">
      <c r="A170" s="338">
        <v>5674</v>
      </c>
      <c r="B170" s="485" t="s">
        <v>101</v>
      </c>
      <c r="C170" s="390">
        <v>210042.16</v>
      </c>
      <c r="D170" s="390">
        <v>40238.36</v>
      </c>
      <c r="E170" s="388"/>
      <c r="F170" s="390">
        <v>0</v>
      </c>
      <c r="G170" s="390">
        <v>97.6</v>
      </c>
      <c r="H170" s="390">
        <v>159.6</v>
      </c>
      <c r="I170" s="390">
        <v>0</v>
      </c>
      <c r="J170" s="390">
        <v>96.23</v>
      </c>
      <c r="K170" s="390">
        <v>64.099999999999994</v>
      </c>
      <c r="L170" s="390">
        <v>13331.95</v>
      </c>
      <c r="M170" s="331">
        <f t="shared" si="6"/>
        <v>264030.00000000006</v>
      </c>
      <c r="N170" s="394">
        <v>0</v>
      </c>
      <c r="O170" s="394">
        <v>74578</v>
      </c>
      <c r="P170" s="394">
        <v>950.4</v>
      </c>
      <c r="Q170" s="394">
        <v>0</v>
      </c>
      <c r="R170" s="394">
        <v>0</v>
      </c>
      <c r="S170" s="394"/>
      <c r="T170" s="394"/>
      <c r="U170" s="394">
        <v>540</v>
      </c>
      <c r="V170" s="394"/>
      <c r="W170" s="394"/>
      <c r="X170" s="379">
        <v>30.85</v>
      </c>
      <c r="Y170" s="460">
        <f t="shared" si="7"/>
        <v>340129.25000000006</v>
      </c>
      <c r="Z170" s="395">
        <v>1500</v>
      </c>
      <c r="AA170" s="395"/>
      <c r="AB170" s="395">
        <v>8755.4500000000007</v>
      </c>
      <c r="AC170" s="395"/>
      <c r="AD170" s="395">
        <v>13549.15</v>
      </c>
      <c r="AE170" s="395">
        <v>9576.15</v>
      </c>
      <c r="AF170" s="395"/>
      <c r="AG170" s="395"/>
      <c r="AH170" s="395"/>
      <c r="AI170" s="395">
        <v>3449</v>
      </c>
      <c r="AJ170" s="395"/>
      <c r="AK170" s="395"/>
      <c r="AL170" s="452"/>
      <c r="AM170" s="460">
        <f t="shared" si="8"/>
        <v>36829.75</v>
      </c>
      <c r="AN170" s="395">
        <v>75</v>
      </c>
      <c r="AO170" s="398">
        <v>142</v>
      </c>
      <c r="AP170" s="455">
        <v>-1000.44</v>
      </c>
      <c r="AQ170" s="465">
        <v>-11419.4</v>
      </c>
      <c r="AR170" s="465">
        <v>-49.05</v>
      </c>
      <c r="AS170" s="470">
        <v>0.7</v>
      </c>
      <c r="AT170" s="516"/>
      <c r="AU170" s="516"/>
      <c r="AV170" s="516"/>
      <c r="AW170" s="516"/>
      <c r="AX170" s="516"/>
      <c r="AY170" s="516"/>
      <c r="AZ170" s="523"/>
      <c r="BA170" s="523"/>
      <c r="BB170" s="523"/>
      <c r="BC170" s="523"/>
      <c r="BD170" s="523"/>
      <c r="BE170" s="523"/>
      <c r="BF170" s="523"/>
      <c r="BG170" s="523"/>
    </row>
    <row r="171" spans="1:59" x14ac:dyDescent="0.25">
      <c r="A171" s="338">
        <v>5675</v>
      </c>
      <c r="B171" s="485" t="s">
        <v>102</v>
      </c>
      <c r="C171" s="390">
        <v>4637124.51</v>
      </c>
      <c r="D171" s="390">
        <v>498932.09</v>
      </c>
      <c r="E171" s="388"/>
      <c r="F171" s="390">
        <v>0</v>
      </c>
      <c r="G171" s="390">
        <v>611854.6</v>
      </c>
      <c r="H171" s="390">
        <v>13009.9</v>
      </c>
      <c r="I171" s="390">
        <v>0</v>
      </c>
      <c r="J171" s="390">
        <v>233881.34</v>
      </c>
      <c r="K171" s="390">
        <v>-37589.300000000003</v>
      </c>
      <c r="L171" s="390">
        <v>708904.45</v>
      </c>
      <c r="M171" s="331">
        <f t="shared" si="6"/>
        <v>6666117.5899999999</v>
      </c>
      <c r="N171" s="394">
        <v>47289.1</v>
      </c>
      <c r="O171" s="394">
        <v>52773</v>
      </c>
      <c r="P171" s="394">
        <v>242645.75</v>
      </c>
      <c r="Q171" s="394">
        <v>50050.27</v>
      </c>
      <c r="R171" s="394">
        <v>195866.65</v>
      </c>
      <c r="S171" s="394"/>
      <c r="T171" s="394">
        <v>9086.2000000000007</v>
      </c>
      <c r="U171" s="394">
        <v>27400</v>
      </c>
      <c r="V171" s="394"/>
      <c r="W171" s="394">
        <v>450</v>
      </c>
      <c r="X171" s="379">
        <v>74950.55</v>
      </c>
      <c r="Y171" s="460">
        <f t="shared" si="7"/>
        <v>7366629.1099999994</v>
      </c>
      <c r="Z171" s="395">
        <v>144494.39999999999</v>
      </c>
      <c r="AA171" s="395"/>
      <c r="AB171" s="395">
        <v>294259.90000000002</v>
      </c>
      <c r="AC171" s="395"/>
      <c r="AD171" s="395">
        <v>413750</v>
      </c>
      <c r="AE171" s="395">
        <v>87066.85</v>
      </c>
      <c r="AF171" s="395"/>
      <c r="AG171" s="395"/>
      <c r="AH171" s="395"/>
      <c r="AI171" s="395">
        <v>405319.75</v>
      </c>
      <c r="AJ171" s="395"/>
      <c r="AK171" s="395"/>
      <c r="AL171" s="452"/>
      <c r="AM171" s="460">
        <f t="shared" si="8"/>
        <v>1344890.9</v>
      </c>
      <c r="AN171" s="395">
        <v>67.5</v>
      </c>
      <c r="AO171" s="398">
        <v>4309</v>
      </c>
      <c r="AP171" s="455">
        <v>-166505.23000000001</v>
      </c>
      <c r="AQ171" s="465"/>
      <c r="AR171" s="465">
        <v>-2257.4899999999998</v>
      </c>
      <c r="AS171" s="470">
        <v>1.1000000000000001</v>
      </c>
      <c r="AT171" s="516"/>
      <c r="AU171" s="516"/>
      <c r="AV171" s="516"/>
      <c r="AW171" s="516"/>
      <c r="AX171" s="516"/>
      <c r="AY171" s="516"/>
      <c r="AZ171" s="523"/>
      <c r="BA171" s="523"/>
      <c r="BB171" s="523"/>
      <c r="BC171" s="523"/>
      <c r="BD171" s="523"/>
      <c r="BE171" s="523"/>
      <c r="BF171" s="523"/>
      <c r="BG171" s="523"/>
    </row>
    <row r="172" spans="1:59" x14ac:dyDescent="0.25">
      <c r="A172" s="338">
        <v>5678</v>
      </c>
      <c r="B172" s="485" t="s">
        <v>103</v>
      </c>
      <c r="C172" s="390">
        <v>6839296.1699999999</v>
      </c>
      <c r="D172" s="390">
        <v>738087.63</v>
      </c>
      <c r="E172" s="388"/>
      <c r="F172" s="390">
        <v>34545.9</v>
      </c>
      <c r="G172" s="390">
        <v>322442.7</v>
      </c>
      <c r="H172" s="390">
        <v>21866.35</v>
      </c>
      <c r="I172" s="390">
        <v>0</v>
      </c>
      <c r="J172" s="390">
        <v>471175.92</v>
      </c>
      <c r="K172" s="390">
        <v>68232.7</v>
      </c>
      <c r="L172" s="390">
        <v>815906.65</v>
      </c>
      <c r="M172" s="331">
        <f t="shared" si="6"/>
        <v>9311554.0199999996</v>
      </c>
      <c r="N172" s="394">
        <v>194976.2</v>
      </c>
      <c r="O172" s="394">
        <v>250407.2</v>
      </c>
      <c r="P172" s="394">
        <v>568072.9</v>
      </c>
      <c r="Q172" s="394">
        <v>58437.71</v>
      </c>
      <c r="R172" s="394">
        <v>381293.65</v>
      </c>
      <c r="S172" s="394">
        <v>52700.6</v>
      </c>
      <c r="T172" s="394">
        <v>-100</v>
      </c>
      <c r="U172" s="394">
        <v>41100</v>
      </c>
      <c r="V172" s="394">
        <v>5696.8</v>
      </c>
      <c r="W172" s="394"/>
      <c r="X172" s="379">
        <v>41298.800000000003</v>
      </c>
      <c r="Y172" s="460">
        <f t="shared" si="7"/>
        <v>10905437.880000001</v>
      </c>
      <c r="Z172" s="395">
        <v>68680.350000000006</v>
      </c>
      <c r="AA172" s="395"/>
      <c r="AB172" s="395">
        <v>949104</v>
      </c>
      <c r="AC172" s="395"/>
      <c r="AD172" s="395">
        <v>674619.28</v>
      </c>
      <c r="AE172" s="395">
        <v>35778.85</v>
      </c>
      <c r="AF172" s="395"/>
      <c r="AG172" s="395"/>
      <c r="AH172" s="395">
        <v>4000.5</v>
      </c>
      <c r="AI172" s="395"/>
      <c r="AJ172" s="395">
        <v>195000</v>
      </c>
      <c r="AK172" s="395"/>
      <c r="AL172" s="452"/>
      <c r="AM172" s="460">
        <f t="shared" si="8"/>
        <v>1927182.98</v>
      </c>
      <c r="AN172" s="395">
        <v>72.5</v>
      </c>
      <c r="AO172" s="398">
        <v>6109</v>
      </c>
      <c r="AP172" s="455">
        <v>-347595.64</v>
      </c>
      <c r="AQ172" s="465"/>
      <c r="AR172" s="465">
        <v>-3702.04</v>
      </c>
      <c r="AS172" s="470">
        <v>1</v>
      </c>
      <c r="AT172" s="516"/>
      <c r="AU172" s="516"/>
      <c r="AV172" s="516"/>
      <c r="AW172" s="516"/>
      <c r="AX172" s="516"/>
      <c r="AY172" s="516"/>
      <c r="AZ172" s="523"/>
      <c r="BA172" s="523"/>
      <c r="BB172" s="523"/>
      <c r="BC172" s="523"/>
      <c r="BD172" s="523"/>
      <c r="BE172" s="523"/>
      <c r="BF172" s="523"/>
      <c r="BG172" s="523"/>
    </row>
    <row r="173" spans="1:59" x14ac:dyDescent="0.25">
      <c r="A173" s="338">
        <v>5680</v>
      </c>
      <c r="B173" s="485" t="s">
        <v>104</v>
      </c>
      <c r="C173" s="390">
        <v>556506.6</v>
      </c>
      <c r="D173" s="390">
        <v>70148.83</v>
      </c>
      <c r="E173" s="388"/>
      <c r="F173" s="390">
        <v>0</v>
      </c>
      <c r="G173" s="390">
        <v>2894.75</v>
      </c>
      <c r="H173" s="390">
        <v>321.7</v>
      </c>
      <c r="I173" s="390">
        <v>0</v>
      </c>
      <c r="J173" s="390">
        <v>9518.5499999999993</v>
      </c>
      <c r="K173" s="390">
        <v>625</v>
      </c>
      <c r="L173" s="390">
        <v>76529.05</v>
      </c>
      <c r="M173" s="331">
        <f t="shared" si="6"/>
        <v>716544.48</v>
      </c>
      <c r="N173" s="394">
        <v>0</v>
      </c>
      <c r="O173" s="394">
        <v>0</v>
      </c>
      <c r="P173" s="394">
        <v>41969.2</v>
      </c>
      <c r="Q173" s="394">
        <v>27156.61</v>
      </c>
      <c r="R173" s="394">
        <v>60938.6</v>
      </c>
      <c r="S173" s="394"/>
      <c r="T173" s="394"/>
      <c r="U173" s="394">
        <v>2150</v>
      </c>
      <c r="V173" s="394"/>
      <c r="W173" s="394"/>
      <c r="X173" s="379">
        <v>385.8</v>
      </c>
      <c r="Y173" s="460">
        <f t="shared" si="7"/>
        <v>849144.69</v>
      </c>
      <c r="Z173" s="395"/>
      <c r="AA173" s="395"/>
      <c r="AB173" s="395">
        <v>30583.3</v>
      </c>
      <c r="AC173" s="395"/>
      <c r="AD173" s="395">
        <v>13985.74</v>
      </c>
      <c r="AE173" s="395">
        <v>64000</v>
      </c>
      <c r="AF173" s="395"/>
      <c r="AG173" s="395"/>
      <c r="AH173" s="395"/>
      <c r="AI173" s="395">
        <v>5710.25</v>
      </c>
      <c r="AJ173" s="395"/>
      <c r="AK173" s="395"/>
      <c r="AL173" s="452"/>
      <c r="AM173" s="460">
        <f t="shared" si="8"/>
        <v>114279.29000000001</v>
      </c>
      <c r="AN173" s="395">
        <v>78</v>
      </c>
      <c r="AO173" s="398">
        <v>301</v>
      </c>
      <c r="AP173" s="455">
        <v>-41881.83</v>
      </c>
      <c r="AQ173" s="465"/>
      <c r="AR173" s="465">
        <v>-40.29</v>
      </c>
      <c r="AS173" s="470">
        <v>1.5</v>
      </c>
      <c r="AT173" s="516"/>
      <c r="AU173" s="516"/>
      <c r="AV173" s="516"/>
      <c r="AW173" s="516"/>
      <c r="AX173" s="516"/>
      <c r="AY173" s="516"/>
      <c r="AZ173" s="523"/>
      <c r="BA173" s="523"/>
      <c r="BB173" s="523"/>
      <c r="BC173" s="523"/>
      <c r="BD173" s="523"/>
      <c r="BE173" s="523"/>
      <c r="BF173" s="523"/>
      <c r="BG173" s="523"/>
    </row>
    <row r="174" spans="1:59" x14ac:dyDescent="0.25">
      <c r="A174" s="338">
        <v>5683</v>
      </c>
      <c r="B174" s="485" t="s">
        <v>105</v>
      </c>
      <c r="C174" s="390">
        <v>318868.86</v>
      </c>
      <c r="D174" s="390">
        <v>21247.200000000001</v>
      </c>
      <c r="E174" s="388"/>
      <c r="F174" s="390">
        <v>0</v>
      </c>
      <c r="G174" s="390">
        <v>-3564.4</v>
      </c>
      <c r="H174" s="390">
        <v>769.25</v>
      </c>
      <c r="I174" s="390">
        <v>0</v>
      </c>
      <c r="J174" s="390">
        <v>-1870.79</v>
      </c>
      <c r="K174" s="390">
        <v>2220.5</v>
      </c>
      <c r="L174" s="390">
        <v>28563.75</v>
      </c>
      <c r="M174" s="331">
        <f t="shared" si="6"/>
        <v>366234.37</v>
      </c>
      <c r="N174" s="394">
        <v>0</v>
      </c>
      <c r="O174" s="394">
        <v>1149.2</v>
      </c>
      <c r="P174" s="394">
        <v>0</v>
      </c>
      <c r="Q174" s="394">
        <v>0</v>
      </c>
      <c r="R174" s="394">
        <v>3217.9</v>
      </c>
      <c r="S174" s="394"/>
      <c r="T174" s="394"/>
      <c r="U174" s="394">
        <v>1225</v>
      </c>
      <c r="V174" s="394"/>
      <c r="W174" s="394"/>
      <c r="X174" s="379">
        <v>-335.27</v>
      </c>
      <c r="Y174" s="460">
        <f t="shared" si="7"/>
        <v>371491.2</v>
      </c>
      <c r="Z174" s="395">
        <v>6000</v>
      </c>
      <c r="AA174" s="395"/>
      <c r="AB174" s="395">
        <v>11827.7</v>
      </c>
      <c r="AC174" s="395"/>
      <c r="AD174" s="395">
        <v>10910</v>
      </c>
      <c r="AE174" s="395">
        <v>5000</v>
      </c>
      <c r="AF174" s="395"/>
      <c r="AG174" s="395"/>
      <c r="AH174" s="395"/>
      <c r="AI174" s="395"/>
      <c r="AJ174" s="395"/>
      <c r="AK174" s="395"/>
      <c r="AL174" s="452"/>
      <c r="AM174" s="460">
        <f t="shared" si="8"/>
        <v>33737.699999999997</v>
      </c>
      <c r="AN174" s="395">
        <v>72.5</v>
      </c>
      <c r="AO174" s="398">
        <v>202</v>
      </c>
      <c r="AP174" s="455">
        <v>-2962.05</v>
      </c>
      <c r="AQ174" s="465"/>
      <c r="AR174" s="465">
        <v>0</v>
      </c>
      <c r="AS174" s="470">
        <v>1</v>
      </c>
      <c r="AT174" s="516"/>
      <c r="AU174" s="516"/>
      <c r="AV174" s="516"/>
      <c r="AW174" s="516"/>
      <c r="AX174" s="516"/>
      <c r="AY174" s="516"/>
      <c r="AZ174" s="523"/>
      <c r="BA174" s="523"/>
      <c r="BB174" s="523"/>
      <c r="BC174" s="523"/>
      <c r="BD174" s="523"/>
      <c r="BE174" s="523"/>
      <c r="BF174" s="523"/>
      <c r="BG174" s="523"/>
    </row>
    <row r="175" spans="1:59" x14ac:dyDescent="0.25">
      <c r="A175" s="338">
        <v>5684</v>
      </c>
      <c r="B175" s="485" t="s">
        <v>106</v>
      </c>
      <c r="C175" s="390">
        <v>249986.56</v>
      </c>
      <c r="D175" s="390">
        <v>69536.34</v>
      </c>
      <c r="E175" s="388"/>
      <c r="F175" s="390">
        <v>0</v>
      </c>
      <c r="G175" s="390">
        <v>228.95</v>
      </c>
      <c r="H175" s="390">
        <v>-258.25</v>
      </c>
      <c r="I175" s="390">
        <v>0</v>
      </c>
      <c r="J175" s="390">
        <v>121.38</v>
      </c>
      <c r="K175" s="390">
        <v>0</v>
      </c>
      <c r="L175" s="390">
        <v>6461.9</v>
      </c>
      <c r="M175" s="331">
        <f t="shared" si="6"/>
        <v>326076.88000000006</v>
      </c>
      <c r="N175" s="394">
        <v>0</v>
      </c>
      <c r="O175" s="394">
        <v>0</v>
      </c>
      <c r="P175" s="394">
        <v>0</v>
      </c>
      <c r="Q175" s="394">
        <v>0</v>
      </c>
      <c r="R175" s="394">
        <v>0</v>
      </c>
      <c r="S175" s="394"/>
      <c r="T175" s="394"/>
      <c r="U175" s="394">
        <v>0</v>
      </c>
      <c r="V175" s="394"/>
      <c r="W175" s="394"/>
      <c r="X175" s="379">
        <v>-3.51</v>
      </c>
      <c r="Y175" s="460">
        <f t="shared" si="7"/>
        <v>326073.37000000005</v>
      </c>
      <c r="Z175" s="395"/>
      <c r="AA175" s="395"/>
      <c r="AB175" s="395">
        <v>6040.75</v>
      </c>
      <c r="AC175" s="395"/>
      <c r="AD175" s="395">
        <v>3336.65</v>
      </c>
      <c r="AE175" s="395">
        <v>103925</v>
      </c>
      <c r="AF175" s="395"/>
      <c r="AG175" s="395"/>
      <c r="AH175" s="395"/>
      <c r="AI175" s="395"/>
      <c r="AJ175" s="395"/>
      <c r="AK175" s="395"/>
      <c r="AL175" s="452"/>
      <c r="AM175" s="460">
        <f t="shared" si="8"/>
        <v>113302.39999999999</v>
      </c>
      <c r="AN175" s="395">
        <v>75</v>
      </c>
      <c r="AO175" s="398">
        <v>84</v>
      </c>
      <c r="AP175" s="455">
        <v>-2517.2399999999998</v>
      </c>
      <c r="AQ175" s="465"/>
      <c r="AR175" s="465">
        <v>-22.35</v>
      </c>
      <c r="AS175" s="470">
        <v>0.8</v>
      </c>
      <c r="AT175" s="516"/>
      <c r="AU175" s="516"/>
      <c r="AV175" s="516"/>
      <c r="AW175" s="516"/>
      <c r="AX175" s="516"/>
      <c r="AY175" s="516"/>
      <c r="AZ175" s="523"/>
      <c r="BA175" s="523"/>
      <c r="BB175" s="523"/>
      <c r="BC175" s="523"/>
      <c r="BD175" s="523"/>
      <c r="BE175" s="523"/>
      <c r="BF175" s="523"/>
      <c r="BG175" s="523"/>
    </row>
    <row r="176" spans="1:59" x14ac:dyDescent="0.25">
      <c r="A176" s="338">
        <v>5688</v>
      </c>
      <c r="B176" s="485" t="s">
        <v>107</v>
      </c>
      <c r="C176" s="473">
        <v>295382.48</v>
      </c>
      <c r="D176" s="390">
        <v>52453.85</v>
      </c>
      <c r="E176" s="388"/>
      <c r="F176" s="390">
        <v>0</v>
      </c>
      <c r="G176" s="390">
        <v>10685.7</v>
      </c>
      <c r="H176" s="390">
        <v>146.6</v>
      </c>
      <c r="I176" s="390">
        <v>0</v>
      </c>
      <c r="J176" s="390">
        <v>1283.3900000000001</v>
      </c>
      <c r="K176" s="390">
        <v>157.5</v>
      </c>
      <c r="L176" s="390">
        <v>23710.400000000001</v>
      </c>
      <c r="M176" s="331">
        <f t="shared" si="6"/>
        <v>383819.92</v>
      </c>
      <c r="N176" s="394">
        <v>0</v>
      </c>
      <c r="O176" s="394">
        <v>0</v>
      </c>
      <c r="P176" s="394">
        <v>40.65</v>
      </c>
      <c r="Q176" s="394">
        <v>0</v>
      </c>
      <c r="R176" s="394">
        <v>0</v>
      </c>
      <c r="S176" s="394"/>
      <c r="T176" s="394"/>
      <c r="U176" s="394">
        <v>720</v>
      </c>
      <c r="V176" s="394"/>
      <c r="W176" s="394"/>
      <c r="X176" s="379">
        <v>1299.3</v>
      </c>
      <c r="Y176" s="460">
        <f t="shared" si="7"/>
        <v>385879.87</v>
      </c>
      <c r="Z176" s="395">
        <v>15900</v>
      </c>
      <c r="AA176" s="395"/>
      <c r="AB176" s="395">
        <v>7520</v>
      </c>
      <c r="AC176" s="395"/>
      <c r="AD176" s="395">
        <v>14980.75</v>
      </c>
      <c r="AE176" s="395"/>
      <c r="AF176" s="395"/>
      <c r="AG176" s="395"/>
      <c r="AH176" s="395"/>
      <c r="AI176" s="395"/>
      <c r="AJ176" s="395"/>
      <c r="AK176" s="395"/>
      <c r="AL176" s="452"/>
      <c r="AM176" s="460">
        <f t="shared" si="8"/>
        <v>38400.75</v>
      </c>
      <c r="AN176" s="395">
        <v>75.599999999999994</v>
      </c>
      <c r="AO176" s="398">
        <v>156</v>
      </c>
      <c r="AP176" s="455">
        <v>-7.04</v>
      </c>
      <c r="AQ176" s="465"/>
      <c r="AR176" s="465">
        <v>0</v>
      </c>
      <c r="AS176" s="470">
        <v>1</v>
      </c>
      <c r="AT176" s="516"/>
      <c r="AU176" s="516"/>
      <c r="AV176" s="516"/>
      <c r="AW176" s="516"/>
      <c r="AX176" s="516"/>
      <c r="AY176" s="516"/>
      <c r="AZ176" s="523"/>
      <c r="BA176" s="523"/>
      <c r="BB176" s="523"/>
      <c r="BC176" s="523"/>
      <c r="BD176" s="523"/>
      <c r="BE176" s="523"/>
      <c r="BF176" s="523"/>
      <c r="BG176" s="523"/>
    </row>
    <row r="177" spans="1:59" x14ac:dyDescent="0.25">
      <c r="A177" s="338">
        <v>5690</v>
      </c>
      <c r="B177" s="485" t="s">
        <v>108</v>
      </c>
      <c r="C177" s="390">
        <v>182885.96</v>
      </c>
      <c r="D177" s="390">
        <v>41063.230000000003</v>
      </c>
      <c r="E177" s="388"/>
      <c r="F177" s="390">
        <v>750</v>
      </c>
      <c r="G177" s="390">
        <v>-14.45</v>
      </c>
      <c r="H177" s="390">
        <v>409.7</v>
      </c>
      <c r="I177" s="390">
        <v>0</v>
      </c>
      <c r="J177" s="390">
        <v>0</v>
      </c>
      <c r="K177" s="390">
        <v>184.1</v>
      </c>
      <c r="L177" s="390">
        <v>24858</v>
      </c>
      <c r="M177" s="331">
        <f t="shared" si="6"/>
        <v>250136.54</v>
      </c>
      <c r="N177" s="394">
        <v>0</v>
      </c>
      <c r="O177" s="394">
        <v>11060.8</v>
      </c>
      <c r="P177" s="394">
        <v>13276.15</v>
      </c>
      <c r="Q177" s="394">
        <v>0</v>
      </c>
      <c r="R177" s="394">
        <v>11217.45</v>
      </c>
      <c r="S177" s="394"/>
      <c r="T177" s="394"/>
      <c r="U177" s="394">
        <v>450</v>
      </c>
      <c r="V177" s="394"/>
      <c r="W177" s="394"/>
      <c r="X177" s="379">
        <v>47.41</v>
      </c>
      <c r="Y177" s="460">
        <f t="shared" si="7"/>
        <v>286188.34999999998</v>
      </c>
      <c r="Z177" s="395">
        <v>19360</v>
      </c>
      <c r="AA177" s="395"/>
      <c r="AB177" s="395">
        <v>22677</v>
      </c>
      <c r="AC177" s="395"/>
      <c r="AD177" s="395">
        <v>12940</v>
      </c>
      <c r="AE177" s="395">
        <v>1000</v>
      </c>
      <c r="AF177" s="395"/>
      <c r="AG177" s="395"/>
      <c r="AH177" s="395"/>
      <c r="AI177" s="395"/>
      <c r="AJ177" s="395"/>
      <c r="AK177" s="395"/>
      <c r="AL177" s="452"/>
      <c r="AM177" s="460">
        <f t="shared" si="8"/>
        <v>55977</v>
      </c>
      <c r="AN177" s="395">
        <v>70</v>
      </c>
      <c r="AO177" s="398">
        <v>120</v>
      </c>
      <c r="AP177" s="455">
        <v>-2176.4299999999998</v>
      </c>
      <c r="AQ177" s="465"/>
      <c r="AR177" s="465">
        <v>0</v>
      </c>
      <c r="AS177" s="470">
        <v>1.2</v>
      </c>
      <c r="AT177" s="516"/>
      <c r="AU177" s="516"/>
      <c r="AV177" s="516"/>
      <c r="AW177" s="516"/>
      <c r="AX177" s="516"/>
      <c r="AY177" s="516"/>
      <c r="AZ177" s="523"/>
      <c r="BA177" s="523"/>
      <c r="BB177" s="523"/>
      <c r="BC177" s="523"/>
      <c r="BD177" s="523"/>
      <c r="BE177" s="523"/>
      <c r="BF177" s="523"/>
      <c r="BG177" s="523"/>
    </row>
    <row r="178" spans="1:59" x14ac:dyDescent="0.25">
      <c r="A178" s="338">
        <v>5692</v>
      </c>
      <c r="B178" s="485" t="s">
        <v>109</v>
      </c>
      <c r="C178" s="390">
        <v>1141126.29</v>
      </c>
      <c r="D178" s="390">
        <v>112254.65</v>
      </c>
      <c r="E178" s="388"/>
      <c r="F178" s="390">
        <v>0</v>
      </c>
      <c r="G178" s="390">
        <v>11896.9</v>
      </c>
      <c r="H178" s="390">
        <v>1470.1</v>
      </c>
      <c r="I178" s="390">
        <v>0</v>
      </c>
      <c r="J178" s="390">
        <v>24468.36</v>
      </c>
      <c r="K178" s="390">
        <v>3158.45</v>
      </c>
      <c r="L178" s="390">
        <v>97934.1</v>
      </c>
      <c r="M178" s="331">
        <f t="shared" si="6"/>
        <v>1392308.85</v>
      </c>
      <c r="N178" s="394">
        <v>13335.05</v>
      </c>
      <c r="O178" s="394">
        <v>94.8</v>
      </c>
      <c r="P178" s="394">
        <v>73087.45</v>
      </c>
      <c r="Q178" s="394">
        <v>11.77</v>
      </c>
      <c r="R178" s="394">
        <v>27137.200000000001</v>
      </c>
      <c r="S178" s="394">
        <v>75</v>
      </c>
      <c r="T178" s="394">
        <v>430</v>
      </c>
      <c r="U178" s="394">
        <v>6150</v>
      </c>
      <c r="V178" s="394"/>
      <c r="W178" s="394"/>
      <c r="X178" s="379">
        <v>1603.33</v>
      </c>
      <c r="Y178" s="460">
        <f t="shared" si="7"/>
        <v>1514233.4500000002</v>
      </c>
      <c r="Z178" s="395">
        <v>3514</v>
      </c>
      <c r="AA178" s="395"/>
      <c r="AB178" s="395">
        <v>77233.5</v>
      </c>
      <c r="AC178" s="395"/>
      <c r="AD178" s="395">
        <v>35698.5</v>
      </c>
      <c r="AE178" s="395">
        <v>268.55</v>
      </c>
      <c r="AF178" s="395"/>
      <c r="AG178" s="395"/>
      <c r="AH178" s="395"/>
      <c r="AI178" s="395"/>
      <c r="AJ178" s="395"/>
      <c r="AK178" s="395">
        <v>8300.65</v>
      </c>
      <c r="AL178" s="452"/>
      <c r="AM178" s="460">
        <f t="shared" si="8"/>
        <v>125015.2</v>
      </c>
      <c r="AN178" s="395">
        <v>77</v>
      </c>
      <c r="AO178" s="398">
        <v>617</v>
      </c>
      <c r="AP178" s="455">
        <v>-1412.65</v>
      </c>
      <c r="AQ178" s="465"/>
      <c r="AR178" s="465">
        <v>-0.46</v>
      </c>
      <c r="AS178" s="470">
        <v>1</v>
      </c>
      <c r="AT178" s="516"/>
      <c r="AU178" s="516"/>
      <c r="AV178" s="516"/>
      <c r="AW178" s="516"/>
      <c r="AX178" s="516"/>
      <c r="AY178" s="516"/>
      <c r="AZ178" s="523"/>
      <c r="BA178" s="523"/>
      <c r="BB178" s="523"/>
      <c r="BC178" s="523"/>
      <c r="BD178" s="523"/>
      <c r="BE178" s="523"/>
      <c r="BF178" s="523"/>
      <c r="BG178" s="523"/>
    </row>
    <row r="179" spans="1:59" x14ac:dyDescent="0.25">
      <c r="A179" s="338">
        <v>5693</v>
      </c>
      <c r="B179" s="485" t="s">
        <v>441</v>
      </c>
      <c r="C179" s="390">
        <v>4202520.2699999996</v>
      </c>
      <c r="D179" s="390">
        <v>484604.06</v>
      </c>
      <c r="E179" s="388"/>
      <c r="F179" s="390">
        <v>0</v>
      </c>
      <c r="G179" s="390">
        <v>33536.199999999997</v>
      </c>
      <c r="H179" s="390">
        <v>3591.3</v>
      </c>
      <c r="I179" s="390">
        <v>0</v>
      </c>
      <c r="J179" s="390">
        <v>72440.38</v>
      </c>
      <c r="K179" s="390">
        <v>9495.6</v>
      </c>
      <c r="L179" s="390">
        <v>423772.3</v>
      </c>
      <c r="M179" s="331">
        <f t="shared" si="6"/>
        <v>5229960.1099999985</v>
      </c>
      <c r="N179" s="394">
        <v>48251.05</v>
      </c>
      <c r="O179" s="394">
        <v>144312.70000000001</v>
      </c>
      <c r="P179" s="394">
        <v>209249.75</v>
      </c>
      <c r="Q179" s="394">
        <v>11807.36</v>
      </c>
      <c r="R179" s="394">
        <v>133540.75</v>
      </c>
      <c r="S179" s="394">
        <v>650</v>
      </c>
      <c r="T179" s="394">
        <v>5413.4</v>
      </c>
      <c r="U179" s="394">
        <v>30850</v>
      </c>
      <c r="V179" s="394"/>
      <c r="W179" s="394"/>
      <c r="X179" s="379">
        <v>4453.33</v>
      </c>
      <c r="Y179" s="460">
        <f t="shared" si="7"/>
        <v>5818488.4499999993</v>
      </c>
      <c r="Z179" s="395">
        <v>109350.15</v>
      </c>
      <c r="AA179" s="395"/>
      <c r="AB179" s="395">
        <v>454144</v>
      </c>
      <c r="AC179" s="395"/>
      <c r="AD179" s="395">
        <v>302881.42</v>
      </c>
      <c r="AE179" s="395">
        <v>33602.800000000003</v>
      </c>
      <c r="AF179" s="395"/>
      <c r="AG179" s="395"/>
      <c r="AH179" s="395"/>
      <c r="AI179" s="395">
        <v>64163.15</v>
      </c>
      <c r="AJ179" s="395"/>
      <c r="AK179" s="395"/>
      <c r="AL179" s="452"/>
      <c r="AM179" s="460">
        <f t="shared" si="8"/>
        <v>964141.52000000014</v>
      </c>
      <c r="AN179" s="395">
        <v>72</v>
      </c>
      <c r="AO179" s="398">
        <v>2782</v>
      </c>
      <c r="AP179" s="455">
        <v>-125251.55</v>
      </c>
      <c r="AQ179" s="465"/>
      <c r="AR179" s="465">
        <v>-290.72000000000003</v>
      </c>
      <c r="AS179" s="470">
        <v>1</v>
      </c>
      <c r="AT179" s="516"/>
      <c r="AU179" s="516"/>
      <c r="AV179" s="516"/>
      <c r="AW179" s="516"/>
      <c r="AX179" s="516"/>
      <c r="AY179" s="516"/>
      <c r="AZ179" s="523"/>
      <c r="BA179" s="523"/>
      <c r="BB179" s="523"/>
      <c r="BC179" s="523"/>
      <c r="BD179" s="523"/>
      <c r="BE179" s="523"/>
      <c r="BF179" s="523"/>
      <c r="BG179" s="523"/>
    </row>
    <row r="180" spans="1:59" x14ac:dyDescent="0.25">
      <c r="A180" s="338">
        <v>5701</v>
      </c>
      <c r="B180" s="485" t="s">
        <v>110</v>
      </c>
      <c r="C180" s="390">
        <v>647416.28</v>
      </c>
      <c r="D180" s="390">
        <v>113002.67</v>
      </c>
      <c r="E180" s="388"/>
      <c r="F180" s="390">
        <v>0</v>
      </c>
      <c r="G180" s="390">
        <v>4508.5</v>
      </c>
      <c r="H180" s="390">
        <v>938.9</v>
      </c>
      <c r="I180" s="390">
        <v>65044.25</v>
      </c>
      <c r="J180" s="390">
        <v>-11789.17</v>
      </c>
      <c r="K180" s="390">
        <v>510.25</v>
      </c>
      <c r="L180" s="390">
        <v>71655.100000000006</v>
      </c>
      <c r="M180" s="331">
        <f t="shared" si="6"/>
        <v>891286.78</v>
      </c>
      <c r="N180" s="394">
        <v>0</v>
      </c>
      <c r="O180" s="394">
        <v>0</v>
      </c>
      <c r="P180" s="394">
        <v>97039.3</v>
      </c>
      <c r="Q180" s="394">
        <v>0</v>
      </c>
      <c r="R180" s="394">
        <v>57927.55</v>
      </c>
      <c r="S180" s="394"/>
      <c r="T180" s="394"/>
      <c r="U180" s="394">
        <v>900</v>
      </c>
      <c r="V180" s="394"/>
      <c r="W180" s="394"/>
      <c r="X180" s="379">
        <v>653.4</v>
      </c>
      <c r="Y180" s="460">
        <f t="shared" si="7"/>
        <v>1047807.0300000001</v>
      </c>
      <c r="Z180" s="395">
        <v>44240</v>
      </c>
      <c r="AA180" s="395"/>
      <c r="AB180" s="395">
        <v>36211.019999999997</v>
      </c>
      <c r="AC180" s="395"/>
      <c r="AD180" s="395">
        <v>17626.150000000001</v>
      </c>
      <c r="AE180" s="395">
        <v>350</v>
      </c>
      <c r="AF180" s="395"/>
      <c r="AG180" s="395"/>
      <c r="AH180" s="395">
        <v>240</v>
      </c>
      <c r="AI180" s="395"/>
      <c r="AJ180" s="395"/>
      <c r="AK180" s="395"/>
      <c r="AL180" s="452"/>
      <c r="AM180" s="460">
        <f t="shared" si="8"/>
        <v>98667.169999999984</v>
      </c>
      <c r="AN180" s="395">
        <v>70</v>
      </c>
      <c r="AO180" s="398">
        <v>240</v>
      </c>
      <c r="AP180" s="455">
        <v>-11178.47</v>
      </c>
      <c r="AQ180" s="465"/>
      <c r="AR180" s="465">
        <v>-204.29</v>
      </c>
      <c r="AS180" s="470">
        <v>1</v>
      </c>
      <c r="AT180" s="516"/>
      <c r="AU180" s="516"/>
      <c r="AV180" s="516"/>
      <c r="AW180" s="516"/>
      <c r="AX180" s="516"/>
      <c r="AY180" s="516"/>
      <c r="AZ180" s="523"/>
      <c r="BA180" s="523"/>
      <c r="BB180" s="523"/>
      <c r="BC180" s="523"/>
      <c r="BD180" s="523"/>
      <c r="BE180" s="523"/>
      <c r="BF180" s="523"/>
      <c r="BG180" s="523"/>
    </row>
    <row r="181" spans="1:59" x14ac:dyDescent="0.25">
      <c r="A181" s="338">
        <v>5702</v>
      </c>
      <c r="B181" s="485" t="s">
        <v>440</v>
      </c>
      <c r="C181" s="390">
        <v>7875971.5999999996</v>
      </c>
      <c r="D181" s="390">
        <v>1457247.64</v>
      </c>
      <c r="E181" s="388"/>
      <c r="F181" s="390">
        <v>0</v>
      </c>
      <c r="G181" s="390">
        <v>72986</v>
      </c>
      <c r="H181" s="390">
        <v>23125.05</v>
      </c>
      <c r="I181" s="390">
        <v>377543.7</v>
      </c>
      <c r="J181" s="390">
        <v>143021.01999999999</v>
      </c>
      <c r="K181" s="390">
        <v>15460.15</v>
      </c>
      <c r="L181" s="390">
        <v>1229545.3</v>
      </c>
      <c r="M181" s="331">
        <f t="shared" si="6"/>
        <v>11194900.460000001</v>
      </c>
      <c r="N181" s="394">
        <v>74885.100000000006</v>
      </c>
      <c r="O181" s="394">
        <v>18531.8</v>
      </c>
      <c r="P181" s="394">
        <v>540349.94999999995</v>
      </c>
      <c r="Q181" s="394">
        <v>10125.129999999999</v>
      </c>
      <c r="R181" s="394">
        <v>383157.9</v>
      </c>
      <c r="S181" s="394"/>
      <c r="T181" s="394"/>
      <c r="U181" s="394">
        <v>0</v>
      </c>
      <c r="V181" s="394"/>
      <c r="W181" s="394"/>
      <c r="X181" s="379">
        <v>11528.22</v>
      </c>
      <c r="Y181" s="460">
        <f t="shared" si="7"/>
        <v>12233478.560000002</v>
      </c>
      <c r="Z181" s="395">
        <v>113514.15</v>
      </c>
      <c r="AA181" s="395"/>
      <c r="AB181" s="395">
        <v>306839.45</v>
      </c>
      <c r="AC181" s="395"/>
      <c r="AD181" s="395">
        <v>300037.7</v>
      </c>
      <c r="AE181" s="395">
        <v>224075.65</v>
      </c>
      <c r="AF181" s="395"/>
      <c r="AG181" s="395"/>
      <c r="AH181" s="395">
        <v>26855.5</v>
      </c>
      <c r="AI181" s="395"/>
      <c r="AJ181" s="395"/>
      <c r="AK181" s="395"/>
      <c r="AL181" s="452"/>
      <c r="AM181" s="460">
        <f t="shared" si="8"/>
        <v>971322.45000000007</v>
      </c>
      <c r="AN181" s="395">
        <v>64</v>
      </c>
      <c r="AO181" s="398">
        <v>2912</v>
      </c>
      <c r="AP181" s="455">
        <v>-36504.25</v>
      </c>
      <c r="AQ181" s="465"/>
      <c r="AR181" s="465">
        <v>-34129.629999999997</v>
      </c>
      <c r="AS181" s="470">
        <v>1.5</v>
      </c>
      <c r="AT181" s="516"/>
      <c r="AU181" s="516"/>
      <c r="AV181" s="516"/>
      <c r="AW181" s="516"/>
      <c r="AX181" s="516"/>
      <c r="AY181" s="516"/>
      <c r="AZ181" s="523"/>
      <c r="BA181" s="523"/>
      <c r="BB181" s="523"/>
      <c r="BC181" s="523"/>
      <c r="BD181" s="523"/>
      <c r="BE181" s="523"/>
      <c r="BF181" s="523"/>
      <c r="BG181" s="523"/>
    </row>
    <row r="182" spans="1:59" x14ac:dyDescent="0.25">
      <c r="A182" s="338">
        <v>5703</v>
      </c>
      <c r="B182" s="485" t="s">
        <v>111</v>
      </c>
      <c r="C182" s="390">
        <v>3965129.42</v>
      </c>
      <c r="D182" s="390">
        <v>502240.81</v>
      </c>
      <c r="E182" s="388"/>
      <c r="F182" s="390">
        <v>0</v>
      </c>
      <c r="G182" s="390">
        <v>54945.2</v>
      </c>
      <c r="H182" s="390">
        <v>2762.9</v>
      </c>
      <c r="I182" s="390">
        <v>1654.45</v>
      </c>
      <c r="J182" s="390">
        <v>75222.679999999993</v>
      </c>
      <c r="K182" s="390">
        <v>1865</v>
      </c>
      <c r="L182" s="390">
        <v>456764.85</v>
      </c>
      <c r="M182" s="331">
        <f t="shared" si="6"/>
        <v>5060585.3099999996</v>
      </c>
      <c r="N182" s="394">
        <v>30174.35</v>
      </c>
      <c r="O182" s="394">
        <v>8122.8</v>
      </c>
      <c r="P182" s="394">
        <v>255576.7</v>
      </c>
      <c r="Q182" s="394">
        <v>17195.88</v>
      </c>
      <c r="R182" s="394">
        <v>244553.75</v>
      </c>
      <c r="S182" s="394"/>
      <c r="T182" s="394"/>
      <c r="U182" s="394">
        <v>14040</v>
      </c>
      <c r="V182" s="394"/>
      <c r="W182" s="394"/>
      <c r="X182" s="379">
        <v>6921.91</v>
      </c>
      <c r="Y182" s="460">
        <f t="shared" si="7"/>
        <v>5637170.6999999993</v>
      </c>
      <c r="Z182" s="395">
        <v>21683.5</v>
      </c>
      <c r="AA182" s="395"/>
      <c r="AB182" s="395">
        <v>268510.95</v>
      </c>
      <c r="AC182" s="395"/>
      <c r="AD182" s="395">
        <v>102584.6</v>
      </c>
      <c r="AE182" s="395">
        <v>28190</v>
      </c>
      <c r="AF182" s="395"/>
      <c r="AG182" s="395"/>
      <c r="AH182" s="395"/>
      <c r="AI182" s="395"/>
      <c r="AJ182" s="395"/>
      <c r="AK182" s="395"/>
      <c r="AL182" s="452"/>
      <c r="AM182" s="460">
        <f t="shared" si="8"/>
        <v>420969.05000000005</v>
      </c>
      <c r="AN182" s="395">
        <v>72.5</v>
      </c>
      <c r="AO182" s="398">
        <v>1475</v>
      </c>
      <c r="AP182" s="455">
        <v>-101171.26</v>
      </c>
      <c r="AQ182" s="465"/>
      <c r="AR182" s="465">
        <v>-2461.21</v>
      </c>
      <c r="AS182" s="470">
        <v>1.4</v>
      </c>
      <c r="AT182" s="516"/>
      <c r="AU182" s="516"/>
      <c r="AV182" s="516"/>
      <c r="AW182" s="516"/>
      <c r="AX182" s="516"/>
      <c r="AY182" s="516"/>
      <c r="AZ182" s="523"/>
      <c r="BA182" s="523"/>
      <c r="BB182" s="523"/>
      <c r="BC182" s="523"/>
      <c r="BD182" s="523"/>
      <c r="BE182" s="523"/>
      <c r="BF182" s="523"/>
      <c r="BG182" s="523"/>
    </row>
    <row r="183" spans="1:59" x14ac:dyDescent="0.25">
      <c r="A183" s="338">
        <v>5704</v>
      </c>
      <c r="B183" s="485" t="s">
        <v>220</v>
      </c>
      <c r="C183" s="390">
        <v>5756736.4299999997</v>
      </c>
      <c r="D183" s="390">
        <v>2096667.49</v>
      </c>
      <c r="E183" s="388"/>
      <c r="F183" s="390">
        <v>0</v>
      </c>
      <c r="G183" s="390">
        <v>18297.75</v>
      </c>
      <c r="H183" s="390">
        <v>6797.45</v>
      </c>
      <c r="I183" s="390">
        <v>381207.8</v>
      </c>
      <c r="J183" s="390">
        <v>90862.86</v>
      </c>
      <c r="K183" s="390">
        <v>18287.150000000001</v>
      </c>
      <c r="L183" s="390">
        <v>800220.65</v>
      </c>
      <c r="M183" s="331">
        <f t="shared" si="6"/>
        <v>9169077.5800000001</v>
      </c>
      <c r="N183" s="394">
        <v>30752.45</v>
      </c>
      <c r="O183" s="394">
        <v>308.89999999999998</v>
      </c>
      <c r="P183" s="394">
        <v>287128.2</v>
      </c>
      <c r="Q183" s="394">
        <v>73562.570000000007</v>
      </c>
      <c r="R183" s="394">
        <v>125953</v>
      </c>
      <c r="S183" s="394"/>
      <c r="T183" s="394"/>
      <c r="U183" s="394">
        <v>13350</v>
      </c>
      <c r="V183" s="394"/>
      <c r="W183" s="394"/>
      <c r="X183" s="379">
        <v>3010.09</v>
      </c>
      <c r="Y183" s="460">
        <f t="shared" si="7"/>
        <v>9703142.7899999991</v>
      </c>
      <c r="Z183" s="395">
        <v>105795.04</v>
      </c>
      <c r="AA183" s="395"/>
      <c r="AB183" s="395">
        <v>201669.94</v>
      </c>
      <c r="AC183" s="395"/>
      <c r="AD183" s="395">
        <v>108209.2</v>
      </c>
      <c r="AE183" s="395">
        <v>190588.67</v>
      </c>
      <c r="AF183" s="395"/>
      <c r="AG183" s="395"/>
      <c r="AH183" s="395">
        <v>7104.2</v>
      </c>
      <c r="AI183" s="395">
        <v>45913.94</v>
      </c>
      <c r="AJ183" s="395">
        <v>26236.87</v>
      </c>
      <c r="AK183" s="395"/>
      <c r="AL183" s="452"/>
      <c r="AM183" s="460">
        <f t="shared" si="8"/>
        <v>685517.86</v>
      </c>
      <c r="AN183" s="395">
        <v>62.5</v>
      </c>
      <c r="AO183" s="398">
        <v>1928</v>
      </c>
      <c r="AP183" s="455">
        <v>-48920.72</v>
      </c>
      <c r="AQ183" s="465"/>
      <c r="AR183" s="465">
        <v>-83814.63</v>
      </c>
      <c r="AS183" s="470">
        <v>1.5</v>
      </c>
      <c r="AT183" s="516"/>
      <c r="AU183" s="516"/>
      <c r="AV183" s="516"/>
      <c r="AW183" s="516"/>
      <c r="AX183" s="516"/>
      <c r="AY183" s="516"/>
      <c r="AZ183" s="523"/>
      <c r="BA183" s="523"/>
      <c r="BB183" s="523"/>
      <c r="BC183" s="523"/>
      <c r="BD183" s="523"/>
      <c r="BE183" s="523"/>
      <c r="BF183" s="523"/>
      <c r="BG183" s="523"/>
    </row>
    <row r="184" spans="1:59" x14ac:dyDescent="0.25">
      <c r="A184" s="338">
        <v>5705</v>
      </c>
      <c r="B184" s="485" t="s">
        <v>221</v>
      </c>
      <c r="C184" s="390">
        <v>3488421.72</v>
      </c>
      <c r="D184" s="390">
        <v>504053.46</v>
      </c>
      <c r="E184" s="388"/>
      <c r="F184" s="390">
        <v>0</v>
      </c>
      <c r="G184" s="390">
        <v>17661.849999999999</v>
      </c>
      <c r="H184" s="390">
        <v>1355.7</v>
      </c>
      <c r="I184" s="390">
        <v>38823.85</v>
      </c>
      <c r="J184" s="390">
        <v>10099.85</v>
      </c>
      <c r="K184" s="390">
        <v>9634.25</v>
      </c>
      <c r="L184" s="390">
        <v>227558</v>
      </c>
      <c r="M184" s="331">
        <f t="shared" si="6"/>
        <v>4297608.6800000006</v>
      </c>
      <c r="N184" s="394">
        <v>37516</v>
      </c>
      <c r="O184" s="394">
        <v>0</v>
      </c>
      <c r="P184" s="394">
        <v>276386</v>
      </c>
      <c r="Q184" s="394">
        <v>143.03</v>
      </c>
      <c r="R184" s="394">
        <v>114169.9</v>
      </c>
      <c r="S184" s="394"/>
      <c r="T184" s="394"/>
      <c r="U184" s="394">
        <v>1905</v>
      </c>
      <c r="V184" s="394"/>
      <c r="W184" s="394"/>
      <c r="X184" s="379">
        <v>2281.1</v>
      </c>
      <c r="Y184" s="460">
        <f t="shared" si="7"/>
        <v>4730009.7100000009</v>
      </c>
      <c r="Z184" s="395"/>
      <c r="AA184" s="395"/>
      <c r="AB184" s="395"/>
      <c r="AC184" s="395"/>
      <c r="AD184" s="395">
        <v>55977.5</v>
      </c>
      <c r="AE184" s="395"/>
      <c r="AF184" s="395"/>
      <c r="AG184" s="395"/>
      <c r="AH184" s="395">
        <v>25047.31</v>
      </c>
      <c r="AI184" s="395">
        <v>27575.8</v>
      </c>
      <c r="AJ184" s="395"/>
      <c r="AK184" s="395"/>
      <c r="AL184" s="452"/>
      <c r="AM184" s="460">
        <f t="shared" si="8"/>
        <v>108600.61</v>
      </c>
      <c r="AN184" s="395">
        <v>74.5</v>
      </c>
      <c r="AO184" s="398">
        <v>835</v>
      </c>
      <c r="AP184" s="455">
        <v>-497.79</v>
      </c>
      <c r="AQ184" s="465"/>
      <c r="AR184" s="465">
        <v>-116438.39</v>
      </c>
      <c r="AS184" s="470">
        <v>1</v>
      </c>
      <c r="AT184" s="516"/>
      <c r="AU184" s="516"/>
      <c r="AV184" s="516"/>
      <c r="AW184" s="516"/>
      <c r="AX184" s="516"/>
      <c r="AY184" s="516"/>
      <c r="AZ184" s="523"/>
      <c r="BA184" s="523"/>
      <c r="BB184" s="523"/>
      <c r="BC184" s="523"/>
      <c r="BD184" s="523"/>
      <c r="BE184" s="523"/>
      <c r="BF184" s="523"/>
      <c r="BG184" s="523"/>
    </row>
    <row r="185" spans="1:59" x14ac:dyDescent="0.25">
      <c r="A185" s="338">
        <v>5706</v>
      </c>
      <c r="B185" s="485" t="s">
        <v>222</v>
      </c>
      <c r="C185" s="390">
        <v>3933647.55</v>
      </c>
      <c r="D185" s="390">
        <v>613073</v>
      </c>
      <c r="E185" s="388"/>
      <c r="F185" s="390">
        <v>0</v>
      </c>
      <c r="G185" s="390">
        <v>-8849.35</v>
      </c>
      <c r="H185" s="390">
        <v>7030.85</v>
      </c>
      <c r="I185" s="390">
        <v>4063.55</v>
      </c>
      <c r="J185" s="390">
        <v>-26932.26</v>
      </c>
      <c r="K185" s="390">
        <v>10352.700000000001</v>
      </c>
      <c r="L185" s="390">
        <v>449353.2</v>
      </c>
      <c r="M185" s="331">
        <f t="shared" si="6"/>
        <v>4981739.24</v>
      </c>
      <c r="N185" s="394">
        <v>15345.4</v>
      </c>
      <c r="O185" s="394">
        <v>1914</v>
      </c>
      <c r="P185" s="394">
        <v>161150</v>
      </c>
      <c r="Q185" s="394">
        <v>0</v>
      </c>
      <c r="R185" s="394">
        <v>89834.7</v>
      </c>
      <c r="S185" s="394">
        <v>177.25</v>
      </c>
      <c r="T185" s="394"/>
      <c r="U185" s="394">
        <v>4575</v>
      </c>
      <c r="V185" s="394"/>
      <c r="W185" s="394"/>
      <c r="X185" s="379">
        <v>-218.12</v>
      </c>
      <c r="Y185" s="460">
        <f t="shared" si="7"/>
        <v>5254517.4700000007</v>
      </c>
      <c r="Z185" s="395">
        <v>15179</v>
      </c>
      <c r="AA185" s="395"/>
      <c r="AB185" s="395">
        <v>173234.83</v>
      </c>
      <c r="AC185" s="395"/>
      <c r="AD185" s="395">
        <v>91857.05</v>
      </c>
      <c r="AE185" s="395"/>
      <c r="AF185" s="395"/>
      <c r="AG185" s="395"/>
      <c r="AH185" s="395"/>
      <c r="AI185" s="395">
        <v>27698.35</v>
      </c>
      <c r="AJ185" s="395"/>
      <c r="AK185" s="395"/>
      <c r="AL185" s="452"/>
      <c r="AM185" s="460">
        <f t="shared" si="8"/>
        <v>307969.23</v>
      </c>
      <c r="AN185" s="395">
        <v>57</v>
      </c>
      <c r="AO185" s="398">
        <v>1157</v>
      </c>
      <c r="AP185" s="455">
        <v>-29073.74</v>
      </c>
      <c r="AQ185" s="465"/>
      <c r="AR185" s="465">
        <v>-11373.69</v>
      </c>
      <c r="AS185" s="470">
        <v>1.5</v>
      </c>
      <c r="AT185" s="516"/>
      <c r="AU185" s="516"/>
      <c r="AV185" s="516"/>
      <c r="AW185" s="516"/>
      <c r="AX185" s="516"/>
      <c r="AY185" s="516"/>
      <c r="AZ185" s="523"/>
      <c r="BA185" s="523"/>
      <c r="BB185" s="523"/>
      <c r="BC185" s="523"/>
      <c r="BD185" s="523"/>
      <c r="BE185" s="523"/>
      <c r="BF185" s="523"/>
      <c r="BG185" s="523"/>
    </row>
    <row r="186" spans="1:59" x14ac:dyDescent="0.25">
      <c r="A186" s="338">
        <v>5707</v>
      </c>
      <c r="B186" s="485" t="s">
        <v>223</v>
      </c>
      <c r="C186" s="390">
        <v>3310714.53</v>
      </c>
      <c r="D186" s="390">
        <v>527422.66</v>
      </c>
      <c r="E186" s="388"/>
      <c r="F186" s="390">
        <v>0</v>
      </c>
      <c r="G186" s="390">
        <v>236397.45</v>
      </c>
      <c r="H186" s="390">
        <v>15042.2</v>
      </c>
      <c r="I186" s="390">
        <v>14123.7</v>
      </c>
      <c r="J186" s="390">
        <v>108890.43</v>
      </c>
      <c r="K186" s="390">
        <v>62295.199999999997</v>
      </c>
      <c r="L186" s="390">
        <v>711434.05</v>
      </c>
      <c r="M186" s="331">
        <f t="shared" si="6"/>
        <v>4986320.2200000007</v>
      </c>
      <c r="N186" s="394">
        <v>787653.25</v>
      </c>
      <c r="O186" s="394">
        <v>0</v>
      </c>
      <c r="P186" s="394">
        <v>275588.5</v>
      </c>
      <c r="Q186" s="394">
        <v>0</v>
      </c>
      <c r="R186" s="394">
        <v>93291.5</v>
      </c>
      <c r="S186" s="394">
        <v>39516.699999999997</v>
      </c>
      <c r="T186" s="394"/>
      <c r="U186" s="394">
        <v>5150</v>
      </c>
      <c r="V186" s="394"/>
      <c r="W186" s="394"/>
      <c r="X186" s="379">
        <v>30159.4</v>
      </c>
      <c r="Y186" s="460">
        <f t="shared" si="7"/>
        <v>6217679.5700000012</v>
      </c>
      <c r="Z186" s="395"/>
      <c r="AA186" s="395"/>
      <c r="AB186" s="395"/>
      <c r="AC186" s="395"/>
      <c r="AD186" s="395">
        <v>115526.2</v>
      </c>
      <c r="AE186" s="395"/>
      <c r="AF186" s="395"/>
      <c r="AG186" s="395"/>
      <c r="AH186" s="395">
        <v>86100</v>
      </c>
      <c r="AI186" s="395">
        <v>93109.3</v>
      </c>
      <c r="AJ186" s="395"/>
      <c r="AK186" s="395"/>
      <c r="AL186" s="452"/>
      <c r="AM186" s="460">
        <f t="shared" si="8"/>
        <v>294735.5</v>
      </c>
      <c r="AN186" s="395">
        <v>58</v>
      </c>
      <c r="AO186" s="398">
        <v>1329</v>
      </c>
      <c r="AP186" s="455">
        <v>-25658.06</v>
      </c>
      <c r="AQ186" s="465"/>
      <c r="AR186" s="465">
        <v>-7228.29</v>
      </c>
      <c r="AS186" s="470">
        <v>1.5</v>
      </c>
      <c r="AT186" s="516"/>
      <c r="AU186" s="516"/>
      <c r="AV186" s="516"/>
      <c r="AW186" s="516"/>
      <c r="AX186" s="516"/>
      <c r="AY186" s="516"/>
      <c r="AZ186" s="523"/>
      <c r="BA186" s="523"/>
      <c r="BB186" s="523"/>
      <c r="BC186" s="523"/>
      <c r="BD186" s="523"/>
      <c r="BE186" s="523"/>
      <c r="BF186" s="523"/>
      <c r="BG186" s="523"/>
    </row>
    <row r="187" spans="1:59" x14ac:dyDescent="0.25">
      <c r="A187" s="338">
        <v>5708</v>
      </c>
      <c r="B187" s="485" t="s">
        <v>224</v>
      </c>
      <c r="C187" s="390">
        <v>3815208.27</v>
      </c>
      <c r="D187" s="390">
        <v>452436.55</v>
      </c>
      <c r="E187" s="388"/>
      <c r="F187" s="390">
        <v>0</v>
      </c>
      <c r="G187" s="390">
        <v>28896.55</v>
      </c>
      <c r="H187" s="390">
        <v>1997.1</v>
      </c>
      <c r="I187" s="390">
        <v>0</v>
      </c>
      <c r="J187" s="390">
        <v>-17158.88</v>
      </c>
      <c r="K187" s="390">
        <v>2539.65</v>
      </c>
      <c r="L187" s="390">
        <v>431921.25</v>
      </c>
      <c r="M187" s="331">
        <f t="shared" si="6"/>
        <v>4715840.49</v>
      </c>
      <c r="N187" s="394">
        <v>8131.3</v>
      </c>
      <c r="O187" s="394">
        <v>0</v>
      </c>
      <c r="P187" s="394">
        <v>231686.35</v>
      </c>
      <c r="Q187" s="394">
        <v>11199.88</v>
      </c>
      <c r="R187" s="394">
        <v>71721.55</v>
      </c>
      <c r="S187" s="394"/>
      <c r="T187" s="394"/>
      <c r="U187" s="394">
        <v>5080</v>
      </c>
      <c r="V187" s="394"/>
      <c r="W187" s="394"/>
      <c r="X187" s="379">
        <v>3705.6</v>
      </c>
      <c r="Y187" s="460">
        <f t="shared" si="7"/>
        <v>5047365.169999999</v>
      </c>
      <c r="Z187" s="395"/>
      <c r="AA187" s="395"/>
      <c r="AB187" s="395"/>
      <c r="AC187" s="395"/>
      <c r="AD187" s="395">
        <v>108519</v>
      </c>
      <c r="AE187" s="395"/>
      <c r="AF187" s="395"/>
      <c r="AG187" s="395"/>
      <c r="AH187" s="395"/>
      <c r="AI187" s="395"/>
      <c r="AJ187" s="395"/>
      <c r="AK187" s="395"/>
      <c r="AL187" s="452"/>
      <c r="AM187" s="460">
        <f t="shared" si="8"/>
        <v>108519</v>
      </c>
      <c r="AN187" s="395">
        <v>68</v>
      </c>
      <c r="AO187" s="398">
        <v>1013</v>
      </c>
      <c r="AP187" s="455">
        <v>-12006.52</v>
      </c>
      <c r="AQ187" s="465"/>
      <c r="AR187" s="465">
        <v>-1350.03</v>
      </c>
      <c r="AS187" s="470">
        <v>1.5</v>
      </c>
      <c r="AT187" s="516"/>
      <c r="AU187" s="516"/>
      <c r="AV187" s="516"/>
      <c r="AW187" s="516"/>
      <c r="AX187" s="516"/>
      <c r="AY187" s="516"/>
      <c r="AZ187" s="523"/>
      <c r="BA187" s="523"/>
      <c r="BB187" s="523"/>
      <c r="BC187" s="523"/>
      <c r="BD187" s="523"/>
      <c r="BE187" s="523"/>
      <c r="BF187" s="523"/>
      <c r="BG187" s="523"/>
    </row>
    <row r="188" spans="1:59" x14ac:dyDescent="0.25">
      <c r="A188" s="338">
        <v>5709</v>
      </c>
      <c r="B188" s="485" t="s">
        <v>225</v>
      </c>
      <c r="C188" s="390">
        <v>3863691.39</v>
      </c>
      <c r="D188" s="390">
        <v>746816.44</v>
      </c>
      <c r="E188" s="388"/>
      <c r="F188" s="390">
        <v>0</v>
      </c>
      <c r="G188" s="390">
        <v>4433.3500000000004</v>
      </c>
      <c r="H188" s="390">
        <v>7372.95</v>
      </c>
      <c r="I188" s="390">
        <v>503480.6</v>
      </c>
      <c r="J188" s="390">
        <v>65878.34</v>
      </c>
      <c r="K188" s="390">
        <v>6088.85</v>
      </c>
      <c r="L188" s="390">
        <v>364212.4</v>
      </c>
      <c r="M188" s="331">
        <f t="shared" si="6"/>
        <v>5561974.3199999994</v>
      </c>
      <c r="N188" s="394">
        <v>40941</v>
      </c>
      <c r="O188" s="394">
        <v>4819.2</v>
      </c>
      <c r="P188" s="394">
        <v>223130.95</v>
      </c>
      <c r="Q188" s="394">
        <v>45204.33</v>
      </c>
      <c r="R188" s="394">
        <v>221765</v>
      </c>
      <c r="S188" s="394">
        <v>314.60000000000002</v>
      </c>
      <c r="T188" s="394">
        <v>800.05</v>
      </c>
      <c r="U188" s="394">
        <v>11050</v>
      </c>
      <c r="V188" s="394"/>
      <c r="W188" s="394"/>
      <c r="X188" s="379">
        <v>1416.13</v>
      </c>
      <c r="Y188" s="460">
        <f t="shared" si="7"/>
        <v>6111415.5799999991</v>
      </c>
      <c r="Z188" s="395">
        <v>73662.149999999994</v>
      </c>
      <c r="AA188" s="395">
        <v>37343.25</v>
      </c>
      <c r="AB188" s="395">
        <v>46563.199999999997</v>
      </c>
      <c r="AC188" s="395"/>
      <c r="AD188" s="395">
        <v>143934</v>
      </c>
      <c r="AE188" s="395"/>
      <c r="AF188" s="395"/>
      <c r="AG188" s="395"/>
      <c r="AH188" s="395">
        <v>14620.6</v>
      </c>
      <c r="AI188" s="395"/>
      <c r="AJ188" s="395"/>
      <c r="AK188" s="395"/>
      <c r="AL188" s="452"/>
      <c r="AM188" s="460">
        <f t="shared" si="8"/>
        <v>316123.19999999995</v>
      </c>
      <c r="AN188" s="395">
        <v>57</v>
      </c>
      <c r="AO188" s="398">
        <v>1248</v>
      </c>
      <c r="AP188" s="455">
        <v>-48890.62</v>
      </c>
      <c r="AQ188" s="465"/>
      <c r="AR188" s="465">
        <v>-9724.3799999999992</v>
      </c>
      <c r="AS188" s="470">
        <v>1</v>
      </c>
      <c r="AT188" s="516"/>
      <c r="AU188" s="516"/>
      <c r="AV188" s="516"/>
      <c r="AW188" s="516"/>
      <c r="AX188" s="516"/>
      <c r="AY188" s="516"/>
      <c r="AZ188" s="523"/>
      <c r="BA188" s="523"/>
      <c r="BB188" s="523"/>
      <c r="BC188" s="523"/>
      <c r="BD188" s="523"/>
      <c r="BE188" s="523"/>
      <c r="BF188" s="523"/>
      <c r="BG188" s="523"/>
    </row>
    <row r="189" spans="1:59" x14ac:dyDescent="0.25">
      <c r="A189" s="338">
        <v>5710</v>
      </c>
      <c r="B189" s="485" t="s">
        <v>226</v>
      </c>
      <c r="C189" s="390">
        <v>1527325.61</v>
      </c>
      <c r="D189" s="390">
        <v>255370.94</v>
      </c>
      <c r="E189" s="388"/>
      <c r="F189" s="390">
        <v>0</v>
      </c>
      <c r="G189" s="390">
        <v>67388.800000000003</v>
      </c>
      <c r="H189" s="390">
        <v>-22694.199999999899</v>
      </c>
      <c r="I189" s="390">
        <v>110957.8</v>
      </c>
      <c r="J189" s="390">
        <v>30135.7</v>
      </c>
      <c r="K189" s="390">
        <v>5015.25</v>
      </c>
      <c r="L189" s="390">
        <v>135779.20000000001</v>
      </c>
      <c r="M189" s="331">
        <f t="shared" si="6"/>
        <v>2109279.1</v>
      </c>
      <c r="N189" s="394">
        <v>29012.95</v>
      </c>
      <c r="O189" s="394">
        <v>5170.3</v>
      </c>
      <c r="P189" s="394">
        <v>63344</v>
      </c>
      <c r="Q189" s="394">
        <v>-320.83</v>
      </c>
      <c r="R189" s="394">
        <v>2291.65</v>
      </c>
      <c r="S189" s="394"/>
      <c r="T189" s="394"/>
      <c r="U189" s="394">
        <v>0</v>
      </c>
      <c r="V189" s="394"/>
      <c r="W189" s="394"/>
      <c r="X189" s="379">
        <v>5360.98</v>
      </c>
      <c r="Y189" s="460">
        <f t="shared" si="7"/>
        <v>2214138.15</v>
      </c>
      <c r="Z189" s="395">
        <v>6360</v>
      </c>
      <c r="AA189" s="395"/>
      <c r="AB189" s="395">
        <v>75026.399999999994</v>
      </c>
      <c r="AC189" s="395"/>
      <c r="AD189" s="395">
        <v>39230.300000000003</v>
      </c>
      <c r="AE189" s="395">
        <v>3360</v>
      </c>
      <c r="AF189" s="395"/>
      <c r="AG189" s="395"/>
      <c r="AH189" s="395">
        <v>5646</v>
      </c>
      <c r="AI189" s="395">
        <v>19799.93</v>
      </c>
      <c r="AJ189" s="395"/>
      <c r="AK189" s="395"/>
      <c r="AL189" s="452"/>
      <c r="AM189" s="460">
        <f t="shared" si="8"/>
        <v>149422.63</v>
      </c>
      <c r="AN189" s="395">
        <v>51</v>
      </c>
      <c r="AO189" s="398">
        <v>509</v>
      </c>
      <c r="AP189" s="455">
        <v>-3790.71</v>
      </c>
      <c r="AQ189" s="465"/>
      <c r="AR189" s="465">
        <v>-13971.31</v>
      </c>
      <c r="AS189" s="470">
        <v>1</v>
      </c>
      <c r="AT189" s="516"/>
      <c r="AU189" s="516"/>
      <c r="AV189" s="516"/>
      <c r="AW189" s="516"/>
      <c r="AX189" s="516"/>
      <c r="AY189" s="516"/>
      <c r="AZ189" s="523"/>
      <c r="BA189" s="523"/>
      <c r="BB189" s="523"/>
      <c r="BC189" s="523"/>
      <c r="BD189" s="523"/>
      <c r="BE189" s="523"/>
      <c r="BF189" s="523"/>
      <c r="BG189" s="523"/>
    </row>
    <row r="190" spans="1:59" x14ac:dyDescent="0.25">
      <c r="A190" s="338">
        <v>5711</v>
      </c>
      <c r="B190" s="485" t="s">
        <v>227</v>
      </c>
      <c r="C190" s="390">
        <v>10413691.77</v>
      </c>
      <c r="D190" s="390">
        <v>2460536.0099999998</v>
      </c>
      <c r="E190" s="388"/>
      <c r="F190" s="390">
        <v>0</v>
      </c>
      <c r="G190" s="390">
        <v>46135</v>
      </c>
      <c r="H190" s="390">
        <v>8226.9</v>
      </c>
      <c r="I190" s="390">
        <v>181988.1</v>
      </c>
      <c r="J190" s="390">
        <v>184128.86</v>
      </c>
      <c r="K190" s="390">
        <v>14036.65</v>
      </c>
      <c r="L190" s="390">
        <v>1183990.3</v>
      </c>
      <c r="M190" s="331">
        <f t="shared" si="6"/>
        <v>14492733.59</v>
      </c>
      <c r="N190" s="394">
        <v>40394.75</v>
      </c>
      <c r="O190" s="394">
        <v>0</v>
      </c>
      <c r="P190" s="394">
        <v>734368.5</v>
      </c>
      <c r="Q190" s="394">
        <v>10623.89</v>
      </c>
      <c r="R190" s="394">
        <v>525442.6</v>
      </c>
      <c r="S190" s="394"/>
      <c r="T190" s="394"/>
      <c r="U190" s="394">
        <v>20000</v>
      </c>
      <c r="V190" s="394"/>
      <c r="W190" s="394"/>
      <c r="X190" s="379">
        <v>6520.54</v>
      </c>
      <c r="Y190" s="460">
        <f t="shared" si="7"/>
        <v>15830083.869999999</v>
      </c>
      <c r="Z190" s="395"/>
      <c r="AA190" s="395"/>
      <c r="AB190" s="395"/>
      <c r="AC190" s="395"/>
      <c r="AD190" s="395">
        <v>264149.98</v>
      </c>
      <c r="AE190" s="395"/>
      <c r="AF190" s="395"/>
      <c r="AG190" s="395"/>
      <c r="AH190" s="395">
        <v>7381</v>
      </c>
      <c r="AI190" s="395"/>
      <c r="AJ190" s="395"/>
      <c r="AK190" s="395"/>
      <c r="AL190" s="452"/>
      <c r="AM190" s="460">
        <f t="shared" si="8"/>
        <v>271530.98</v>
      </c>
      <c r="AN190" s="395">
        <v>55.5</v>
      </c>
      <c r="AO190" s="398">
        <v>2997</v>
      </c>
      <c r="AP190" s="455">
        <v>-66802.02</v>
      </c>
      <c r="AQ190" s="465"/>
      <c r="AR190" s="465">
        <v>-140964.12</v>
      </c>
      <c r="AS190" s="470">
        <v>1.3</v>
      </c>
      <c r="AT190" s="516"/>
      <c r="AU190" s="516"/>
      <c r="AV190" s="516"/>
      <c r="AW190" s="516"/>
      <c r="AX190" s="516"/>
      <c r="AY190" s="516"/>
      <c r="AZ190" s="523"/>
      <c r="BA190" s="523"/>
      <c r="BB190" s="523"/>
      <c r="BC190" s="523"/>
      <c r="BD190" s="523"/>
      <c r="BE190" s="523"/>
      <c r="BF190" s="523"/>
      <c r="BG190" s="523"/>
    </row>
    <row r="191" spans="1:59" x14ac:dyDescent="0.25">
      <c r="A191" s="338">
        <v>5712</v>
      </c>
      <c r="B191" s="485" t="s">
        <v>228</v>
      </c>
      <c r="C191" s="390">
        <v>12726327.6</v>
      </c>
      <c r="D191" s="390">
        <v>4652788.47</v>
      </c>
      <c r="E191" s="388"/>
      <c r="F191" s="390">
        <v>0</v>
      </c>
      <c r="G191" s="390">
        <v>133659.20000000001</v>
      </c>
      <c r="H191" s="390">
        <v>29457.45</v>
      </c>
      <c r="I191" s="390">
        <v>1121150.23</v>
      </c>
      <c r="J191" s="390">
        <v>358802.08</v>
      </c>
      <c r="K191" s="390">
        <v>45987</v>
      </c>
      <c r="L191" s="390">
        <v>1809204.2</v>
      </c>
      <c r="M191" s="331">
        <f t="shared" si="6"/>
        <v>20877376.229999997</v>
      </c>
      <c r="N191" s="394">
        <v>122896.1</v>
      </c>
      <c r="O191" s="394">
        <v>160922.9</v>
      </c>
      <c r="P191" s="394">
        <v>529276.94999999995</v>
      </c>
      <c r="Q191" s="394">
        <v>21486.39</v>
      </c>
      <c r="R191" s="394">
        <v>927376.7</v>
      </c>
      <c r="S191" s="394"/>
      <c r="T191" s="394"/>
      <c r="U191" s="394">
        <v>10400</v>
      </c>
      <c r="V191" s="394"/>
      <c r="W191" s="394"/>
      <c r="X191" s="379">
        <v>19565.330000000002</v>
      </c>
      <c r="Y191" s="460">
        <f t="shared" si="7"/>
        <v>22669300.599999994</v>
      </c>
      <c r="Z191" s="395"/>
      <c r="AA191" s="395"/>
      <c r="AB191" s="395"/>
      <c r="AC191" s="395"/>
      <c r="AD191" s="395">
        <v>611626.4</v>
      </c>
      <c r="AE191" s="395"/>
      <c r="AF191" s="395"/>
      <c r="AG191" s="395"/>
      <c r="AH191" s="395"/>
      <c r="AI191" s="395"/>
      <c r="AJ191" s="395"/>
      <c r="AK191" s="395"/>
      <c r="AL191" s="452"/>
      <c r="AM191" s="460">
        <f t="shared" si="8"/>
        <v>611626.4</v>
      </c>
      <c r="AN191" s="395">
        <v>53</v>
      </c>
      <c r="AO191" s="398">
        <v>3247</v>
      </c>
      <c r="AP191" s="455">
        <v>-20670.150000000001</v>
      </c>
      <c r="AQ191" s="465"/>
      <c r="AR191" s="465">
        <v>-48473.31</v>
      </c>
      <c r="AS191" s="470">
        <v>1.5</v>
      </c>
      <c r="AT191" s="516"/>
      <c r="AU191" s="516"/>
      <c r="AV191" s="516"/>
      <c r="AW191" s="516"/>
      <c r="AX191" s="516"/>
      <c r="AY191" s="516"/>
      <c r="AZ191" s="523"/>
      <c r="BA191" s="523"/>
      <c r="BB191" s="523"/>
      <c r="BC191" s="523"/>
      <c r="BD191" s="523"/>
      <c r="BE191" s="523"/>
      <c r="BF191" s="523"/>
      <c r="BG191" s="523"/>
    </row>
    <row r="192" spans="1:59" x14ac:dyDescent="0.25">
      <c r="A192" s="338">
        <v>5713</v>
      </c>
      <c r="B192" s="485" t="s">
        <v>229</v>
      </c>
      <c r="C192" s="390">
        <v>10288116.029999999</v>
      </c>
      <c r="D192" s="390">
        <v>5113777.3</v>
      </c>
      <c r="E192" s="388"/>
      <c r="F192" s="390">
        <v>0</v>
      </c>
      <c r="G192" s="390">
        <v>30435.4</v>
      </c>
      <c r="H192" s="390">
        <v>3221.15</v>
      </c>
      <c r="I192" s="390">
        <v>828053.35</v>
      </c>
      <c r="J192" s="390">
        <v>204965.06</v>
      </c>
      <c r="K192" s="390">
        <v>10573.5</v>
      </c>
      <c r="L192" s="390">
        <v>840352.05</v>
      </c>
      <c r="M192" s="331">
        <f t="shared" si="6"/>
        <v>17319493.84</v>
      </c>
      <c r="N192" s="394">
        <v>47661.35</v>
      </c>
      <c r="O192" s="394">
        <v>600651.1</v>
      </c>
      <c r="P192" s="394">
        <v>897113.1</v>
      </c>
      <c r="Q192" s="394">
        <v>0</v>
      </c>
      <c r="R192" s="394">
        <v>446422.15</v>
      </c>
      <c r="S192" s="394"/>
      <c r="T192" s="394"/>
      <c r="U192" s="394">
        <v>17050</v>
      </c>
      <c r="V192" s="394"/>
      <c r="W192" s="394"/>
      <c r="X192" s="379">
        <v>4037</v>
      </c>
      <c r="Y192" s="460">
        <f t="shared" si="7"/>
        <v>19332428.540000003</v>
      </c>
      <c r="Z192" s="395">
        <v>107883</v>
      </c>
      <c r="AA192" s="395"/>
      <c r="AB192" s="395">
        <v>592283.52</v>
      </c>
      <c r="AC192" s="395"/>
      <c r="AD192" s="395">
        <v>201999.21</v>
      </c>
      <c r="AE192" s="395"/>
      <c r="AF192" s="395"/>
      <c r="AG192" s="395"/>
      <c r="AH192" s="395">
        <v>6295</v>
      </c>
      <c r="AI192" s="395">
        <v>79827.399999999994</v>
      </c>
      <c r="AJ192" s="395"/>
      <c r="AK192" s="395"/>
      <c r="AL192" s="452"/>
      <c r="AM192" s="460">
        <f t="shared" si="8"/>
        <v>988288.13</v>
      </c>
      <c r="AN192" s="395">
        <v>56</v>
      </c>
      <c r="AO192" s="398">
        <v>2340</v>
      </c>
      <c r="AP192" s="455">
        <v>-8309.74</v>
      </c>
      <c r="AQ192" s="465"/>
      <c r="AR192" s="465">
        <v>-29766.61</v>
      </c>
      <c r="AS192" s="470">
        <v>1</v>
      </c>
      <c r="AT192" s="516"/>
      <c r="AU192" s="516"/>
      <c r="AV192" s="516"/>
      <c r="AW192" s="516"/>
      <c r="AX192" s="516"/>
      <c r="AY192" s="516"/>
      <c r="AZ192" s="523"/>
      <c r="BA192" s="523"/>
      <c r="BB192" s="523"/>
      <c r="BC192" s="523"/>
      <c r="BD192" s="523"/>
      <c r="BE192" s="523"/>
      <c r="BF192" s="523"/>
      <c r="BG192" s="523"/>
    </row>
    <row r="193" spans="1:59" x14ac:dyDescent="0.25">
      <c r="A193" s="338">
        <v>5714</v>
      </c>
      <c r="B193" s="485" t="s">
        <v>230</v>
      </c>
      <c r="C193" s="390">
        <v>2837015.13</v>
      </c>
      <c r="D193" s="390">
        <v>464790.94</v>
      </c>
      <c r="E193" s="388"/>
      <c r="F193" s="390">
        <v>0</v>
      </c>
      <c r="G193" s="390">
        <v>-85584.25</v>
      </c>
      <c r="H193" s="390">
        <v>8520.9500000000007</v>
      </c>
      <c r="I193" s="390">
        <v>110782.45</v>
      </c>
      <c r="J193" s="390">
        <v>65008.5</v>
      </c>
      <c r="K193" s="390">
        <v>6742.5</v>
      </c>
      <c r="L193" s="390">
        <v>289820.05</v>
      </c>
      <c r="M193" s="331">
        <f t="shared" si="6"/>
        <v>3697096.27</v>
      </c>
      <c r="N193" s="394">
        <v>130763.45</v>
      </c>
      <c r="O193" s="394">
        <v>0</v>
      </c>
      <c r="P193" s="394">
        <v>175166.2</v>
      </c>
      <c r="Q193" s="394">
        <v>0</v>
      </c>
      <c r="R193" s="394">
        <v>73143.55</v>
      </c>
      <c r="S193" s="394">
        <v>430.55</v>
      </c>
      <c r="T193" s="394"/>
      <c r="U193" s="394">
        <v>4710</v>
      </c>
      <c r="V193" s="394"/>
      <c r="W193" s="394"/>
      <c r="X193" s="379">
        <v>-9243.5</v>
      </c>
      <c r="Y193" s="460">
        <f t="shared" si="7"/>
        <v>4072066.52</v>
      </c>
      <c r="Z193" s="395"/>
      <c r="AA193" s="395"/>
      <c r="AB193" s="395"/>
      <c r="AC193" s="395"/>
      <c r="AD193" s="395">
        <v>110626.65</v>
      </c>
      <c r="AE193" s="395"/>
      <c r="AF193" s="395"/>
      <c r="AG193" s="395"/>
      <c r="AH193" s="395">
        <v>210.75</v>
      </c>
      <c r="AI193" s="395">
        <v>30319.15</v>
      </c>
      <c r="AJ193" s="395"/>
      <c r="AK193" s="395"/>
      <c r="AL193" s="452"/>
      <c r="AM193" s="460">
        <f t="shared" si="8"/>
        <v>141156.54999999999</v>
      </c>
      <c r="AN193" s="395">
        <v>68</v>
      </c>
      <c r="AO193" s="398">
        <v>1174</v>
      </c>
      <c r="AP193" s="455">
        <v>-19075.849999999999</v>
      </c>
      <c r="AQ193" s="465"/>
      <c r="AR193" s="465">
        <v>-35557.89</v>
      </c>
      <c r="AS193" s="470">
        <v>1</v>
      </c>
      <c r="AT193" s="516"/>
      <c r="AU193" s="516"/>
      <c r="AV193" s="516"/>
      <c r="AW193" s="516"/>
      <c r="AX193" s="516"/>
      <c r="AY193" s="516"/>
      <c r="AZ193" s="523"/>
      <c r="BA193" s="523"/>
      <c r="BB193" s="523"/>
      <c r="BC193" s="523"/>
      <c r="BD193" s="523"/>
      <c r="BE193" s="523"/>
      <c r="BF193" s="523"/>
      <c r="BG193" s="523"/>
    </row>
    <row r="194" spans="1:59" x14ac:dyDescent="0.25">
      <c r="A194" s="338">
        <v>5715</v>
      </c>
      <c r="B194" s="485" t="s">
        <v>231</v>
      </c>
      <c r="C194" s="390">
        <v>3155469.33</v>
      </c>
      <c r="D194" s="390">
        <v>575535.76</v>
      </c>
      <c r="E194" s="388"/>
      <c r="F194" s="390">
        <v>0</v>
      </c>
      <c r="G194" s="390">
        <v>25872</v>
      </c>
      <c r="H194" s="390">
        <v>9112.9</v>
      </c>
      <c r="I194" s="390">
        <v>267.19999999999698</v>
      </c>
      <c r="J194" s="390">
        <v>111145.55</v>
      </c>
      <c r="K194" s="390">
        <v>2940.5</v>
      </c>
      <c r="L194" s="390">
        <v>280968.40000000002</v>
      </c>
      <c r="M194" s="331">
        <f t="shared" si="6"/>
        <v>4161311.6399999997</v>
      </c>
      <c r="N194" s="394">
        <v>89546.35</v>
      </c>
      <c r="O194" s="394">
        <v>0</v>
      </c>
      <c r="P194" s="394">
        <v>242319</v>
      </c>
      <c r="Q194" s="394">
        <v>14698.53</v>
      </c>
      <c r="R194" s="394">
        <v>180000.6</v>
      </c>
      <c r="S194" s="394"/>
      <c r="T194" s="394"/>
      <c r="U194" s="394">
        <v>8150</v>
      </c>
      <c r="V194" s="394"/>
      <c r="W194" s="394"/>
      <c r="X194" s="379">
        <v>4196.33</v>
      </c>
      <c r="Y194" s="460">
        <f t="shared" si="7"/>
        <v>4700222.4499999993</v>
      </c>
      <c r="Z194" s="395"/>
      <c r="AA194" s="395"/>
      <c r="AB194" s="395">
        <v>136659.85</v>
      </c>
      <c r="AC194" s="395"/>
      <c r="AD194" s="395">
        <v>114228.92</v>
      </c>
      <c r="AE194" s="395"/>
      <c r="AF194" s="395">
        <v>7174.35</v>
      </c>
      <c r="AG194" s="395"/>
      <c r="AH194" s="395">
        <v>1364.6</v>
      </c>
      <c r="AI194" s="395">
        <v>37492.17</v>
      </c>
      <c r="AJ194" s="395"/>
      <c r="AK194" s="395"/>
      <c r="AL194" s="452"/>
      <c r="AM194" s="460">
        <f t="shared" si="8"/>
        <v>296919.89</v>
      </c>
      <c r="AN194" s="395">
        <v>66</v>
      </c>
      <c r="AO194" s="398">
        <v>1128</v>
      </c>
      <c r="AP194" s="455">
        <v>-111564.9</v>
      </c>
      <c r="AQ194" s="465"/>
      <c r="AR194" s="465">
        <v>-4776.46</v>
      </c>
      <c r="AS194" s="470">
        <v>1</v>
      </c>
      <c r="AT194" s="516"/>
      <c r="AU194" s="516"/>
      <c r="AV194" s="516"/>
      <c r="AW194" s="516"/>
      <c r="AX194" s="516"/>
      <c r="AY194" s="516"/>
      <c r="AZ194" s="523"/>
      <c r="BA194" s="523"/>
      <c r="BB194" s="523"/>
      <c r="BC194" s="523"/>
      <c r="BD194" s="523"/>
      <c r="BE194" s="523"/>
      <c r="BF194" s="523"/>
      <c r="BG194" s="523"/>
    </row>
    <row r="195" spans="1:59" x14ac:dyDescent="0.25">
      <c r="A195" s="338">
        <v>5716</v>
      </c>
      <c r="B195" s="485" t="s">
        <v>232</v>
      </c>
      <c r="C195" s="390">
        <v>4063002.44</v>
      </c>
      <c r="D195" s="390">
        <v>533591.48</v>
      </c>
      <c r="E195" s="388"/>
      <c r="F195" s="390">
        <v>0</v>
      </c>
      <c r="G195" s="390">
        <v>9567108.0999999996</v>
      </c>
      <c r="H195" s="390">
        <v>1195545.6000000001</v>
      </c>
      <c r="I195" s="390">
        <v>0</v>
      </c>
      <c r="J195" s="390">
        <v>1090328.49</v>
      </c>
      <c r="K195" s="390">
        <v>191319.35</v>
      </c>
      <c r="L195" s="390">
        <v>648283.1</v>
      </c>
      <c r="M195" s="331">
        <f t="shared" si="6"/>
        <v>17289178.559999999</v>
      </c>
      <c r="N195" s="394">
        <v>574592.4</v>
      </c>
      <c r="O195" s="394">
        <v>104368.8</v>
      </c>
      <c r="P195" s="394">
        <v>1109474.6499999999</v>
      </c>
      <c r="Q195" s="394">
        <v>9607.18</v>
      </c>
      <c r="R195" s="394">
        <v>123842.9</v>
      </c>
      <c r="S195" s="394">
        <v>9045.7000000000007</v>
      </c>
      <c r="T195" s="394"/>
      <c r="U195" s="394">
        <v>9050</v>
      </c>
      <c r="V195" s="394"/>
      <c r="W195" s="394"/>
      <c r="X195" s="379">
        <v>1290946.78</v>
      </c>
      <c r="Y195" s="460">
        <f t="shared" si="7"/>
        <v>20520106.969999995</v>
      </c>
      <c r="Z195" s="395">
        <v>1050</v>
      </c>
      <c r="AA195" s="395"/>
      <c r="AB195" s="395">
        <v>215929.29</v>
      </c>
      <c r="AC195" s="395"/>
      <c r="AD195" s="395">
        <v>108022.6</v>
      </c>
      <c r="AE195" s="395"/>
      <c r="AF195" s="395"/>
      <c r="AG195" s="395"/>
      <c r="AH195" s="395"/>
      <c r="AI195" s="395">
        <v>72250.399999999994</v>
      </c>
      <c r="AJ195" s="395"/>
      <c r="AK195" s="395"/>
      <c r="AL195" s="452"/>
      <c r="AM195" s="460">
        <f t="shared" si="8"/>
        <v>397252.29000000004</v>
      </c>
      <c r="AN195" s="395">
        <v>59.5</v>
      </c>
      <c r="AO195" s="398">
        <v>1740</v>
      </c>
      <c r="AP195" s="455">
        <v>-54028.74</v>
      </c>
      <c r="AQ195" s="465"/>
      <c r="AR195" s="465">
        <v>-1488.32</v>
      </c>
      <c r="AS195" s="470">
        <v>1</v>
      </c>
      <c r="AT195" s="516"/>
      <c r="AU195" s="516"/>
      <c r="AV195" s="516"/>
      <c r="AW195" s="516"/>
      <c r="AX195" s="516"/>
      <c r="AY195" s="516"/>
      <c r="AZ195" s="523"/>
      <c r="BA195" s="523"/>
      <c r="BB195" s="523"/>
      <c r="BC195" s="523"/>
      <c r="BD195" s="523"/>
      <c r="BE195" s="523"/>
      <c r="BF195" s="523"/>
      <c r="BG195" s="523"/>
    </row>
    <row r="196" spans="1:59" x14ac:dyDescent="0.25">
      <c r="A196" s="338">
        <v>5717</v>
      </c>
      <c r="B196" s="485" t="s">
        <v>233</v>
      </c>
      <c r="C196" s="390">
        <v>16107344.529999999</v>
      </c>
      <c r="D196" s="390">
        <v>4014240.05</v>
      </c>
      <c r="E196" s="388"/>
      <c r="F196" s="390">
        <v>0</v>
      </c>
      <c r="G196" s="390">
        <v>72282.55</v>
      </c>
      <c r="H196" s="390">
        <v>35336.949999999997</v>
      </c>
      <c r="I196" s="390">
        <v>925308</v>
      </c>
      <c r="J196" s="390">
        <v>-287667.32</v>
      </c>
      <c r="K196" s="390">
        <v>41372</v>
      </c>
      <c r="L196" s="390">
        <v>1332232.8999999999</v>
      </c>
      <c r="M196" s="331">
        <f t="shared" si="6"/>
        <v>22240449.659999996</v>
      </c>
      <c r="N196" s="394">
        <v>222193.9</v>
      </c>
      <c r="O196" s="394">
        <v>244729.2</v>
      </c>
      <c r="P196" s="394">
        <v>998803.45</v>
      </c>
      <c r="Q196" s="394">
        <v>12068.44</v>
      </c>
      <c r="R196" s="394">
        <v>935119.25</v>
      </c>
      <c r="S196" s="394"/>
      <c r="T196" s="394"/>
      <c r="U196" s="394">
        <v>20895</v>
      </c>
      <c r="V196" s="394"/>
      <c r="W196" s="394"/>
      <c r="X196" s="379">
        <v>12908.62</v>
      </c>
      <c r="Y196" s="460">
        <f t="shared" si="7"/>
        <v>24687167.519999996</v>
      </c>
      <c r="Z196" s="395"/>
      <c r="AA196" s="395"/>
      <c r="AB196" s="395"/>
      <c r="AC196" s="395"/>
      <c r="AD196" s="395">
        <v>508538.42</v>
      </c>
      <c r="AE196" s="395"/>
      <c r="AF196" s="395"/>
      <c r="AG196" s="395"/>
      <c r="AH196" s="395">
        <v>438</v>
      </c>
      <c r="AI196" s="395"/>
      <c r="AJ196" s="395"/>
      <c r="AK196" s="395">
        <v>118756.25</v>
      </c>
      <c r="AL196" s="452"/>
      <c r="AM196" s="460">
        <f t="shared" si="8"/>
        <v>627732.66999999993</v>
      </c>
      <c r="AN196" s="395">
        <v>57</v>
      </c>
      <c r="AO196" s="398">
        <v>3834</v>
      </c>
      <c r="AP196" s="455">
        <v>-115528.89</v>
      </c>
      <c r="AQ196" s="465"/>
      <c r="AR196" s="465">
        <v>-102206.5</v>
      </c>
      <c r="AS196" s="470">
        <v>1</v>
      </c>
      <c r="AT196" s="516"/>
      <c r="AU196" s="516"/>
      <c r="AV196" s="516"/>
      <c r="AW196" s="516"/>
      <c r="AX196" s="516"/>
      <c r="AY196" s="516"/>
      <c r="AZ196" s="523"/>
      <c r="BA196" s="523"/>
      <c r="BB196" s="523"/>
      <c r="BC196" s="523"/>
      <c r="BD196" s="523"/>
      <c r="BE196" s="523"/>
      <c r="BF196" s="523"/>
      <c r="BG196" s="523"/>
    </row>
    <row r="197" spans="1:59" x14ac:dyDescent="0.25">
      <c r="A197" s="338">
        <v>5718</v>
      </c>
      <c r="B197" s="485" t="s">
        <v>234</v>
      </c>
      <c r="C197" s="390">
        <v>10057337.779999999</v>
      </c>
      <c r="D197" s="390">
        <v>1844585.49</v>
      </c>
      <c r="E197" s="388"/>
      <c r="F197" s="390">
        <v>0</v>
      </c>
      <c r="G197" s="390">
        <v>377437.85</v>
      </c>
      <c r="H197" s="390">
        <v>-57521.1</v>
      </c>
      <c r="I197" s="390">
        <v>345616.43</v>
      </c>
      <c r="J197" s="390">
        <v>183001.21</v>
      </c>
      <c r="K197" s="390">
        <v>41921.599999999999</v>
      </c>
      <c r="L197" s="390">
        <v>685761.5</v>
      </c>
      <c r="M197" s="331">
        <f t="shared" si="6"/>
        <v>13478140.76</v>
      </c>
      <c r="N197" s="394">
        <v>269907.05</v>
      </c>
      <c r="O197" s="394">
        <v>-40770.400000000001</v>
      </c>
      <c r="P197" s="394">
        <v>480990.65</v>
      </c>
      <c r="Q197" s="394">
        <v>2276.39</v>
      </c>
      <c r="R197" s="394">
        <v>383919.55</v>
      </c>
      <c r="S197" s="394"/>
      <c r="T197" s="394">
        <v>50</v>
      </c>
      <c r="U197" s="394">
        <v>8250</v>
      </c>
      <c r="V197" s="394"/>
      <c r="W197" s="394"/>
      <c r="X197" s="379">
        <v>38373.019999999997</v>
      </c>
      <c r="Y197" s="460">
        <f t="shared" si="7"/>
        <v>14621137.020000001</v>
      </c>
      <c r="Z197" s="395">
        <v>83165.399999999994</v>
      </c>
      <c r="AA197" s="395"/>
      <c r="AB197" s="395">
        <v>226430.7</v>
      </c>
      <c r="AC197" s="395"/>
      <c r="AD197" s="395">
        <v>185872.61</v>
      </c>
      <c r="AE197" s="395">
        <v>215917.35</v>
      </c>
      <c r="AF197" s="395"/>
      <c r="AG197" s="395"/>
      <c r="AH197" s="395">
        <v>20440.3</v>
      </c>
      <c r="AI197" s="395"/>
      <c r="AJ197" s="395"/>
      <c r="AK197" s="395"/>
      <c r="AL197" s="452"/>
      <c r="AM197" s="460">
        <f t="shared" si="8"/>
        <v>731826.36</v>
      </c>
      <c r="AN197" s="395">
        <v>55</v>
      </c>
      <c r="AO197" s="398">
        <v>1996</v>
      </c>
      <c r="AP197" s="455">
        <v>-26729.54</v>
      </c>
      <c r="AQ197" s="465"/>
      <c r="AR197" s="465">
        <v>-12535.27</v>
      </c>
      <c r="AS197" s="470">
        <v>1</v>
      </c>
      <c r="AT197" s="516"/>
      <c r="AU197" s="516"/>
      <c r="AV197" s="516"/>
      <c r="AW197" s="516"/>
      <c r="AX197" s="516"/>
      <c r="AY197" s="516"/>
      <c r="AZ197" s="523"/>
      <c r="BA197" s="523"/>
      <c r="BB197" s="523"/>
      <c r="BC197" s="523"/>
      <c r="BD197" s="523"/>
      <c r="BE197" s="523"/>
      <c r="BF197" s="523"/>
      <c r="BG197" s="523"/>
    </row>
    <row r="198" spans="1:59" x14ac:dyDescent="0.25">
      <c r="A198" s="338">
        <v>5719</v>
      </c>
      <c r="B198" s="485" t="s">
        <v>235</v>
      </c>
      <c r="C198" s="390">
        <v>4694001.5</v>
      </c>
      <c r="D198" s="390">
        <v>2494921.4</v>
      </c>
      <c r="E198" s="388"/>
      <c r="F198" s="390">
        <v>0</v>
      </c>
      <c r="G198" s="390">
        <v>465106.15</v>
      </c>
      <c r="H198" s="390">
        <v>5786.1</v>
      </c>
      <c r="I198" s="390">
        <v>162245.15</v>
      </c>
      <c r="J198" s="390">
        <v>49408.41</v>
      </c>
      <c r="K198" s="390">
        <v>6062.8</v>
      </c>
      <c r="L198" s="390">
        <v>245952.5</v>
      </c>
      <c r="M198" s="331">
        <f t="shared" si="6"/>
        <v>8123484.0100000007</v>
      </c>
      <c r="N198" s="394">
        <v>52212.85</v>
      </c>
      <c r="O198" s="394">
        <v>12175.7</v>
      </c>
      <c r="P198" s="394">
        <v>292425.45</v>
      </c>
      <c r="Q198" s="394">
        <v>0</v>
      </c>
      <c r="R198" s="394">
        <v>108446.75</v>
      </c>
      <c r="S198" s="394">
        <v>102</v>
      </c>
      <c r="T198" s="394"/>
      <c r="U198" s="394">
        <v>15250</v>
      </c>
      <c r="V198" s="394"/>
      <c r="W198" s="394"/>
      <c r="X198" s="379">
        <v>56482.06</v>
      </c>
      <c r="Y198" s="460">
        <f t="shared" si="7"/>
        <v>8660578.8200000003</v>
      </c>
      <c r="Z198" s="395">
        <v>19506</v>
      </c>
      <c r="AA198" s="395"/>
      <c r="AB198" s="395">
        <v>93648.31</v>
      </c>
      <c r="AC198" s="395"/>
      <c r="AD198" s="395">
        <v>97963.45</v>
      </c>
      <c r="AE198" s="395">
        <v>22050</v>
      </c>
      <c r="AF198" s="395"/>
      <c r="AG198" s="395"/>
      <c r="AH198" s="395">
        <v>5398.1</v>
      </c>
      <c r="AI198" s="395"/>
      <c r="AJ198" s="395"/>
      <c r="AK198" s="395"/>
      <c r="AL198" s="452"/>
      <c r="AM198" s="460">
        <f t="shared" si="8"/>
        <v>238565.86000000002</v>
      </c>
      <c r="AN198" s="395">
        <v>57</v>
      </c>
      <c r="AO198" s="398">
        <v>1257</v>
      </c>
      <c r="AP198" s="455">
        <v>-22774.959999999999</v>
      </c>
      <c r="AQ198" s="465"/>
      <c r="AR198" s="465">
        <v>-12758.73</v>
      </c>
      <c r="AS198" s="470">
        <v>0.6</v>
      </c>
      <c r="AT198" s="516"/>
      <c r="AU198" s="516"/>
      <c r="AV198" s="516"/>
      <c r="AW198" s="516"/>
      <c r="AX198" s="516"/>
      <c r="AY198" s="516"/>
      <c r="AZ198" s="523"/>
      <c r="BA198" s="523"/>
      <c r="BB198" s="523"/>
      <c r="BC198" s="523"/>
      <c r="BD198" s="523"/>
      <c r="BE198" s="523"/>
      <c r="BF198" s="523"/>
      <c r="BG198" s="523"/>
    </row>
    <row r="199" spans="1:59" x14ac:dyDescent="0.25">
      <c r="A199" s="338">
        <v>5720</v>
      </c>
      <c r="B199" s="485" t="s">
        <v>236</v>
      </c>
      <c r="C199" s="390">
        <v>3912817.1</v>
      </c>
      <c r="D199" s="390">
        <v>1042942.18</v>
      </c>
      <c r="E199" s="388"/>
      <c r="F199" s="390">
        <v>0</v>
      </c>
      <c r="G199" s="390">
        <v>31672.799999999999</v>
      </c>
      <c r="H199" s="390">
        <v>13651.6</v>
      </c>
      <c r="I199" s="390">
        <v>324111.55</v>
      </c>
      <c r="J199" s="390">
        <v>36650.199999999997</v>
      </c>
      <c r="K199" s="390">
        <v>0</v>
      </c>
      <c r="L199" s="390">
        <v>277389.84999999998</v>
      </c>
      <c r="M199" s="331">
        <f t="shared" ref="M199:M262" si="9">SUM(C199:L199)</f>
        <v>5639235.2799999993</v>
      </c>
      <c r="N199" s="394">
        <v>9872.7000000000007</v>
      </c>
      <c r="O199" s="394">
        <v>0</v>
      </c>
      <c r="P199" s="394">
        <v>223479.45</v>
      </c>
      <c r="Q199" s="394">
        <v>1506.3</v>
      </c>
      <c r="R199" s="394">
        <v>336799.65</v>
      </c>
      <c r="S199" s="394"/>
      <c r="T199" s="394">
        <v>191.75</v>
      </c>
      <c r="U199" s="394">
        <v>6160</v>
      </c>
      <c r="V199" s="394"/>
      <c r="W199" s="394"/>
      <c r="X199" s="379">
        <v>5436.52</v>
      </c>
      <c r="Y199" s="460">
        <f t="shared" si="7"/>
        <v>6222681.6499999994</v>
      </c>
      <c r="Z199" s="395">
        <v>35760.65</v>
      </c>
      <c r="AA199" s="395"/>
      <c r="AB199" s="395">
        <v>151740.4</v>
      </c>
      <c r="AC199" s="395"/>
      <c r="AD199" s="395">
        <v>60031.45</v>
      </c>
      <c r="AE199" s="395">
        <v>48634.35</v>
      </c>
      <c r="AF199" s="395"/>
      <c r="AG199" s="395"/>
      <c r="AH199" s="395"/>
      <c r="AI199" s="395"/>
      <c r="AJ199" s="395"/>
      <c r="AK199" s="395"/>
      <c r="AL199" s="452"/>
      <c r="AM199" s="460">
        <f t="shared" si="8"/>
        <v>296166.84999999998</v>
      </c>
      <c r="AN199" s="395">
        <v>67</v>
      </c>
      <c r="AO199" s="398">
        <v>1031</v>
      </c>
      <c r="AP199" s="455">
        <v>-24457.919999999998</v>
      </c>
      <c r="AQ199" s="465"/>
      <c r="AR199" s="465">
        <v>-13000.22</v>
      </c>
      <c r="AS199" s="470">
        <v>0.9</v>
      </c>
      <c r="AT199" s="516"/>
      <c r="AU199" s="516"/>
      <c r="AV199" s="516"/>
      <c r="AW199" s="516"/>
      <c r="AX199" s="516"/>
      <c r="AY199" s="516"/>
      <c r="AZ199" s="523"/>
      <c r="BA199" s="523"/>
      <c r="BB199" s="523"/>
      <c r="BC199" s="523"/>
      <c r="BD199" s="523"/>
      <c r="BE199" s="523"/>
      <c r="BF199" s="523"/>
      <c r="BG199" s="523"/>
    </row>
    <row r="200" spans="1:59" x14ac:dyDescent="0.25">
      <c r="A200" s="338">
        <v>5721</v>
      </c>
      <c r="B200" s="485" t="s">
        <v>237</v>
      </c>
      <c r="C200" s="390">
        <v>25541606.73</v>
      </c>
      <c r="D200" s="390">
        <v>5504031.6900000004</v>
      </c>
      <c r="E200" s="388"/>
      <c r="F200" s="390">
        <v>0</v>
      </c>
      <c r="G200" s="390">
        <v>3274072.85</v>
      </c>
      <c r="H200" s="390">
        <v>504382.5</v>
      </c>
      <c r="I200" s="390">
        <v>570158.6</v>
      </c>
      <c r="J200" s="390">
        <v>1086520.6299999999</v>
      </c>
      <c r="K200" s="390">
        <v>512957.5</v>
      </c>
      <c r="L200" s="390">
        <v>2975096.15</v>
      </c>
      <c r="M200" s="331">
        <f t="shared" si="9"/>
        <v>39968826.650000006</v>
      </c>
      <c r="N200" s="394">
        <v>2223465.7000000002</v>
      </c>
      <c r="O200" s="394">
        <v>238437</v>
      </c>
      <c r="P200" s="394">
        <v>2072198.5</v>
      </c>
      <c r="Q200" s="394">
        <v>150029.39000000001</v>
      </c>
      <c r="R200" s="394">
        <v>766926.3</v>
      </c>
      <c r="S200" s="394"/>
      <c r="T200" s="394"/>
      <c r="U200" s="394">
        <v>68700</v>
      </c>
      <c r="V200" s="394"/>
      <c r="W200" s="394"/>
      <c r="X200" s="379">
        <v>453213.95</v>
      </c>
      <c r="Y200" s="460">
        <f t="shared" ref="Y200:Y263" si="10">SUM(M200:X200)</f>
        <v>45941797.49000001</v>
      </c>
      <c r="Z200" s="395">
        <v>1389709.5</v>
      </c>
      <c r="AA200" s="395"/>
      <c r="AB200" s="395">
        <v>1164237.8</v>
      </c>
      <c r="AC200" s="395"/>
      <c r="AD200" s="395">
        <v>1413311.6</v>
      </c>
      <c r="AE200" s="395">
        <v>555883.75</v>
      </c>
      <c r="AF200" s="395"/>
      <c r="AG200" s="395"/>
      <c r="AH200" s="395">
        <v>45173.85</v>
      </c>
      <c r="AI200" s="395">
        <v>477328.71</v>
      </c>
      <c r="AJ200" s="395">
        <v>272768.69</v>
      </c>
      <c r="AK200" s="395">
        <v>477328.71</v>
      </c>
      <c r="AL200" s="452">
        <v>340988.64</v>
      </c>
      <c r="AM200" s="460">
        <f t="shared" ref="AM200:AM263" si="11">SUM(Z200:AL200)</f>
        <v>6136731.25</v>
      </c>
      <c r="AN200" s="395">
        <v>61</v>
      </c>
      <c r="AO200" s="398">
        <v>13243</v>
      </c>
      <c r="AP200" s="455">
        <v>-813563.98</v>
      </c>
      <c r="AQ200" s="465"/>
      <c r="AR200" s="465">
        <v>-40976.54</v>
      </c>
      <c r="AS200" s="470">
        <v>1</v>
      </c>
      <c r="AT200" s="516"/>
      <c r="AU200" s="516"/>
      <c r="AV200" s="516"/>
      <c r="AW200" s="516"/>
      <c r="AX200" s="516"/>
      <c r="AY200" s="516"/>
      <c r="AZ200" s="523"/>
      <c r="BA200" s="523"/>
      <c r="BB200" s="523"/>
      <c r="BC200" s="523"/>
      <c r="BD200" s="523"/>
      <c r="BE200" s="523"/>
      <c r="BF200" s="523"/>
      <c r="BG200" s="523"/>
    </row>
    <row r="201" spans="1:59" x14ac:dyDescent="0.25">
      <c r="A201" s="338">
        <v>5722</v>
      </c>
      <c r="B201" s="485" t="s">
        <v>238</v>
      </c>
      <c r="C201" s="390">
        <v>1316073.32</v>
      </c>
      <c r="D201" s="390">
        <v>181810.65</v>
      </c>
      <c r="E201" s="388"/>
      <c r="F201" s="390">
        <v>0</v>
      </c>
      <c r="G201" s="390">
        <v>8334.5499999999993</v>
      </c>
      <c r="H201" s="390">
        <v>1812.35</v>
      </c>
      <c r="I201" s="390">
        <v>0</v>
      </c>
      <c r="J201" s="390">
        <v>-18719.46</v>
      </c>
      <c r="K201" s="390">
        <v>6180.6</v>
      </c>
      <c r="L201" s="390">
        <v>87955.05</v>
      </c>
      <c r="M201" s="331">
        <f t="shared" si="9"/>
        <v>1583447.0600000003</v>
      </c>
      <c r="N201" s="394">
        <v>22755.3</v>
      </c>
      <c r="O201" s="394">
        <v>0</v>
      </c>
      <c r="P201" s="394">
        <v>9605.25</v>
      </c>
      <c r="Q201" s="394">
        <v>0</v>
      </c>
      <c r="R201" s="394">
        <v>4608.2</v>
      </c>
      <c r="S201" s="394"/>
      <c r="T201" s="394"/>
      <c r="U201" s="394">
        <v>1650</v>
      </c>
      <c r="V201" s="394"/>
      <c r="W201" s="394"/>
      <c r="X201" s="379">
        <v>1217.0899999999999</v>
      </c>
      <c r="Y201" s="460">
        <f t="shared" si="10"/>
        <v>1623282.9000000004</v>
      </c>
      <c r="Z201" s="395">
        <v>70000</v>
      </c>
      <c r="AA201" s="395"/>
      <c r="AB201" s="395">
        <v>43480.24</v>
      </c>
      <c r="AC201" s="395"/>
      <c r="AD201" s="395">
        <v>29116.5</v>
      </c>
      <c r="AE201" s="395"/>
      <c r="AF201" s="395"/>
      <c r="AG201" s="395"/>
      <c r="AH201" s="395"/>
      <c r="AI201" s="395">
        <v>12055.4</v>
      </c>
      <c r="AJ201" s="395"/>
      <c r="AK201" s="395"/>
      <c r="AL201" s="452"/>
      <c r="AM201" s="460">
        <f t="shared" si="11"/>
        <v>154652.13999999998</v>
      </c>
      <c r="AN201" s="395">
        <v>62</v>
      </c>
      <c r="AO201" s="398">
        <v>405</v>
      </c>
      <c r="AP201" s="455">
        <v>-672.99</v>
      </c>
      <c r="AQ201" s="465"/>
      <c r="AR201" s="465">
        <v>-1403.84</v>
      </c>
      <c r="AS201" s="470">
        <v>1</v>
      </c>
      <c r="AT201" s="516"/>
      <c r="AU201" s="516"/>
      <c r="AV201" s="516"/>
      <c r="AW201" s="516"/>
      <c r="AX201" s="516"/>
      <c r="AY201" s="516"/>
      <c r="AZ201" s="523"/>
      <c r="BA201" s="523"/>
      <c r="BB201" s="523"/>
      <c r="BC201" s="523"/>
      <c r="BD201" s="523"/>
      <c r="BE201" s="523"/>
      <c r="BF201" s="523"/>
      <c r="BG201" s="523"/>
    </row>
    <row r="202" spans="1:59" x14ac:dyDescent="0.25">
      <c r="A202" s="338">
        <v>5723</v>
      </c>
      <c r="B202" s="485" t="s">
        <v>239</v>
      </c>
      <c r="C202" s="390">
        <v>7107772.0099999998</v>
      </c>
      <c r="D202" s="390">
        <v>1488527.3</v>
      </c>
      <c r="E202" s="388"/>
      <c r="F202" s="390">
        <v>0</v>
      </c>
      <c r="G202" s="390">
        <v>298019.84999999998</v>
      </c>
      <c r="H202" s="390">
        <v>21372.45</v>
      </c>
      <c r="I202" s="390">
        <v>472945.47</v>
      </c>
      <c r="J202" s="390">
        <v>121417.13</v>
      </c>
      <c r="K202" s="390">
        <v>41667.85</v>
      </c>
      <c r="L202" s="390">
        <v>834188</v>
      </c>
      <c r="M202" s="331">
        <f t="shared" si="9"/>
        <v>10385910.060000001</v>
      </c>
      <c r="N202" s="394">
        <v>92665.45</v>
      </c>
      <c r="O202" s="394">
        <v>163699.20000000001</v>
      </c>
      <c r="P202" s="394">
        <v>622549.6</v>
      </c>
      <c r="Q202" s="394">
        <v>29262.59</v>
      </c>
      <c r="R202" s="394">
        <v>448780.75</v>
      </c>
      <c r="S202" s="394"/>
      <c r="T202" s="394"/>
      <c r="U202" s="394">
        <v>8100</v>
      </c>
      <c r="V202" s="394"/>
      <c r="W202" s="394"/>
      <c r="X202" s="379">
        <v>38310.11</v>
      </c>
      <c r="Y202" s="460">
        <f t="shared" si="10"/>
        <v>11789277.759999998</v>
      </c>
      <c r="Z202" s="395"/>
      <c r="AA202" s="395"/>
      <c r="AB202" s="395"/>
      <c r="AC202" s="395"/>
      <c r="AD202" s="395">
        <v>191826</v>
      </c>
      <c r="AE202" s="395"/>
      <c r="AF202" s="395"/>
      <c r="AG202" s="395"/>
      <c r="AH202" s="395">
        <v>3375</v>
      </c>
      <c r="AI202" s="395">
        <v>78926</v>
      </c>
      <c r="AJ202" s="395"/>
      <c r="AK202" s="395"/>
      <c r="AL202" s="452"/>
      <c r="AM202" s="460">
        <f t="shared" si="11"/>
        <v>274127</v>
      </c>
      <c r="AN202" s="395">
        <v>52</v>
      </c>
      <c r="AO202" s="398">
        <v>2172</v>
      </c>
      <c r="AP202" s="455">
        <v>-63187.28</v>
      </c>
      <c r="AQ202" s="465"/>
      <c r="AR202" s="465">
        <v>-104426.37</v>
      </c>
      <c r="AS202" s="470">
        <v>1</v>
      </c>
      <c r="AT202" s="516"/>
      <c r="AU202" s="516"/>
      <c r="AV202" s="516"/>
      <c r="AW202" s="516"/>
      <c r="AX202" s="516"/>
      <c r="AY202" s="516"/>
      <c r="AZ202" s="523"/>
      <c r="BA202" s="523"/>
      <c r="BB202" s="523"/>
      <c r="BC202" s="523"/>
      <c r="BD202" s="523"/>
      <c r="BE202" s="523"/>
      <c r="BF202" s="523"/>
      <c r="BG202" s="523"/>
    </row>
    <row r="203" spans="1:59" x14ac:dyDescent="0.25">
      <c r="A203" s="338">
        <v>5724</v>
      </c>
      <c r="B203" s="485" t="s">
        <v>69</v>
      </c>
      <c r="C203" s="390">
        <v>55961942.75</v>
      </c>
      <c r="D203" s="390">
        <v>10392603.390000001</v>
      </c>
      <c r="E203" s="388"/>
      <c r="F203" s="390">
        <v>0</v>
      </c>
      <c r="G203" s="390">
        <v>6917965.6500000004</v>
      </c>
      <c r="H203" s="390">
        <v>1090769.95</v>
      </c>
      <c r="I203" s="390">
        <v>1912327.79</v>
      </c>
      <c r="J203" s="390">
        <v>3427119.1</v>
      </c>
      <c r="K203" s="390">
        <v>958188.35</v>
      </c>
      <c r="L203" s="390">
        <v>8360072.1500000004</v>
      </c>
      <c r="M203" s="331">
        <f t="shared" si="9"/>
        <v>89020989.13000001</v>
      </c>
      <c r="N203" s="394">
        <v>4660553.0999999996</v>
      </c>
      <c r="O203" s="394">
        <v>3180216.45</v>
      </c>
      <c r="P203" s="394">
        <v>3803960.5</v>
      </c>
      <c r="Q203" s="394">
        <v>174414.38</v>
      </c>
      <c r="R203" s="394">
        <v>6244454.2999999998</v>
      </c>
      <c r="S203" s="394"/>
      <c r="T203" s="394">
        <v>75954.8</v>
      </c>
      <c r="U203" s="394">
        <v>46160</v>
      </c>
      <c r="V203" s="394"/>
      <c r="W203" s="394"/>
      <c r="X203" s="379">
        <v>960622.88</v>
      </c>
      <c r="Y203" s="460">
        <f t="shared" si="10"/>
        <v>108167325.53999999</v>
      </c>
      <c r="Z203" s="395">
        <v>744827.8</v>
      </c>
      <c r="AA203" s="395"/>
      <c r="AB203" s="395">
        <v>4024903.48</v>
      </c>
      <c r="AC203" s="395"/>
      <c r="AD203" s="395">
        <v>2048644.59</v>
      </c>
      <c r="AE203" s="395">
        <v>1148046.04</v>
      </c>
      <c r="AF203" s="395"/>
      <c r="AG203" s="395"/>
      <c r="AH203" s="395">
        <v>92134</v>
      </c>
      <c r="AI203" s="395">
        <v>695341.24</v>
      </c>
      <c r="AJ203" s="395">
        <v>794649.55</v>
      </c>
      <c r="AK203" s="395">
        <v>496768.16</v>
      </c>
      <c r="AL203" s="452">
        <v>198662.17</v>
      </c>
      <c r="AM203" s="460">
        <f t="shared" si="11"/>
        <v>10243977.030000001</v>
      </c>
      <c r="AN203" s="395">
        <v>61</v>
      </c>
      <c r="AO203" s="398">
        <v>21743</v>
      </c>
      <c r="AP203" s="455">
        <v>-889891.87</v>
      </c>
      <c r="AQ203" s="465"/>
      <c r="AR203" s="465">
        <v>-119872.56</v>
      </c>
      <c r="AS203" s="470">
        <v>1.5</v>
      </c>
      <c r="AT203" s="516"/>
      <c r="AU203" s="516"/>
      <c r="AV203" s="516"/>
      <c r="AW203" s="516"/>
      <c r="AX203" s="516"/>
      <c r="AY203" s="516"/>
      <c r="AZ203" s="523"/>
      <c r="BA203" s="523"/>
      <c r="BB203" s="523"/>
      <c r="BC203" s="523"/>
      <c r="BD203" s="523"/>
      <c r="BE203" s="523"/>
      <c r="BF203" s="523"/>
      <c r="BG203" s="523"/>
    </row>
    <row r="204" spans="1:59" x14ac:dyDescent="0.25">
      <c r="A204" s="338">
        <v>5725</v>
      </c>
      <c r="B204" s="485" t="s">
        <v>70</v>
      </c>
      <c r="C204" s="390">
        <v>11722067.34</v>
      </c>
      <c r="D204" s="390">
        <v>3058268.7</v>
      </c>
      <c r="E204" s="388"/>
      <c r="F204" s="390">
        <v>0</v>
      </c>
      <c r="G204" s="390">
        <v>924047.65</v>
      </c>
      <c r="H204" s="390">
        <v>29289.5</v>
      </c>
      <c r="I204" s="390">
        <v>182065.3</v>
      </c>
      <c r="J204" s="390">
        <v>276974.82</v>
      </c>
      <c r="K204" s="390">
        <v>-14130.45</v>
      </c>
      <c r="L204" s="390">
        <v>1682065.45</v>
      </c>
      <c r="M204" s="331">
        <f t="shared" si="9"/>
        <v>17860648.310000002</v>
      </c>
      <c r="N204" s="394">
        <v>1101910.6000000001</v>
      </c>
      <c r="O204" s="394">
        <v>61383.1</v>
      </c>
      <c r="P204" s="394">
        <v>474229.25</v>
      </c>
      <c r="Q204" s="394">
        <v>12972.19</v>
      </c>
      <c r="R204" s="394">
        <v>609396.55000000005</v>
      </c>
      <c r="S204" s="394"/>
      <c r="T204" s="394"/>
      <c r="U204" s="394">
        <v>16945</v>
      </c>
      <c r="V204" s="394"/>
      <c r="W204" s="394"/>
      <c r="X204" s="379">
        <v>114349.82</v>
      </c>
      <c r="Y204" s="460">
        <f t="shared" si="10"/>
        <v>20251834.820000008</v>
      </c>
      <c r="Z204" s="395">
        <v>58907.16</v>
      </c>
      <c r="AA204" s="395"/>
      <c r="AB204" s="395">
        <v>363263.98</v>
      </c>
      <c r="AC204" s="395"/>
      <c r="AD204" s="395">
        <v>295470.65999999997</v>
      </c>
      <c r="AE204" s="395"/>
      <c r="AF204" s="395"/>
      <c r="AG204" s="395"/>
      <c r="AH204" s="395">
        <v>31644.35</v>
      </c>
      <c r="AI204" s="395"/>
      <c r="AJ204" s="395"/>
      <c r="AK204" s="395">
        <v>202899.6</v>
      </c>
      <c r="AL204" s="452"/>
      <c r="AM204" s="460">
        <f t="shared" si="11"/>
        <v>952185.75</v>
      </c>
      <c r="AN204" s="395">
        <v>55</v>
      </c>
      <c r="AO204" s="398">
        <v>4101</v>
      </c>
      <c r="AP204" s="455">
        <v>-190443.67</v>
      </c>
      <c r="AQ204" s="465"/>
      <c r="AR204" s="465">
        <v>-112665.15</v>
      </c>
      <c r="AS204" s="470">
        <v>1.4</v>
      </c>
      <c r="AT204" s="516"/>
      <c r="AU204" s="516"/>
      <c r="AV204" s="516"/>
      <c r="AW204" s="516"/>
      <c r="AX204" s="516"/>
      <c r="AY204" s="516"/>
      <c r="AZ204" s="523"/>
      <c r="BA204" s="523"/>
      <c r="BB204" s="523"/>
      <c r="BC204" s="523"/>
      <c r="BD204" s="523"/>
      <c r="BE204" s="523"/>
      <c r="BF204" s="523"/>
      <c r="BG204" s="523"/>
    </row>
    <row r="205" spans="1:59" x14ac:dyDescent="0.25">
      <c r="A205" s="338">
        <v>5726</v>
      </c>
      <c r="B205" s="485" t="s">
        <v>318</v>
      </c>
      <c r="C205" s="390">
        <v>3309540.49</v>
      </c>
      <c r="D205" s="390">
        <v>655150.18999999994</v>
      </c>
      <c r="E205" s="388"/>
      <c r="F205" s="390">
        <v>0</v>
      </c>
      <c r="G205" s="390">
        <v>37122.199999999997</v>
      </c>
      <c r="H205" s="390">
        <v>-7922.6</v>
      </c>
      <c r="I205" s="390">
        <v>0</v>
      </c>
      <c r="J205" s="390">
        <v>123021.68</v>
      </c>
      <c r="K205" s="390">
        <v>6611.15</v>
      </c>
      <c r="L205" s="390">
        <v>266920.95</v>
      </c>
      <c r="M205" s="331">
        <f t="shared" si="9"/>
        <v>4390444.0600000005</v>
      </c>
      <c r="N205" s="394">
        <v>38077.35</v>
      </c>
      <c r="O205" s="394">
        <v>22827.8</v>
      </c>
      <c r="P205" s="394">
        <v>272060.79999999999</v>
      </c>
      <c r="Q205" s="394">
        <v>540.36</v>
      </c>
      <c r="R205" s="394">
        <v>234275.15</v>
      </c>
      <c r="S205" s="394"/>
      <c r="T205" s="394"/>
      <c r="U205" s="394">
        <v>10800</v>
      </c>
      <c r="V205" s="394"/>
      <c r="W205" s="394"/>
      <c r="X205" s="379">
        <v>3502.4</v>
      </c>
      <c r="Y205" s="460">
        <f t="shared" si="10"/>
        <v>4972527.9200000009</v>
      </c>
      <c r="Z205" s="395">
        <v>62113.5</v>
      </c>
      <c r="AA205" s="395"/>
      <c r="AB205" s="395">
        <v>177310.05</v>
      </c>
      <c r="AC205" s="395"/>
      <c r="AD205" s="395">
        <v>83568.88</v>
      </c>
      <c r="AE205" s="395">
        <v>59016.55</v>
      </c>
      <c r="AF205" s="395"/>
      <c r="AG205" s="395"/>
      <c r="AH205" s="395">
        <v>7273.75</v>
      </c>
      <c r="AI205" s="395"/>
      <c r="AJ205" s="395"/>
      <c r="AK205" s="395"/>
      <c r="AL205" s="452"/>
      <c r="AM205" s="460">
        <f t="shared" si="11"/>
        <v>389282.73</v>
      </c>
      <c r="AN205" s="395">
        <v>65</v>
      </c>
      <c r="AO205" s="398">
        <v>1131</v>
      </c>
      <c r="AP205" s="455">
        <v>-76675.289999999994</v>
      </c>
      <c r="AQ205" s="465"/>
      <c r="AR205" s="465">
        <v>-6701.86</v>
      </c>
      <c r="AS205" s="470">
        <v>1</v>
      </c>
      <c r="AT205" s="516"/>
      <c r="AU205" s="516"/>
      <c r="AV205" s="516"/>
      <c r="AW205" s="516"/>
      <c r="AX205" s="516"/>
      <c r="AY205" s="516"/>
      <c r="AZ205" s="523"/>
      <c r="BA205" s="523"/>
      <c r="BB205" s="523"/>
      <c r="BC205" s="523"/>
      <c r="BD205" s="523"/>
      <c r="BE205" s="523"/>
      <c r="BF205" s="523"/>
      <c r="BG205" s="523"/>
    </row>
    <row r="206" spans="1:59" x14ac:dyDescent="0.25">
      <c r="A206" s="338">
        <v>5727</v>
      </c>
      <c r="B206" s="485" t="s">
        <v>319</v>
      </c>
      <c r="C206" s="390">
        <v>5348000.72</v>
      </c>
      <c r="D206" s="390">
        <v>843909.1</v>
      </c>
      <c r="E206" s="388"/>
      <c r="F206" s="390">
        <v>0</v>
      </c>
      <c r="G206" s="390">
        <v>42946.35</v>
      </c>
      <c r="H206" s="390">
        <v>5677.3</v>
      </c>
      <c r="I206" s="390">
        <v>117296</v>
      </c>
      <c r="J206" s="390">
        <v>162032.23000000001</v>
      </c>
      <c r="K206" s="390">
        <v>12987.55</v>
      </c>
      <c r="L206" s="390">
        <v>788108</v>
      </c>
      <c r="M206" s="331">
        <f t="shared" si="9"/>
        <v>7320957.2499999991</v>
      </c>
      <c r="N206" s="394">
        <v>191922.4</v>
      </c>
      <c r="O206" s="394">
        <v>28210.9</v>
      </c>
      <c r="P206" s="394">
        <v>440442.05</v>
      </c>
      <c r="Q206" s="394">
        <v>15197.2</v>
      </c>
      <c r="R206" s="394">
        <v>180763</v>
      </c>
      <c r="S206" s="394"/>
      <c r="T206" s="394"/>
      <c r="U206" s="394">
        <v>13200</v>
      </c>
      <c r="V206" s="394"/>
      <c r="W206" s="394"/>
      <c r="X206" s="379">
        <v>5832.26</v>
      </c>
      <c r="Y206" s="460">
        <f t="shared" si="10"/>
        <v>8196525.0599999996</v>
      </c>
      <c r="Z206" s="395">
        <v>115301.3</v>
      </c>
      <c r="AA206" s="395"/>
      <c r="AB206" s="395">
        <v>325939.75</v>
      </c>
      <c r="AC206" s="395"/>
      <c r="AD206" s="395">
        <v>268263</v>
      </c>
      <c r="AE206" s="395">
        <v>115301.3</v>
      </c>
      <c r="AF206" s="395"/>
      <c r="AG206" s="395"/>
      <c r="AH206" s="395">
        <v>70057</v>
      </c>
      <c r="AI206" s="395"/>
      <c r="AJ206" s="395"/>
      <c r="AK206" s="395"/>
      <c r="AL206" s="452"/>
      <c r="AM206" s="460">
        <f t="shared" si="11"/>
        <v>894862.35000000009</v>
      </c>
      <c r="AN206" s="395">
        <v>66</v>
      </c>
      <c r="AO206" s="398">
        <v>2674</v>
      </c>
      <c r="AP206" s="455">
        <v>-139243.04999999999</v>
      </c>
      <c r="AQ206" s="465"/>
      <c r="AR206" s="465">
        <v>-1787.6</v>
      </c>
      <c r="AS206" s="470">
        <v>1.5</v>
      </c>
      <c r="AT206" s="516"/>
      <c r="AU206" s="516"/>
      <c r="AV206" s="516"/>
      <c r="AW206" s="516"/>
      <c r="AX206" s="516"/>
      <c r="AY206" s="516"/>
      <c r="AZ206" s="523"/>
      <c r="BA206" s="523"/>
      <c r="BB206" s="523"/>
      <c r="BC206" s="523"/>
      <c r="BD206" s="523"/>
      <c r="BE206" s="523"/>
      <c r="BF206" s="523"/>
      <c r="BG206" s="523"/>
    </row>
    <row r="207" spans="1:59" x14ac:dyDescent="0.25">
      <c r="A207" s="338">
        <v>5728</v>
      </c>
      <c r="B207" s="485" t="s">
        <v>320</v>
      </c>
      <c r="C207" s="390">
        <v>1683505.22</v>
      </c>
      <c r="D207" s="390">
        <v>236380.76</v>
      </c>
      <c r="E207" s="388"/>
      <c r="F207" s="390">
        <v>0</v>
      </c>
      <c r="G207" s="390">
        <v>678234.05</v>
      </c>
      <c r="H207" s="390">
        <v>5159.55</v>
      </c>
      <c r="I207" s="390">
        <v>29967.200000000001</v>
      </c>
      <c r="J207" s="390">
        <v>-123996.3</v>
      </c>
      <c r="K207" s="390">
        <v>51471.45</v>
      </c>
      <c r="L207" s="390">
        <v>226272.4</v>
      </c>
      <c r="M207" s="331">
        <f t="shared" si="9"/>
        <v>2786994.3300000005</v>
      </c>
      <c r="N207" s="394">
        <v>219621.1</v>
      </c>
      <c r="O207" s="394">
        <v>0</v>
      </c>
      <c r="P207" s="394">
        <v>86694.3</v>
      </c>
      <c r="Q207" s="394">
        <v>84.58</v>
      </c>
      <c r="R207" s="394">
        <v>23554.2</v>
      </c>
      <c r="S207" s="394"/>
      <c r="T207" s="394">
        <v>67541.350000000006</v>
      </c>
      <c r="U207" s="394">
        <v>2375</v>
      </c>
      <c r="V207" s="394"/>
      <c r="W207" s="394"/>
      <c r="X207" s="379">
        <v>81970.929999999993</v>
      </c>
      <c r="Y207" s="460">
        <f t="shared" si="10"/>
        <v>3268835.790000001</v>
      </c>
      <c r="Z207" s="395"/>
      <c r="AA207" s="395"/>
      <c r="AB207" s="395">
        <v>96162.04</v>
      </c>
      <c r="AC207" s="395"/>
      <c r="AD207" s="395">
        <v>41823.15</v>
      </c>
      <c r="AE207" s="395"/>
      <c r="AF207" s="395"/>
      <c r="AG207" s="395"/>
      <c r="AH207" s="395"/>
      <c r="AI207" s="395">
        <v>55457.75</v>
      </c>
      <c r="AJ207" s="395"/>
      <c r="AK207" s="395"/>
      <c r="AL207" s="452"/>
      <c r="AM207" s="460">
        <f t="shared" si="11"/>
        <v>193442.94</v>
      </c>
      <c r="AN207" s="395">
        <v>58</v>
      </c>
      <c r="AO207" s="398">
        <v>581</v>
      </c>
      <c r="AP207" s="455">
        <v>-5243.87</v>
      </c>
      <c r="AQ207" s="465">
        <v>-4197.5</v>
      </c>
      <c r="AR207" s="465">
        <v>-972.86</v>
      </c>
      <c r="AS207" s="470">
        <v>1</v>
      </c>
      <c r="AT207" s="516"/>
      <c r="AU207" s="516"/>
      <c r="AV207" s="516"/>
      <c r="AW207" s="516"/>
      <c r="AX207" s="516"/>
      <c r="AY207" s="516"/>
      <c r="AZ207" s="523"/>
      <c r="BA207" s="523"/>
      <c r="BB207" s="523"/>
      <c r="BC207" s="523"/>
      <c r="BD207" s="523"/>
      <c r="BE207" s="523"/>
      <c r="BF207" s="523"/>
      <c r="BG207" s="523"/>
    </row>
    <row r="208" spans="1:59" x14ac:dyDescent="0.25">
      <c r="A208" s="338">
        <v>5729</v>
      </c>
      <c r="B208" s="485" t="s">
        <v>321</v>
      </c>
      <c r="C208" s="390">
        <v>4915059.9400000004</v>
      </c>
      <c r="D208" s="390">
        <v>1796236.97</v>
      </c>
      <c r="E208" s="388"/>
      <c r="F208" s="390">
        <v>0</v>
      </c>
      <c r="G208" s="390">
        <v>317257.34999999998</v>
      </c>
      <c r="H208" s="390">
        <v>17292.3</v>
      </c>
      <c r="I208" s="390">
        <v>137925.35</v>
      </c>
      <c r="J208" s="390">
        <v>129611.93</v>
      </c>
      <c r="K208" s="390">
        <v>5699.5</v>
      </c>
      <c r="L208" s="390">
        <v>867101.9</v>
      </c>
      <c r="M208" s="331">
        <f t="shared" si="9"/>
        <v>8186185.2399999993</v>
      </c>
      <c r="N208" s="394">
        <v>15293.7</v>
      </c>
      <c r="O208" s="394">
        <v>0</v>
      </c>
      <c r="P208" s="394">
        <v>590034.25</v>
      </c>
      <c r="Q208" s="394">
        <v>168519.2</v>
      </c>
      <c r="R208" s="394">
        <v>532620.6</v>
      </c>
      <c r="S208" s="394"/>
      <c r="T208" s="394"/>
      <c r="U208" s="394">
        <v>8880</v>
      </c>
      <c r="V208" s="394"/>
      <c r="W208" s="394"/>
      <c r="X208" s="379">
        <v>40128.19</v>
      </c>
      <c r="Y208" s="460">
        <f t="shared" si="10"/>
        <v>9541661.1799999978</v>
      </c>
      <c r="Z208" s="395"/>
      <c r="AA208" s="395"/>
      <c r="AB208" s="395"/>
      <c r="AC208" s="395"/>
      <c r="AD208" s="395">
        <v>210450.65</v>
      </c>
      <c r="AE208" s="395"/>
      <c r="AF208" s="395"/>
      <c r="AG208" s="395"/>
      <c r="AH208" s="395">
        <v>692.93</v>
      </c>
      <c r="AI208" s="395"/>
      <c r="AJ208" s="395"/>
      <c r="AK208" s="395"/>
      <c r="AL208" s="452"/>
      <c r="AM208" s="460">
        <f t="shared" si="11"/>
        <v>211143.58</v>
      </c>
      <c r="AN208" s="395">
        <v>60.5</v>
      </c>
      <c r="AO208" s="398">
        <v>1636</v>
      </c>
      <c r="AP208" s="455">
        <v>-174957.96</v>
      </c>
      <c r="AQ208" s="465"/>
      <c r="AR208" s="465">
        <v>-15827.25</v>
      </c>
      <c r="AS208" s="470">
        <v>1.5</v>
      </c>
      <c r="AT208" s="516"/>
      <c r="AU208" s="516"/>
      <c r="AV208" s="516"/>
      <c r="AW208" s="516"/>
      <c r="AX208" s="516"/>
      <c r="AY208" s="516"/>
      <c r="AZ208" s="523"/>
      <c r="BA208" s="523"/>
      <c r="BB208" s="523"/>
      <c r="BC208" s="523"/>
      <c r="BD208" s="523"/>
      <c r="BE208" s="523"/>
      <c r="BF208" s="523"/>
      <c r="BG208" s="523"/>
    </row>
    <row r="209" spans="1:59" x14ac:dyDescent="0.25">
      <c r="A209" s="338">
        <v>5730</v>
      </c>
      <c r="B209" s="485" t="s">
        <v>322</v>
      </c>
      <c r="C209" s="390">
        <v>4735299.1100000003</v>
      </c>
      <c r="D209" s="390">
        <v>1087007.96</v>
      </c>
      <c r="E209" s="388"/>
      <c r="F209" s="390">
        <v>0</v>
      </c>
      <c r="G209" s="390">
        <v>-6597.45</v>
      </c>
      <c r="H209" s="390">
        <v>2061.75</v>
      </c>
      <c r="I209" s="390">
        <v>66554.25</v>
      </c>
      <c r="J209" s="390">
        <v>-1891.14</v>
      </c>
      <c r="K209" s="390">
        <v>6900.7</v>
      </c>
      <c r="L209" s="390">
        <v>391099.5</v>
      </c>
      <c r="M209" s="331">
        <f t="shared" si="9"/>
        <v>6280434.6800000006</v>
      </c>
      <c r="N209" s="394">
        <v>7297.75</v>
      </c>
      <c r="O209" s="394">
        <v>0</v>
      </c>
      <c r="P209" s="394">
        <v>552401.6</v>
      </c>
      <c r="Q209" s="394">
        <v>1316.23</v>
      </c>
      <c r="R209" s="394">
        <v>258777.7</v>
      </c>
      <c r="S209" s="394"/>
      <c r="T209" s="394"/>
      <c r="U209" s="394">
        <v>5650</v>
      </c>
      <c r="V209" s="394"/>
      <c r="W209" s="394"/>
      <c r="X209" s="379">
        <v>-544.04</v>
      </c>
      <c r="Y209" s="460">
        <f t="shared" si="10"/>
        <v>7105333.9200000009</v>
      </c>
      <c r="Z209" s="395">
        <v>26427.3</v>
      </c>
      <c r="AA209" s="395"/>
      <c r="AB209" s="395">
        <v>187583.2</v>
      </c>
      <c r="AC209" s="395"/>
      <c r="AD209" s="395">
        <v>105382.8</v>
      </c>
      <c r="AE209" s="395">
        <v>48156.4</v>
      </c>
      <c r="AF209" s="395"/>
      <c r="AG209" s="395"/>
      <c r="AH209" s="395"/>
      <c r="AI209" s="395"/>
      <c r="AJ209" s="395"/>
      <c r="AK209" s="395"/>
      <c r="AL209" s="452"/>
      <c r="AM209" s="460">
        <f t="shared" si="11"/>
        <v>367549.7</v>
      </c>
      <c r="AN209" s="395">
        <v>55.5</v>
      </c>
      <c r="AO209" s="398">
        <v>1445</v>
      </c>
      <c r="AP209" s="455">
        <v>-55826.86</v>
      </c>
      <c r="AQ209" s="465"/>
      <c r="AR209" s="465">
        <v>-73593.2</v>
      </c>
      <c r="AS209" s="470">
        <v>0.9</v>
      </c>
      <c r="AT209" s="516"/>
      <c r="AU209" s="516"/>
      <c r="AV209" s="516"/>
      <c r="AW209" s="516"/>
      <c r="AX209" s="516"/>
      <c r="AY209" s="516"/>
      <c r="AZ209" s="523"/>
      <c r="BA209" s="523"/>
      <c r="BB209" s="523"/>
      <c r="BC209" s="523"/>
      <c r="BD209" s="523"/>
      <c r="BE209" s="523"/>
      <c r="BF209" s="523"/>
      <c r="BG209" s="523"/>
    </row>
    <row r="210" spans="1:59" x14ac:dyDescent="0.25">
      <c r="A210" s="338">
        <v>5731</v>
      </c>
      <c r="B210" s="485" t="s">
        <v>323</v>
      </c>
      <c r="C210" s="390">
        <v>3955625.16</v>
      </c>
      <c r="D210" s="390">
        <v>479179.06</v>
      </c>
      <c r="E210" s="388"/>
      <c r="F210" s="390">
        <v>0</v>
      </c>
      <c r="G210" s="390">
        <v>5989.25</v>
      </c>
      <c r="H210" s="390">
        <v>3883.85</v>
      </c>
      <c r="I210" s="390">
        <v>0</v>
      </c>
      <c r="J210" s="390">
        <v>18094.62</v>
      </c>
      <c r="K210" s="390">
        <v>2622.5</v>
      </c>
      <c r="L210" s="390">
        <v>403398.85</v>
      </c>
      <c r="M210" s="331">
        <f t="shared" si="9"/>
        <v>4868793.2899999991</v>
      </c>
      <c r="N210" s="394">
        <v>25723.95</v>
      </c>
      <c r="O210" s="394">
        <v>1782</v>
      </c>
      <c r="P210" s="394">
        <v>164927.15</v>
      </c>
      <c r="Q210" s="394">
        <v>49018.96</v>
      </c>
      <c r="R210" s="394">
        <v>122290</v>
      </c>
      <c r="S210" s="394">
        <v>584.45000000000005</v>
      </c>
      <c r="T210" s="394"/>
      <c r="U210" s="394">
        <v>12950</v>
      </c>
      <c r="V210" s="394"/>
      <c r="W210" s="394"/>
      <c r="X210" s="379">
        <v>1184.25</v>
      </c>
      <c r="Y210" s="460">
        <f t="shared" si="10"/>
        <v>5247254.05</v>
      </c>
      <c r="Z210" s="395">
        <v>252</v>
      </c>
      <c r="AA210" s="395"/>
      <c r="AB210" s="395">
        <v>197515</v>
      </c>
      <c r="AC210" s="395"/>
      <c r="AD210" s="395">
        <v>126847.55</v>
      </c>
      <c r="AE210" s="395">
        <v>7350</v>
      </c>
      <c r="AF210" s="395"/>
      <c r="AG210" s="395"/>
      <c r="AH210" s="395">
        <v>10614.35</v>
      </c>
      <c r="AI210" s="395"/>
      <c r="AJ210" s="395"/>
      <c r="AK210" s="395"/>
      <c r="AL210" s="452"/>
      <c r="AM210" s="460">
        <f t="shared" si="11"/>
        <v>342578.89999999997</v>
      </c>
      <c r="AN210" s="395">
        <v>74</v>
      </c>
      <c r="AO210" s="398">
        <v>1366</v>
      </c>
      <c r="AP210" s="455">
        <v>-51330.74</v>
      </c>
      <c r="AQ210" s="465"/>
      <c r="AR210" s="465">
        <v>-1476.19</v>
      </c>
      <c r="AS210" s="470">
        <v>1.5</v>
      </c>
      <c r="AT210" s="516"/>
      <c r="AU210" s="516"/>
      <c r="AV210" s="516"/>
      <c r="AW210" s="516"/>
      <c r="AX210" s="516"/>
      <c r="AY210" s="516"/>
      <c r="AZ210" s="523"/>
      <c r="BA210" s="523"/>
      <c r="BB210" s="523"/>
      <c r="BC210" s="523"/>
      <c r="BD210" s="523"/>
      <c r="BE210" s="523"/>
      <c r="BF210" s="523"/>
      <c r="BG210" s="523"/>
    </row>
    <row r="211" spans="1:59" x14ac:dyDescent="0.25">
      <c r="A211" s="338">
        <v>5732</v>
      </c>
      <c r="B211" s="485" t="s">
        <v>324</v>
      </c>
      <c r="C211" s="390">
        <v>3124539.72</v>
      </c>
      <c r="D211" s="390">
        <v>684152.23</v>
      </c>
      <c r="E211" s="388"/>
      <c r="F211" s="390">
        <v>0</v>
      </c>
      <c r="G211" s="390">
        <v>18145.900000000001</v>
      </c>
      <c r="H211" s="390">
        <v>9532.4</v>
      </c>
      <c r="I211" s="390">
        <v>257945.60000000001</v>
      </c>
      <c r="J211" s="390">
        <v>40696.36</v>
      </c>
      <c r="K211" s="390">
        <v>23683.599999999999</v>
      </c>
      <c r="L211" s="390">
        <v>367886.6</v>
      </c>
      <c r="M211" s="331">
        <f t="shared" si="9"/>
        <v>4526582.41</v>
      </c>
      <c r="N211" s="394">
        <v>118685.7</v>
      </c>
      <c r="O211" s="394">
        <v>0</v>
      </c>
      <c r="P211" s="394">
        <v>364237.1</v>
      </c>
      <c r="Q211" s="394">
        <v>3664.05</v>
      </c>
      <c r="R211" s="394">
        <v>166940.45000000001</v>
      </c>
      <c r="S211" s="394"/>
      <c r="T211" s="394"/>
      <c r="U211" s="394">
        <v>9050</v>
      </c>
      <c r="V211" s="394"/>
      <c r="W211" s="394"/>
      <c r="X211" s="379">
        <v>3319.93</v>
      </c>
      <c r="Y211" s="460">
        <f t="shared" si="10"/>
        <v>5192479.6399999997</v>
      </c>
      <c r="Z211" s="395">
        <v>99184</v>
      </c>
      <c r="AA211" s="395">
        <v>48000</v>
      </c>
      <c r="AB211" s="395">
        <v>176346.49</v>
      </c>
      <c r="AC211" s="395"/>
      <c r="AD211" s="395">
        <v>80675.05</v>
      </c>
      <c r="AE211" s="395">
        <v>187170</v>
      </c>
      <c r="AF211" s="395"/>
      <c r="AG211" s="395"/>
      <c r="AH211" s="395">
        <v>6333.7</v>
      </c>
      <c r="AI211" s="395">
        <v>47489.06</v>
      </c>
      <c r="AJ211" s="395"/>
      <c r="AK211" s="395"/>
      <c r="AL211" s="452"/>
      <c r="AM211" s="460">
        <f t="shared" si="11"/>
        <v>645198.30000000005</v>
      </c>
      <c r="AN211" s="395">
        <v>63</v>
      </c>
      <c r="AO211" s="398">
        <v>1156</v>
      </c>
      <c r="AP211" s="455">
        <v>-53257.83</v>
      </c>
      <c r="AQ211" s="465"/>
      <c r="AR211" s="465">
        <v>-6869.3</v>
      </c>
      <c r="AS211" s="470">
        <v>1</v>
      </c>
      <c r="AT211" s="516"/>
      <c r="AU211" s="516"/>
      <c r="AV211" s="516"/>
      <c r="AW211" s="516"/>
      <c r="AX211" s="516"/>
      <c r="AY211" s="516"/>
      <c r="AZ211" s="523"/>
      <c r="BA211" s="523"/>
      <c r="BB211" s="523"/>
      <c r="BC211" s="523"/>
      <c r="BD211" s="523"/>
      <c r="BE211" s="523"/>
      <c r="BF211" s="523"/>
      <c r="BG211" s="523"/>
    </row>
    <row r="212" spans="1:59" x14ac:dyDescent="0.25">
      <c r="A212" s="338">
        <v>5741</v>
      </c>
      <c r="B212" s="485" t="s">
        <v>325</v>
      </c>
      <c r="C212" s="390">
        <v>486921.99</v>
      </c>
      <c r="D212" s="390">
        <v>76110.460000000006</v>
      </c>
      <c r="E212" s="388"/>
      <c r="F212" s="390">
        <v>1440</v>
      </c>
      <c r="G212" s="390">
        <v>4585.6000000000004</v>
      </c>
      <c r="H212" s="390">
        <v>874.25</v>
      </c>
      <c r="I212" s="390">
        <v>0</v>
      </c>
      <c r="J212" s="390">
        <v>1112.07</v>
      </c>
      <c r="K212" s="390">
        <v>0</v>
      </c>
      <c r="L212" s="390">
        <v>47791.45</v>
      </c>
      <c r="M212" s="331">
        <f t="shared" si="9"/>
        <v>618835.81999999983</v>
      </c>
      <c r="N212" s="394">
        <v>10634.3</v>
      </c>
      <c r="O212" s="394">
        <v>0</v>
      </c>
      <c r="P212" s="394">
        <v>18196.75</v>
      </c>
      <c r="Q212" s="394">
        <v>565.82000000000005</v>
      </c>
      <c r="R212" s="394">
        <v>25927.95</v>
      </c>
      <c r="S212" s="394"/>
      <c r="T212" s="394"/>
      <c r="U212" s="394">
        <v>1080</v>
      </c>
      <c r="V212" s="394"/>
      <c r="W212" s="394"/>
      <c r="X212" s="379">
        <v>654.89</v>
      </c>
      <c r="Y212" s="460">
        <f t="shared" si="10"/>
        <v>675895.5299999998</v>
      </c>
      <c r="Z212" s="395">
        <v>6142.4</v>
      </c>
      <c r="AA212" s="395"/>
      <c r="AB212" s="395">
        <v>63004.45</v>
      </c>
      <c r="AC212" s="395"/>
      <c r="AD212" s="395">
        <v>26515.35</v>
      </c>
      <c r="AE212" s="395">
        <v>19365.3</v>
      </c>
      <c r="AF212" s="395"/>
      <c r="AG212" s="395"/>
      <c r="AH212" s="395"/>
      <c r="AI212" s="395"/>
      <c r="AJ212" s="395"/>
      <c r="AK212" s="395"/>
      <c r="AL212" s="452"/>
      <c r="AM212" s="460">
        <f t="shared" si="11"/>
        <v>115027.49999999999</v>
      </c>
      <c r="AN212" s="395">
        <v>81</v>
      </c>
      <c r="AO212" s="398">
        <v>256</v>
      </c>
      <c r="AP212" s="455">
        <v>-15207.92</v>
      </c>
      <c r="AQ212" s="465"/>
      <c r="AR212" s="465">
        <v>-0.06</v>
      </c>
      <c r="AS212" s="470">
        <v>1.2</v>
      </c>
      <c r="AT212" s="516"/>
      <c r="AU212" s="516"/>
      <c r="AV212" s="516"/>
      <c r="AW212" s="516"/>
      <c r="AX212" s="516"/>
      <c r="AY212" s="516"/>
      <c r="AZ212" s="523"/>
      <c r="BA212" s="523"/>
      <c r="BB212" s="523"/>
      <c r="BC212" s="523"/>
      <c r="BD212" s="523"/>
      <c r="BE212" s="523"/>
      <c r="BF212" s="523"/>
      <c r="BG212" s="523"/>
    </row>
    <row r="213" spans="1:59" x14ac:dyDescent="0.25">
      <c r="A213" s="338">
        <v>5742</v>
      </c>
      <c r="B213" s="485" t="s">
        <v>326</v>
      </c>
      <c r="C213" s="390">
        <v>547295</v>
      </c>
      <c r="D213" s="390">
        <v>63158.720000000001</v>
      </c>
      <c r="E213" s="388"/>
      <c r="F213" s="390">
        <v>0</v>
      </c>
      <c r="G213" s="390">
        <v>3172.35</v>
      </c>
      <c r="H213" s="390">
        <v>-38.450000000000003</v>
      </c>
      <c r="I213" s="390">
        <v>0</v>
      </c>
      <c r="J213" s="390">
        <v>24170.26</v>
      </c>
      <c r="K213" s="390">
        <v>-6690.2</v>
      </c>
      <c r="L213" s="390">
        <v>27056.5</v>
      </c>
      <c r="M213" s="331">
        <f t="shared" si="9"/>
        <v>658124.18000000005</v>
      </c>
      <c r="N213" s="394">
        <v>0</v>
      </c>
      <c r="O213" s="394">
        <v>178.2</v>
      </c>
      <c r="P213" s="394">
        <v>17490</v>
      </c>
      <c r="Q213" s="394">
        <v>5903.49</v>
      </c>
      <c r="R213" s="394">
        <v>14262</v>
      </c>
      <c r="S213" s="394"/>
      <c r="T213" s="394"/>
      <c r="U213" s="394">
        <v>2560</v>
      </c>
      <c r="V213" s="394"/>
      <c r="W213" s="394"/>
      <c r="X213" s="379">
        <v>375.9</v>
      </c>
      <c r="Y213" s="460">
        <f t="shared" si="10"/>
        <v>698893.77</v>
      </c>
      <c r="Z213" s="395"/>
      <c r="AA213" s="395"/>
      <c r="AB213" s="395">
        <v>32605.200000000001</v>
      </c>
      <c r="AC213" s="395"/>
      <c r="AD213" s="395">
        <v>28502.35</v>
      </c>
      <c r="AE213" s="395">
        <v>4517</v>
      </c>
      <c r="AF213" s="395"/>
      <c r="AG213" s="395"/>
      <c r="AH213" s="395"/>
      <c r="AI213" s="395"/>
      <c r="AJ213" s="395"/>
      <c r="AK213" s="395"/>
      <c r="AL213" s="452"/>
      <c r="AM213" s="460">
        <f t="shared" si="11"/>
        <v>65624.55</v>
      </c>
      <c r="AN213" s="395">
        <v>76</v>
      </c>
      <c r="AO213" s="398">
        <v>377</v>
      </c>
      <c r="AP213" s="455">
        <v>-10427.08</v>
      </c>
      <c r="AQ213" s="465"/>
      <c r="AR213" s="465">
        <v>-62.6</v>
      </c>
      <c r="AS213" s="470">
        <v>0.5</v>
      </c>
      <c r="AT213" s="516"/>
      <c r="AU213" s="516"/>
      <c r="AV213" s="516"/>
      <c r="AW213" s="516"/>
      <c r="AX213" s="516"/>
      <c r="AY213" s="516"/>
      <c r="AZ213" s="523"/>
      <c r="BA213" s="523"/>
      <c r="BB213" s="523"/>
      <c r="BC213" s="523"/>
      <c r="BD213" s="523"/>
      <c r="BE213" s="523"/>
      <c r="BF213" s="523"/>
      <c r="BG213" s="523"/>
    </row>
    <row r="214" spans="1:59" x14ac:dyDescent="0.25">
      <c r="A214" s="338">
        <v>5743</v>
      </c>
      <c r="B214" s="485" t="s">
        <v>264</v>
      </c>
      <c r="C214" s="390">
        <v>1223125.02</v>
      </c>
      <c r="D214" s="390">
        <v>137962.57</v>
      </c>
      <c r="E214" s="388"/>
      <c r="F214" s="390">
        <v>0</v>
      </c>
      <c r="G214" s="390">
        <v>10959.5</v>
      </c>
      <c r="H214" s="390">
        <v>716</v>
      </c>
      <c r="I214" s="390">
        <v>0</v>
      </c>
      <c r="J214" s="390">
        <v>437.06</v>
      </c>
      <c r="K214" s="390">
        <v>0</v>
      </c>
      <c r="L214" s="390">
        <v>69445.100000000006</v>
      </c>
      <c r="M214" s="331">
        <f t="shared" si="9"/>
        <v>1442645.2500000002</v>
      </c>
      <c r="N214" s="394">
        <v>24432.05</v>
      </c>
      <c r="O214" s="394">
        <v>-33.799999999999997</v>
      </c>
      <c r="P214" s="394">
        <v>38323.949999999997</v>
      </c>
      <c r="Q214" s="394">
        <v>1628.95</v>
      </c>
      <c r="R214" s="394">
        <v>13143.1</v>
      </c>
      <c r="S214" s="394"/>
      <c r="T214" s="394"/>
      <c r="U214" s="394">
        <v>3360</v>
      </c>
      <c r="V214" s="394"/>
      <c r="W214" s="394">
        <v>324</v>
      </c>
      <c r="X214" s="379">
        <v>1400.44</v>
      </c>
      <c r="Y214" s="460">
        <f t="shared" si="10"/>
        <v>1525223.9400000002</v>
      </c>
      <c r="Z214" s="395">
        <v>16298.4</v>
      </c>
      <c r="AA214" s="395"/>
      <c r="AB214" s="395">
        <v>41100.199999999997</v>
      </c>
      <c r="AC214" s="395"/>
      <c r="AD214" s="395">
        <v>29513.95</v>
      </c>
      <c r="AE214" s="395">
        <v>273.3</v>
      </c>
      <c r="AF214" s="395"/>
      <c r="AG214" s="395"/>
      <c r="AH214" s="395"/>
      <c r="AI214" s="395"/>
      <c r="AJ214" s="395"/>
      <c r="AK214" s="395"/>
      <c r="AL214" s="452"/>
      <c r="AM214" s="460">
        <f t="shared" si="11"/>
        <v>87185.85</v>
      </c>
      <c r="AN214" s="395">
        <v>71</v>
      </c>
      <c r="AO214" s="398">
        <v>637</v>
      </c>
      <c r="AP214" s="455">
        <v>-3376.36</v>
      </c>
      <c r="AQ214" s="465"/>
      <c r="AR214" s="465">
        <v>-639.04999999999995</v>
      </c>
      <c r="AS214" s="470">
        <v>0.8</v>
      </c>
      <c r="AT214" s="516"/>
      <c r="AU214" s="516"/>
      <c r="AV214" s="516"/>
      <c r="AW214" s="516"/>
      <c r="AX214" s="516"/>
      <c r="AY214" s="516"/>
      <c r="AZ214" s="523"/>
      <c r="BA214" s="523"/>
      <c r="BB214" s="523"/>
      <c r="BC214" s="523"/>
      <c r="BD214" s="523"/>
      <c r="BE214" s="523"/>
      <c r="BF214" s="523"/>
      <c r="BG214" s="523"/>
    </row>
    <row r="215" spans="1:59" x14ac:dyDescent="0.25">
      <c r="A215" s="338">
        <v>5744</v>
      </c>
      <c r="B215" s="485" t="s">
        <v>265</v>
      </c>
      <c r="C215" s="390">
        <v>1370470.81</v>
      </c>
      <c r="D215" s="390">
        <v>144396.04999999999</v>
      </c>
      <c r="E215" s="388"/>
      <c r="F215" s="390">
        <v>0</v>
      </c>
      <c r="G215" s="390">
        <v>758789.9</v>
      </c>
      <c r="H215" s="390">
        <v>16975.3</v>
      </c>
      <c r="I215" s="390">
        <v>0</v>
      </c>
      <c r="J215" s="390">
        <v>125282.45</v>
      </c>
      <c r="K215" s="390">
        <v>0</v>
      </c>
      <c r="L215" s="390">
        <v>180433.55</v>
      </c>
      <c r="M215" s="331">
        <f t="shared" si="9"/>
        <v>2596348.06</v>
      </c>
      <c r="N215" s="394">
        <v>1275736.1499999999</v>
      </c>
      <c r="O215" s="394">
        <v>38907.9</v>
      </c>
      <c r="P215" s="394">
        <v>81541.3</v>
      </c>
      <c r="Q215" s="394">
        <v>318.24</v>
      </c>
      <c r="R215" s="394">
        <v>36949.5</v>
      </c>
      <c r="S215" s="394">
        <v>125</v>
      </c>
      <c r="T215" s="394"/>
      <c r="U215" s="394">
        <v>5275</v>
      </c>
      <c r="V215" s="394"/>
      <c r="W215" s="394"/>
      <c r="X215" s="379">
        <v>93050.62</v>
      </c>
      <c r="Y215" s="460">
        <f t="shared" si="10"/>
        <v>4128251.77</v>
      </c>
      <c r="Z215" s="395">
        <v>20733</v>
      </c>
      <c r="AA215" s="395"/>
      <c r="AB215" s="395">
        <v>64061.599999999999</v>
      </c>
      <c r="AC215" s="395"/>
      <c r="AD215" s="395">
        <v>113911.97</v>
      </c>
      <c r="AE215" s="395">
        <v>20733</v>
      </c>
      <c r="AF215" s="395"/>
      <c r="AG215" s="395"/>
      <c r="AH215" s="395">
        <v>6190</v>
      </c>
      <c r="AI215" s="395">
        <v>85337.55</v>
      </c>
      <c r="AJ215" s="395"/>
      <c r="AK215" s="395"/>
      <c r="AL215" s="452"/>
      <c r="AM215" s="460">
        <f t="shared" si="11"/>
        <v>310967.12</v>
      </c>
      <c r="AN215" s="395">
        <v>65</v>
      </c>
      <c r="AO215" s="398">
        <v>1143</v>
      </c>
      <c r="AP215" s="455">
        <v>-58554.74</v>
      </c>
      <c r="AQ215" s="465"/>
      <c r="AR215" s="465">
        <v>-1693.86</v>
      </c>
      <c r="AS215" s="470">
        <v>1</v>
      </c>
      <c r="AT215" s="516"/>
      <c r="AU215" s="516"/>
      <c r="AV215" s="516"/>
      <c r="AW215" s="516"/>
      <c r="AX215" s="516"/>
      <c r="AY215" s="516"/>
      <c r="AZ215" s="523"/>
      <c r="BA215" s="523"/>
      <c r="BB215" s="523"/>
      <c r="BC215" s="523"/>
      <c r="BD215" s="523"/>
      <c r="BE215" s="523"/>
      <c r="BF215" s="523"/>
      <c r="BG215" s="523"/>
    </row>
    <row r="216" spans="1:59" x14ac:dyDescent="0.25">
      <c r="A216" s="338">
        <v>5745</v>
      </c>
      <c r="B216" s="485" t="s">
        <v>266</v>
      </c>
      <c r="C216" s="390">
        <v>1680922.99</v>
      </c>
      <c r="D216" s="390">
        <v>205342.68</v>
      </c>
      <c r="E216" s="388"/>
      <c r="F216" s="390">
        <v>0</v>
      </c>
      <c r="G216" s="390">
        <v>7853.7</v>
      </c>
      <c r="H216" s="390">
        <v>6092.25</v>
      </c>
      <c r="I216" s="390">
        <v>0</v>
      </c>
      <c r="J216" s="390">
        <v>29002.38</v>
      </c>
      <c r="K216" s="390">
        <v>0</v>
      </c>
      <c r="L216" s="390">
        <v>136327</v>
      </c>
      <c r="M216" s="331">
        <f t="shared" si="9"/>
        <v>2065540.9999999998</v>
      </c>
      <c r="N216" s="394">
        <v>205276.15</v>
      </c>
      <c r="O216" s="394">
        <v>3960</v>
      </c>
      <c r="P216" s="394">
        <v>61580.6</v>
      </c>
      <c r="Q216" s="394">
        <v>14623.15</v>
      </c>
      <c r="R216" s="394">
        <v>23032.15</v>
      </c>
      <c r="S216" s="394"/>
      <c r="T216" s="394"/>
      <c r="U216" s="394">
        <v>4025</v>
      </c>
      <c r="V216" s="394"/>
      <c r="W216" s="394"/>
      <c r="X216" s="379">
        <v>1672.77</v>
      </c>
      <c r="Y216" s="460">
        <f t="shared" si="10"/>
        <v>2379710.8199999998</v>
      </c>
      <c r="Z216" s="395">
        <v>2150.25</v>
      </c>
      <c r="AA216" s="395"/>
      <c r="AB216" s="395">
        <v>142359.20000000001</v>
      </c>
      <c r="AC216" s="395"/>
      <c r="AD216" s="395">
        <v>70487.05</v>
      </c>
      <c r="AE216" s="395"/>
      <c r="AF216" s="395"/>
      <c r="AG216" s="395"/>
      <c r="AH216" s="395"/>
      <c r="AI216" s="395">
        <v>25296.45</v>
      </c>
      <c r="AJ216" s="395"/>
      <c r="AK216" s="395"/>
      <c r="AL216" s="452"/>
      <c r="AM216" s="460">
        <f t="shared" si="11"/>
        <v>240292.95</v>
      </c>
      <c r="AN216" s="395">
        <v>76.5</v>
      </c>
      <c r="AO216" s="398">
        <v>1074</v>
      </c>
      <c r="AP216" s="455">
        <v>-29461.5</v>
      </c>
      <c r="AQ216" s="465"/>
      <c r="AR216" s="465">
        <v>-64.849999999999994</v>
      </c>
      <c r="AS216" s="470">
        <v>1</v>
      </c>
      <c r="AT216" s="516"/>
      <c r="AU216" s="516"/>
      <c r="AV216" s="516"/>
      <c r="AW216" s="516"/>
      <c r="AX216" s="516"/>
      <c r="AY216" s="516"/>
      <c r="AZ216" s="523"/>
      <c r="BA216" s="523"/>
      <c r="BB216" s="523"/>
      <c r="BC216" s="523"/>
      <c r="BD216" s="523"/>
      <c r="BE216" s="523"/>
      <c r="BF216" s="523"/>
      <c r="BG216" s="523"/>
    </row>
    <row r="217" spans="1:59" x14ac:dyDescent="0.25">
      <c r="A217" s="338">
        <v>5746</v>
      </c>
      <c r="B217" s="485" t="s">
        <v>267</v>
      </c>
      <c r="C217" s="390">
        <v>1836127.63</v>
      </c>
      <c r="D217" s="390">
        <v>162046.48000000001</v>
      </c>
      <c r="E217" s="388"/>
      <c r="F217" s="390">
        <v>0</v>
      </c>
      <c r="G217" s="390">
        <v>4894.55</v>
      </c>
      <c r="H217" s="390">
        <v>1916.6</v>
      </c>
      <c r="I217" s="390">
        <v>0</v>
      </c>
      <c r="J217" s="390">
        <v>15801.14</v>
      </c>
      <c r="K217" s="390">
        <v>19580.25</v>
      </c>
      <c r="L217" s="390">
        <v>213207.4</v>
      </c>
      <c r="M217" s="331">
        <f t="shared" si="9"/>
        <v>2253574.0499999998</v>
      </c>
      <c r="N217" s="394">
        <v>22104.3</v>
      </c>
      <c r="O217" s="394">
        <v>250149</v>
      </c>
      <c r="P217" s="394">
        <v>87804.15</v>
      </c>
      <c r="Q217" s="394">
        <v>21672.13</v>
      </c>
      <c r="R217" s="394">
        <v>58860.95</v>
      </c>
      <c r="S217" s="394">
        <v>375</v>
      </c>
      <c r="T217" s="394">
        <v>1846.25</v>
      </c>
      <c r="U217" s="394">
        <v>5250</v>
      </c>
      <c r="V217" s="394"/>
      <c r="W217" s="394"/>
      <c r="X217" s="379">
        <v>816.98</v>
      </c>
      <c r="Y217" s="460">
        <f t="shared" si="10"/>
        <v>2702452.8099999996</v>
      </c>
      <c r="Z217" s="395">
        <v>119432.1</v>
      </c>
      <c r="AA217" s="395"/>
      <c r="AB217" s="395">
        <v>109425.7</v>
      </c>
      <c r="AC217" s="395"/>
      <c r="AD217" s="395">
        <v>70565.75</v>
      </c>
      <c r="AE217" s="395">
        <v>13447</v>
      </c>
      <c r="AF217" s="395"/>
      <c r="AG217" s="395"/>
      <c r="AH217" s="395"/>
      <c r="AI217" s="395">
        <v>29789.95</v>
      </c>
      <c r="AJ217" s="395"/>
      <c r="AK217" s="395"/>
      <c r="AL217" s="452"/>
      <c r="AM217" s="460">
        <f t="shared" si="11"/>
        <v>342660.5</v>
      </c>
      <c r="AN217" s="395">
        <v>73</v>
      </c>
      <c r="AO217" s="398">
        <v>994</v>
      </c>
      <c r="AP217" s="455">
        <v>-16408.57</v>
      </c>
      <c r="AQ217" s="465"/>
      <c r="AR217" s="465">
        <v>-57.41</v>
      </c>
      <c r="AS217" s="470">
        <v>1.2</v>
      </c>
      <c r="AT217" s="516"/>
      <c r="AU217" s="516"/>
      <c r="AV217" s="516"/>
      <c r="AW217" s="516"/>
      <c r="AX217" s="516"/>
      <c r="AY217" s="516"/>
      <c r="AZ217" s="523"/>
      <c r="BA217" s="523"/>
      <c r="BB217" s="523"/>
      <c r="BC217" s="523"/>
      <c r="BD217" s="523"/>
      <c r="BE217" s="523"/>
      <c r="BF217" s="523"/>
      <c r="BG217" s="523"/>
    </row>
    <row r="218" spans="1:59" x14ac:dyDescent="0.25">
      <c r="A218" s="338">
        <v>5747</v>
      </c>
      <c r="B218" s="485" t="s">
        <v>268</v>
      </c>
      <c r="C218" s="390">
        <v>292485.21999999997</v>
      </c>
      <c r="D218" s="390">
        <v>27661.63</v>
      </c>
      <c r="E218" s="388"/>
      <c r="F218" s="390">
        <v>0</v>
      </c>
      <c r="G218" s="390">
        <v>20413.150000000001</v>
      </c>
      <c r="H218" s="390">
        <v>211.25</v>
      </c>
      <c r="I218" s="390">
        <v>0</v>
      </c>
      <c r="J218" s="390">
        <v>11774.59</v>
      </c>
      <c r="K218" s="390">
        <v>0</v>
      </c>
      <c r="L218" s="390">
        <v>32074.9</v>
      </c>
      <c r="M218" s="331">
        <f t="shared" si="9"/>
        <v>384620.74000000005</v>
      </c>
      <c r="N218" s="394">
        <v>0</v>
      </c>
      <c r="O218" s="394">
        <v>0</v>
      </c>
      <c r="P218" s="394">
        <v>26165.599999999999</v>
      </c>
      <c r="Q218" s="394">
        <v>0</v>
      </c>
      <c r="R218" s="394">
        <v>22602.1</v>
      </c>
      <c r="S218" s="394"/>
      <c r="T218" s="394"/>
      <c r="U218" s="394">
        <v>440</v>
      </c>
      <c r="V218" s="394"/>
      <c r="W218" s="394"/>
      <c r="X218" s="379">
        <v>2473.83</v>
      </c>
      <c r="Y218" s="460">
        <f t="shared" si="10"/>
        <v>436302.27</v>
      </c>
      <c r="Z218" s="395"/>
      <c r="AA218" s="395">
        <v>10162</v>
      </c>
      <c r="AB218" s="395">
        <v>19173</v>
      </c>
      <c r="AC218" s="395"/>
      <c r="AD218" s="395">
        <v>16852</v>
      </c>
      <c r="AE218" s="395">
        <v>8210</v>
      </c>
      <c r="AF218" s="395"/>
      <c r="AG218" s="395"/>
      <c r="AH218" s="395"/>
      <c r="AI218" s="395"/>
      <c r="AJ218" s="395"/>
      <c r="AK218" s="395"/>
      <c r="AL218" s="452"/>
      <c r="AM218" s="460">
        <f t="shared" si="11"/>
        <v>54397</v>
      </c>
      <c r="AN218" s="395">
        <v>69</v>
      </c>
      <c r="AO218" s="398">
        <v>206</v>
      </c>
      <c r="AP218" s="455">
        <v>-88.84</v>
      </c>
      <c r="AQ218" s="465"/>
      <c r="AR218" s="465">
        <v>0</v>
      </c>
      <c r="AS218" s="470">
        <v>1</v>
      </c>
      <c r="AT218" s="516"/>
      <c r="AU218" s="516"/>
      <c r="AV218" s="516"/>
      <c r="AW218" s="516"/>
      <c r="AX218" s="516"/>
      <c r="AY218" s="516"/>
      <c r="AZ218" s="523"/>
      <c r="BA218" s="523"/>
      <c r="BB218" s="523"/>
      <c r="BC218" s="523"/>
      <c r="BD218" s="523"/>
      <c r="BE218" s="523"/>
      <c r="BF218" s="523"/>
      <c r="BG218" s="523"/>
    </row>
    <row r="219" spans="1:59" x14ac:dyDescent="0.25">
      <c r="A219" s="338">
        <v>5748</v>
      </c>
      <c r="B219" s="485" t="s">
        <v>269</v>
      </c>
      <c r="C219" s="390">
        <v>319130.2</v>
      </c>
      <c r="D219" s="390">
        <v>44587.85</v>
      </c>
      <c r="E219" s="388"/>
      <c r="F219" s="390">
        <v>2130</v>
      </c>
      <c r="G219" s="390">
        <v>3491.2</v>
      </c>
      <c r="H219" s="390">
        <v>75.05</v>
      </c>
      <c r="I219" s="390">
        <v>0</v>
      </c>
      <c r="J219" s="390">
        <v>193.7</v>
      </c>
      <c r="K219" s="390">
        <v>0</v>
      </c>
      <c r="L219" s="390">
        <v>22491.200000000001</v>
      </c>
      <c r="M219" s="331">
        <f t="shared" si="9"/>
        <v>392099.2</v>
      </c>
      <c r="N219" s="394">
        <v>0</v>
      </c>
      <c r="O219" s="394">
        <v>0</v>
      </c>
      <c r="P219" s="394">
        <v>7315</v>
      </c>
      <c r="Q219" s="394">
        <v>12216.72</v>
      </c>
      <c r="R219" s="394">
        <v>21476.05</v>
      </c>
      <c r="S219" s="394"/>
      <c r="T219" s="394"/>
      <c r="U219" s="394">
        <v>1400</v>
      </c>
      <c r="V219" s="394"/>
      <c r="W219" s="394"/>
      <c r="X219" s="379">
        <v>427.76</v>
      </c>
      <c r="Y219" s="460">
        <f t="shared" si="10"/>
        <v>434934.73</v>
      </c>
      <c r="Z219" s="395"/>
      <c r="AA219" s="395"/>
      <c r="AB219" s="395">
        <v>29200.6</v>
      </c>
      <c r="AC219" s="395"/>
      <c r="AD219" s="395">
        <v>24640.9</v>
      </c>
      <c r="AE219" s="395"/>
      <c r="AF219" s="395"/>
      <c r="AG219" s="395"/>
      <c r="AH219" s="395"/>
      <c r="AI219" s="395"/>
      <c r="AJ219" s="395"/>
      <c r="AK219" s="395"/>
      <c r="AL219" s="452"/>
      <c r="AM219" s="460">
        <f t="shared" si="11"/>
        <v>53841.5</v>
      </c>
      <c r="AN219" s="395">
        <v>70.5</v>
      </c>
      <c r="AO219" s="398">
        <v>268</v>
      </c>
      <c r="AP219" s="455">
        <v>-11543.63</v>
      </c>
      <c r="AQ219" s="465"/>
      <c r="AR219" s="465">
        <v>0</v>
      </c>
      <c r="AS219" s="470">
        <v>0.6</v>
      </c>
      <c r="AT219" s="516"/>
      <c r="AU219" s="516"/>
      <c r="AV219" s="516"/>
      <c r="AW219" s="516"/>
      <c r="AX219" s="516"/>
      <c r="AY219" s="516"/>
      <c r="AZ219" s="523"/>
      <c r="BA219" s="523"/>
      <c r="BB219" s="523"/>
      <c r="BC219" s="523"/>
      <c r="BD219" s="523"/>
      <c r="BE219" s="523"/>
      <c r="BF219" s="523"/>
      <c r="BG219" s="523"/>
    </row>
    <row r="220" spans="1:59" x14ac:dyDescent="0.25">
      <c r="A220" s="338">
        <v>5749</v>
      </c>
      <c r="B220" s="485" t="s">
        <v>270</v>
      </c>
      <c r="C220" s="390">
        <v>8074024.3700000001</v>
      </c>
      <c r="D220" s="390">
        <v>725957.88</v>
      </c>
      <c r="E220" s="388"/>
      <c r="F220" s="390">
        <v>0</v>
      </c>
      <c r="G220" s="390">
        <v>97132.799999999901</v>
      </c>
      <c r="H220" s="390">
        <v>34149.15</v>
      </c>
      <c r="I220" s="390">
        <v>0</v>
      </c>
      <c r="J220" s="390">
        <v>210085.08</v>
      </c>
      <c r="K220" s="390">
        <v>49595.7</v>
      </c>
      <c r="L220" s="390">
        <v>833055.5</v>
      </c>
      <c r="M220" s="331">
        <f t="shared" si="9"/>
        <v>10024000.48</v>
      </c>
      <c r="N220" s="394">
        <v>712723.2</v>
      </c>
      <c r="O220" s="394">
        <v>121500</v>
      </c>
      <c r="P220" s="394">
        <v>392838.5</v>
      </c>
      <c r="Q220" s="394">
        <v>153959.79999999999</v>
      </c>
      <c r="R220" s="394">
        <v>232311.1</v>
      </c>
      <c r="S220" s="394"/>
      <c r="T220" s="394">
        <v>9296.5</v>
      </c>
      <c r="U220" s="394">
        <v>26160</v>
      </c>
      <c r="V220" s="394"/>
      <c r="W220" s="394"/>
      <c r="X220" s="379">
        <v>15746.86</v>
      </c>
      <c r="Y220" s="460">
        <f t="shared" si="10"/>
        <v>11688536.439999999</v>
      </c>
      <c r="Z220" s="395">
        <v>72481.25</v>
      </c>
      <c r="AA220" s="395"/>
      <c r="AB220" s="395">
        <v>856366.8</v>
      </c>
      <c r="AC220" s="395"/>
      <c r="AD220" s="395">
        <v>608498.21</v>
      </c>
      <c r="AE220" s="395">
        <v>67983.399999999994</v>
      </c>
      <c r="AF220" s="395"/>
      <c r="AG220" s="395"/>
      <c r="AH220" s="395"/>
      <c r="AI220" s="395">
        <v>162794.95000000001</v>
      </c>
      <c r="AJ220" s="395"/>
      <c r="AK220" s="395"/>
      <c r="AL220" s="452"/>
      <c r="AM220" s="460">
        <f t="shared" si="11"/>
        <v>1768124.6099999999</v>
      </c>
      <c r="AN220" s="395">
        <v>70.5</v>
      </c>
      <c r="AO220" s="398">
        <v>5227</v>
      </c>
      <c r="AP220" s="455">
        <v>-272346.67</v>
      </c>
      <c r="AQ220" s="465"/>
      <c r="AR220" s="465">
        <v>-3645.56</v>
      </c>
      <c r="AS220" s="470">
        <v>1</v>
      </c>
      <c r="AT220" s="516"/>
      <c r="AU220" s="516"/>
      <c r="AV220" s="516"/>
      <c r="AW220" s="516"/>
      <c r="AX220" s="516"/>
      <c r="AY220" s="516"/>
      <c r="AZ220" s="523"/>
      <c r="BA220" s="523"/>
      <c r="BB220" s="523"/>
      <c r="BC220" s="523"/>
      <c r="BD220" s="523"/>
      <c r="BE220" s="523"/>
      <c r="BF220" s="523"/>
      <c r="BG220" s="523"/>
    </row>
    <row r="221" spans="1:59" x14ac:dyDescent="0.25">
      <c r="A221" s="338">
        <v>5750</v>
      </c>
      <c r="B221" s="485" t="s">
        <v>271</v>
      </c>
      <c r="C221" s="390">
        <v>412663.95</v>
      </c>
      <c r="D221" s="390">
        <v>55061</v>
      </c>
      <c r="E221" s="388"/>
      <c r="F221" s="390">
        <v>1130</v>
      </c>
      <c r="G221" s="390">
        <v>-146.6</v>
      </c>
      <c r="H221" s="390">
        <v>77.8</v>
      </c>
      <c r="I221" s="390">
        <v>0</v>
      </c>
      <c r="J221" s="390">
        <v>-3129.71</v>
      </c>
      <c r="K221" s="390">
        <v>15.55</v>
      </c>
      <c r="L221" s="390">
        <v>13725.15</v>
      </c>
      <c r="M221" s="331">
        <f t="shared" si="9"/>
        <v>479397.14</v>
      </c>
      <c r="N221" s="394">
        <v>7784.9</v>
      </c>
      <c r="O221" s="394">
        <v>15.7</v>
      </c>
      <c r="P221" s="394">
        <v>1080.95</v>
      </c>
      <c r="Q221" s="394">
        <v>3011.5</v>
      </c>
      <c r="R221" s="394">
        <v>0</v>
      </c>
      <c r="S221" s="394"/>
      <c r="T221" s="394"/>
      <c r="U221" s="394">
        <v>620</v>
      </c>
      <c r="V221" s="394"/>
      <c r="W221" s="394"/>
      <c r="X221" s="379">
        <v>-8.25</v>
      </c>
      <c r="Y221" s="460">
        <f t="shared" si="10"/>
        <v>491901.94000000006</v>
      </c>
      <c r="Z221" s="395">
        <v>594.35</v>
      </c>
      <c r="AA221" s="395"/>
      <c r="AB221" s="395">
        <v>41373.199999999997</v>
      </c>
      <c r="AC221" s="395"/>
      <c r="AD221" s="395">
        <v>20490.900000000001</v>
      </c>
      <c r="AE221" s="395">
        <v>596.20000000000005</v>
      </c>
      <c r="AF221" s="395"/>
      <c r="AG221" s="395"/>
      <c r="AH221" s="395">
        <v>256</v>
      </c>
      <c r="AI221" s="395">
        <v>4399.3999999999996</v>
      </c>
      <c r="AJ221" s="395"/>
      <c r="AK221" s="395"/>
      <c r="AL221" s="452"/>
      <c r="AM221" s="460">
        <f t="shared" si="11"/>
        <v>67710.049999999988</v>
      </c>
      <c r="AN221" s="395">
        <v>80</v>
      </c>
      <c r="AO221" s="398">
        <v>187</v>
      </c>
      <c r="AP221" s="455">
        <v>-7429.7</v>
      </c>
      <c r="AQ221" s="465"/>
      <c r="AR221" s="465">
        <v>-1085.29</v>
      </c>
      <c r="AS221" s="470">
        <v>0.6</v>
      </c>
      <c r="AT221" s="516"/>
      <c r="AU221" s="516"/>
      <c r="AV221" s="516"/>
      <c r="AW221" s="516"/>
      <c r="AX221" s="516"/>
      <c r="AY221" s="516"/>
      <c r="AZ221" s="523"/>
      <c r="BA221" s="523"/>
      <c r="BB221" s="523"/>
      <c r="BC221" s="523"/>
      <c r="BD221" s="523"/>
      <c r="BE221" s="523"/>
      <c r="BF221" s="523"/>
      <c r="BG221" s="523"/>
    </row>
    <row r="222" spans="1:59" x14ac:dyDescent="0.25">
      <c r="A222" s="338">
        <v>5752</v>
      </c>
      <c r="B222" s="485" t="s">
        <v>330</v>
      </c>
      <c r="C222" s="390">
        <v>549569.98</v>
      </c>
      <c r="D222" s="390">
        <v>86688.19</v>
      </c>
      <c r="E222" s="388"/>
      <c r="F222" s="390">
        <v>0</v>
      </c>
      <c r="G222" s="390">
        <v>10554.25</v>
      </c>
      <c r="H222" s="390">
        <v>659</v>
      </c>
      <c r="I222" s="390">
        <v>0</v>
      </c>
      <c r="J222" s="390">
        <v>10649.79</v>
      </c>
      <c r="K222" s="390">
        <v>833.4</v>
      </c>
      <c r="L222" s="390">
        <v>42401</v>
      </c>
      <c r="M222" s="331">
        <f t="shared" si="9"/>
        <v>701355.61</v>
      </c>
      <c r="N222" s="394">
        <v>34854.65</v>
      </c>
      <c r="O222" s="394">
        <v>1430.1</v>
      </c>
      <c r="P222" s="394">
        <v>20277.599999999999</v>
      </c>
      <c r="Q222" s="394">
        <v>0</v>
      </c>
      <c r="R222" s="394">
        <v>25630.6</v>
      </c>
      <c r="S222" s="394"/>
      <c r="T222" s="394"/>
      <c r="U222" s="394">
        <v>2700</v>
      </c>
      <c r="V222" s="394"/>
      <c r="W222" s="394"/>
      <c r="X222" s="379">
        <v>1344.99</v>
      </c>
      <c r="Y222" s="460">
        <f t="shared" si="10"/>
        <v>787593.54999999993</v>
      </c>
      <c r="Z222" s="395"/>
      <c r="AA222" s="395">
        <v>50</v>
      </c>
      <c r="AB222" s="395">
        <v>65566.8</v>
      </c>
      <c r="AC222" s="395"/>
      <c r="AD222" s="395">
        <v>30215</v>
      </c>
      <c r="AE222" s="395"/>
      <c r="AF222" s="395">
        <v>50</v>
      </c>
      <c r="AG222" s="395"/>
      <c r="AH222" s="395"/>
      <c r="AI222" s="395"/>
      <c r="AJ222" s="395"/>
      <c r="AK222" s="395"/>
      <c r="AL222" s="452"/>
      <c r="AM222" s="460">
        <f t="shared" si="11"/>
        <v>95881.8</v>
      </c>
      <c r="AN222" s="395">
        <v>74</v>
      </c>
      <c r="AO222" s="398">
        <v>397</v>
      </c>
      <c r="AP222" s="455">
        <v>-23961.74</v>
      </c>
      <c r="AQ222" s="465"/>
      <c r="AR222" s="465">
        <v>-67.73</v>
      </c>
      <c r="AS222" s="470">
        <v>0.7</v>
      </c>
      <c r="AT222" s="516"/>
      <c r="AU222" s="516"/>
      <c r="AV222" s="516"/>
      <c r="AW222" s="516"/>
      <c r="AX222" s="516"/>
      <c r="AY222" s="516"/>
      <c r="AZ222" s="523"/>
      <c r="BA222" s="523"/>
      <c r="BB222" s="523"/>
      <c r="BC222" s="523"/>
      <c r="BD222" s="523"/>
      <c r="BE222" s="523"/>
      <c r="BF222" s="523"/>
      <c r="BG222" s="523"/>
    </row>
    <row r="223" spans="1:59" x14ac:dyDescent="0.25">
      <c r="A223" s="338">
        <v>5754</v>
      </c>
      <c r="B223" s="485" t="s">
        <v>331</v>
      </c>
      <c r="C223" s="390">
        <v>544454.93000000005</v>
      </c>
      <c r="D223" s="390">
        <v>42775.13</v>
      </c>
      <c r="E223" s="388"/>
      <c r="F223" s="390">
        <v>0</v>
      </c>
      <c r="G223" s="390">
        <v>992.8</v>
      </c>
      <c r="H223" s="390">
        <v>919.95</v>
      </c>
      <c r="I223" s="390">
        <v>0</v>
      </c>
      <c r="J223" s="390">
        <v>2830.32</v>
      </c>
      <c r="K223" s="390">
        <v>1588.5</v>
      </c>
      <c r="L223" s="390">
        <v>41885.1</v>
      </c>
      <c r="M223" s="331">
        <f t="shared" si="9"/>
        <v>635446.73</v>
      </c>
      <c r="N223" s="394">
        <v>0</v>
      </c>
      <c r="O223" s="394">
        <v>1386</v>
      </c>
      <c r="P223" s="394">
        <v>21175</v>
      </c>
      <c r="Q223" s="394">
        <v>-837.37</v>
      </c>
      <c r="R223" s="394">
        <v>1849.15</v>
      </c>
      <c r="S223" s="394"/>
      <c r="T223" s="394"/>
      <c r="U223" s="394">
        <v>1960</v>
      </c>
      <c r="V223" s="394"/>
      <c r="W223" s="394"/>
      <c r="X223" s="379">
        <v>229.43</v>
      </c>
      <c r="Y223" s="460">
        <f t="shared" si="10"/>
        <v>661208.94000000006</v>
      </c>
      <c r="Z223" s="395"/>
      <c r="AA223" s="395"/>
      <c r="AB223" s="395">
        <v>44025</v>
      </c>
      <c r="AC223" s="395"/>
      <c r="AD223" s="395">
        <v>21542.45</v>
      </c>
      <c r="AE223" s="395"/>
      <c r="AF223" s="395"/>
      <c r="AG223" s="395"/>
      <c r="AH223" s="395"/>
      <c r="AI223" s="395"/>
      <c r="AJ223" s="395"/>
      <c r="AK223" s="395"/>
      <c r="AL223" s="452"/>
      <c r="AM223" s="460">
        <f t="shared" si="11"/>
        <v>65567.45</v>
      </c>
      <c r="AN223" s="395">
        <v>79</v>
      </c>
      <c r="AO223" s="398">
        <v>336</v>
      </c>
      <c r="AP223" s="455">
        <v>705.93</v>
      </c>
      <c r="AQ223" s="465"/>
      <c r="AR223" s="465">
        <v>-85.63</v>
      </c>
      <c r="AS223" s="470">
        <v>1</v>
      </c>
      <c r="AT223" s="516"/>
      <c r="AU223" s="516"/>
      <c r="AV223" s="516"/>
      <c r="AW223" s="516"/>
      <c r="AX223" s="516"/>
      <c r="AY223" s="516"/>
      <c r="AZ223" s="523"/>
      <c r="BA223" s="523"/>
      <c r="BB223" s="523"/>
      <c r="BC223" s="523"/>
      <c r="BD223" s="523"/>
      <c r="BE223" s="523"/>
      <c r="BF223" s="523"/>
      <c r="BG223" s="523"/>
    </row>
    <row r="224" spans="1:59" x14ac:dyDescent="0.25">
      <c r="A224" s="338">
        <v>5755</v>
      </c>
      <c r="B224" s="485" t="s">
        <v>332</v>
      </c>
      <c r="C224" s="390">
        <v>580072.43999999994</v>
      </c>
      <c r="D224" s="390">
        <v>56969.24</v>
      </c>
      <c r="E224" s="388"/>
      <c r="F224" s="390">
        <v>0</v>
      </c>
      <c r="G224" s="390">
        <v>6470.9</v>
      </c>
      <c r="H224" s="390">
        <v>1108.4000000000001</v>
      </c>
      <c r="I224" s="390">
        <v>0</v>
      </c>
      <c r="J224" s="390">
        <v>2001.7</v>
      </c>
      <c r="K224" s="390">
        <v>2533.1</v>
      </c>
      <c r="L224" s="390">
        <v>43841.9</v>
      </c>
      <c r="M224" s="331">
        <f t="shared" si="9"/>
        <v>692997.67999999993</v>
      </c>
      <c r="N224" s="394">
        <v>23527.15</v>
      </c>
      <c r="O224" s="394">
        <v>251932.6</v>
      </c>
      <c r="P224" s="394">
        <v>7650.5</v>
      </c>
      <c r="Q224" s="394">
        <v>355.56</v>
      </c>
      <c r="R224" s="394">
        <v>11972.4</v>
      </c>
      <c r="S224" s="394"/>
      <c r="T224" s="394"/>
      <c r="U224" s="394">
        <v>2450</v>
      </c>
      <c r="V224" s="394"/>
      <c r="W224" s="394"/>
      <c r="X224" s="379">
        <v>909.11</v>
      </c>
      <c r="Y224" s="460">
        <f t="shared" si="10"/>
        <v>991795</v>
      </c>
      <c r="Z224" s="395"/>
      <c r="AA224" s="395"/>
      <c r="AB224" s="395">
        <v>68951</v>
      </c>
      <c r="AC224" s="395"/>
      <c r="AD224" s="395">
        <v>54331.47</v>
      </c>
      <c r="AE224" s="395">
        <v>12600</v>
      </c>
      <c r="AF224" s="395"/>
      <c r="AG224" s="395"/>
      <c r="AH224" s="395"/>
      <c r="AI224" s="395"/>
      <c r="AJ224" s="395"/>
      <c r="AK224" s="395"/>
      <c r="AL224" s="452"/>
      <c r="AM224" s="460">
        <f t="shared" si="11"/>
        <v>135882.47</v>
      </c>
      <c r="AN224" s="395">
        <v>78.5</v>
      </c>
      <c r="AO224" s="398">
        <v>435</v>
      </c>
      <c r="AP224" s="455">
        <v>-2212.75</v>
      </c>
      <c r="AQ224" s="465"/>
      <c r="AR224" s="465">
        <v>0</v>
      </c>
      <c r="AS224" s="470">
        <v>0.7</v>
      </c>
      <c r="AT224" s="516"/>
      <c r="AU224" s="516"/>
      <c r="AV224" s="516"/>
      <c r="AW224" s="516"/>
      <c r="AX224" s="516"/>
      <c r="AY224" s="516"/>
      <c r="AZ224" s="523"/>
      <c r="BA224" s="523"/>
      <c r="BB224" s="523"/>
      <c r="BC224" s="523"/>
      <c r="BD224" s="523"/>
      <c r="BE224" s="523"/>
      <c r="BF224" s="523"/>
      <c r="BG224" s="523"/>
    </row>
    <row r="225" spans="1:59" x14ac:dyDescent="0.25">
      <c r="A225" s="338">
        <v>5756</v>
      </c>
      <c r="B225" s="485" t="s">
        <v>333</v>
      </c>
      <c r="C225" s="390">
        <v>846194.99</v>
      </c>
      <c r="D225" s="390">
        <v>183414.38</v>
      </c>
      <c r="E225" s="388"/>
      <c r="F225" s="390">
        <v>0</v>
      </c>
      <c r="G225" s="390">
        <v>16471.75</v>
      </c>
      <c r="H225" s="390">
        <v>888.4</v>
      </c>
      <c r="I225" s="390">
        <v>0</v>
      </c>
      <c r="J225" s="390">
        <v>7518.7</v>
      </c>
      <c r="K225" s="390">
        <v>-349.6</v>
      </c>
      <c r="L225" s="390">
        <v>87315</v>
      </c>
      <c r="M225" s="331">
        <f t="shared" si="9"/>
        <v>1141453.6199999999</v>
      </c>
      <c r="N225" s="394">
        <v>34587.5</v>
      </c>
      <c r="O225" s="394">
        <v>0</v>
      </c>
      <c r="P225" s="394">
        <v>38445</v>
      </c>
      <c r="Q225" s="394">
        <v>2224.9499999999998</v>
      </c>
      <c r="R225" s="394">
        <v>49479.25</v>
      </c>
      <c r="S225" s="394"/>
      <c r="T225" s="394">
        <v>300</v>
      </c>
      <c r="U225" s="394">
        <v>2850</v>
      </c>
      <c r="V225" s="394"/>
      <c r="W225" s="394"/>
      <c r="X225" s="379">
        <v>2082.3000000000002</v>
      </c>
      <c r="Y225" s="460">
        <f t="shared" si="10"/>
        <v>1271422.6199999999</v>
      </c>
      <c r="Z225" s="395">
        <v>2028</v>
      </c>
      <c r="AA225" s="395"/>
      <c r="AB225" s="395">
        <v>64759.4</v>
      </c>
      <c r="AC225" s="395"/>
      <c r="AD225" s="395">
        <v>29478.35</v>
      </c>
      <c r="AE225" s="395"/>
      <c r="AF225" s="395"/>
      <c r="AG225" s="395"/>
      <c r="AH225" s="395"/>
      <c r="AI225" s="395">
        <v>17496.349999999999</v>
      </c>
      <c r="AJ225" s="395"/>
      <c r="AK225" s="395"/>
      <c r="AL225" s="452"/>
      <c r="AM225" s="460">
        <f t="shared" si="11"/>
        <v>113762.1</v>
      </c>
      <c r="AN225" s="395">
        <v>72</v>
      </c>
      <c r="AO225" s="398">
        <v>506</v>
      </c>
      <c r="AP225" s="455">
        <v>-9371.33</v>
      </c>
      <c r="AQ225" s="465"/>
      <c r="AR225" s="465">
        <v>-1791.32</v>
      </c>
      <c r="AS225" s="470">
        <v>1</v>
      </c>
      <c r="AT225" s="516"/>
      <c r="AU225" s="516"/>
      <c r="AV225" s="516"/>
      <c r="AW225" s="516"/>
      <c r="AX225" s="516"/>
      <c r="AY225" s="516"/>
      <c r="AZ225" s="523"/>
      <c r="BA225" s="523"/>
      <c r="BB225" s="523"/>
      <c r="BC225" s="523"/>
      <c r="BD225" s="523"/>
      <c r="BE225" s="523"/>
      <c r="BF225" s="523"/>
      <c r="BG225" s="523"/>
    </row>
    <row r="226" spans="1:59" x14ac:dyDescent="0.25">
      <c r="A226" s="338">
        <v>5757</v>
      </c>
      <c r="B226" s="485" t="s">
        <v>334</v>
      </c>
      <c r="C226" s="390">
        <v>11219078.699999999</v>
      </c>
      <c r="D226" s="390">
        <v>1074880.25</v>
      </c>
      <c r="E226" s="388"/>
      <c r="F226" s="390">
        <v>0</v>
      </c>
      <c r="G226" s="390">
        <v>998526.4</v>
      </c>
      <c r="H226" s="390">
        <v>60181.65</v>
      </c>
      <c r="I226" s="390">
        <v>0</v>
      </c>
      <c r="J226" s="390">
        <v>437458.61</v>
      </c>
      <c r="K226" s="390">
        <v>171329.3</v>
      </c>
      <c r="L226" s="390">
        <v>1559237</v>
      </c>
      <c r="M226" s="331">
        <f t="shared" si="9"/>
        <v>15520691.91</v>
      </c>
      <c r="N226" s="394">
        <v>2913726.35</v>
      </c>
      <c r="O226" s="394">
        <v>201441.5</v>
      </c>
      <c r="P226" s="394">
        <v>769220.45</v>
      </c>
      <c r="Q226" s="394">
        <v>22444.84</v>
      </c>
      <c r="R226" s="394">
        <v>235922.25</v>
      </c>
      <c r="S226" s="394">
        <v>38669.65</v>
      </c>
      <c r="T226" s="394"/>
      <c r="U226" s="394">
        <v>45650</v>
      </c>
      <c r="V226" s="394"/>
      <c r="W226" s="394"/>
      <c r="X226" s="379">
        <v>126988.73</v>
      </c>
      <c r="Y226" s="460">
        <f t="shared" si="10"/>
        <v>19874755.68</v>
      </c>
      <c r="Z226" s="395">
        <v>339450</v>
      </c>
      <c r="AA226" s="395"/>
      <c r="AB226" s="395">
        <v>1292805.1000000001</v>
      </c>
      <c r="AC226" s="395"/>
      <c r="AD226" s="395">
        <v>1014055.57</v>
      </c>
      <c r="AE226" s="395">
        <v>212470</v>
      </c>
      <c r="AF226" s="395"/>
      <c r="AG226" s="395"/>
      <c r="AH226" s="395">
        <v>33877.5</v>
      </c>
      <c r="AI226" s="395">
        <v>194126.76</v>
      </c>
      <c r="AJ226" s="395">
        <v>210000</v>
      </c>
      <c r="AK226" s="395">
        <v>189012.6</v>
      </c>
      <c r="AL226" s="452">
        <v>20987.4</v>
      </c>
      <c r="AM226" s="460">
        <f t="shared" si="11"/>
        <v>3506784.9299999997</v>
      </c>
      <c r="AN226" s="395">
        <v>75.5</v>
      </c>
      <c r="AO226" s="398">
        <v>7124</v>
      </c>
      <c r="AP226" s="455">
        <v>-281564.02</v>
      </c>
      <c r="AQ226" s="465"/>
      <c r="AR226" s="465">
        <v>-2912.13</v>
      </c>
      <c r="AS226" s="470">
        <v>1</v>
      </c>
      <c r="AT226" s="516"/>
      <c r="AU226" s="516"/>
      <c r="AV226" s="516"/>
      <c r="AW226" s="516"/>
      <c r="AX226" s="516"/>
      <c r="AY226" s="516"/>
      <c r="AZ226" s="523"/>
      <c r="BA226" s="523"/>
      <c r="BB226" s="523"/>
      <c r="BC226" s="523"/>
      <c r="BD226" s="523"/>
      <c r="BE226" s="523"/>
      <c r="BF226" s="523"/>
      <c r="BG226" s="523"/>
    </row>
    <row r="227" spans="1:59" x14ac:dyDescent="0.25">
      <c r="A227" s="338">
        <v>5758</v>
      </c>
      <c r="B227" s="485" t="s">
        <v>216</v>
      </c>
      <c r="C227" s="390">
        <v>290175.24</v>
      </c>
      <c r="D227" s="390">
        <v>28835.040000000001</v>
      </c>
      <c r="E227" s="388"/>
      <c r="F227" s="390">
        <v>920</v>
      </c>
      <c r="G227" s="390">
        <v>5309.35</v>
      </c>
      <c r="H227" s="390">
        <v>965.55</v>
      </c>
      <c r="I227" s="390">
        <v>0</v>
      </c>
      <c r="J227" s="390">
        <v>3129.12</v>
      </c>
      <c r="K227" s="390">
        <v>0</v>
      </c>
      <c r="L227" s="390">
        <v>25357.05</v>
      </c>
      <c r="M227" s="331">
        <f t="shared" si="9"/>
        <v>354691.34999999992</v>
      </c>
      <c r="N227" s="394">
        <v>6425.4</v>
      </c>
      <c r="O227" s="394">
        <v>2917.6</v>
      </c>
      <c r="P227" s="394">
        <v>17141.55</v>
      </c>
      <c r="Q227" s="394">
        <v>0</v>
      </c>
      <c r="R227" s="394">
        <v>874.8</v>
      </c>
      <c r="S227" s="394"/>
      <c r="T227" s="394"/>
      <c r="U227" s="394">
        <v>1060</v>
      </c>
      <c r="V227" s="394"/>
      <c r="W227" s="394"/>
      <c r="X227" s="379">
        <v>752.65</v>
      </c>
      <c r="Y227" s="460">
        <f t="shared" si="10"/>
        <v>383863.34999999992</v>
      </c>
      <c r="Z227" s="395">
        <v>3737.5</v>
      </c>
      <c r="AA227" s="395"/>
      <c r="AB227" s="395">
        <v>51387.55</v>
      </c>
      <c r="AC227" s="395"/>
      <c r="AD227" s="395">
        <v>13513.35</v>
      </c>
      <c r="AE227" s="395">
        <v>5266</v>
      </c>
      <c r="AF227" s="395"/>
      <c r="AG227" s="395"/>
      <c r="AH227" s="395"/>
      <c r="AI227" s="395">
        <v>4915.05</v>
      </c>
      <c r="AJ227" s="395"/>
      <c r="AK227" s="395"/>
      <c r="AL227" s="452"/>
      <c r="AM227" s="460">
        <f t="shared" si="11"/>
        <v>78819.450000000012</v>
      </c>
      <c r="AN227" s="395">
        <v>83</v>
      </c>
      <c r="AO227" s="398">
        <v>175</v>
      </c>
      <c r="AP227" s="455">
        <v>-249.75</v>
      </c>
      <c r="AQ227" s="465"/>
      <c r="AR227" s="465">
        <v>0</v>
      </c>
      <c r="AS227" s="470">
        <v>0.9</v>
      </c>
      <c r="AT227" s="516"/>
      <c r="AU227" s="516"/>
      <c r="AV227" s="516"/>
      <c r="AW227" s="516"/>
      <c r="AX227" s="516"/>
      <c r="AY227" s="516"/>
      <c r="AZ227" s="523"/>
      <c r="BA227" s="523"/>
      <c r="BB227" s="523"/>
      <c r="BC227" s="523"/>
      <c r="BD227" s="523"/>
      <c r="BE227" s="523"/>
      <c r="BF227" s="523"/>
      <c r="BG227" s="523"/>
    </row>
    <row r="228" spans="1:59" x14ac:dyDescent="0.25">
      <c r="A228" s="338">
        <v>5759</v>
      </c>
      <c r="B228" s="485" t="s">
        <v>217</v>
      </c>
      <c r="C228" s="390">
        <v>334364.01</v>
      </c>
      <c r="D228" s="390">
        <v>48677.88</v>
      </c>
      <c r="E228" s="388"/>
      <c r="F228" s="390">
        <v>0</v>
      </c>
      <c r="G228" s="390">
        <v>703.15</v>
      </c>
      <c r="H228" s="390">
        <v>172.15</v>
      </c>
      <c r="I228" s="390">
        <v>0</v>
      </c>
      <c r="J228" s="390">
        <v>2926.91</v>
      </c>
      <c r="K228" s="390">
        <v>242.95</v>
      </c>
      <c r="L228" s="390">
        <v>30520.7</v>
      </c>
      <c r="M228" s="331">
        <f t="shared" si="9"/>
        <v>417607.75000000006</v>
      </c>
      <c r="N228" s="394">
        <v>1530.1</v>
      </c>
      <c r="O228" s="394">
        <v>0</v>
      </c>
      <c r="P228" s="394">
        <v>22605</v>
      </c>
      <c r="Q228" s="394">
        <v>12976.44</v>
      </c>
      <c r="R228" s="394">
        <v>17548.650000000001</v>
      </c>
      <c r="S228" s="394"/>
      <c r="T228" s="394"/>
      <c r="U228" s="394">
        <v>875</v>
      </c>
      <c r="V228" s="394"/>
      <c r="W228" s="394"/>
      <c r="X228" s="379">
        <v>104.99</v>
      </c>
      <c r="Y228" s="460">
        <f t="shared" si="10"/>
        <v>473247.93000000005</v>
      </c>
      <c r="Z228" s="395">
        <v>6970</v>
      </c>
      <c r="AA228" s="395">
        <v>1120</v>
      </c>
      <c r="AB228" s="395">
        <v>31340.25</v>
      </c>
      <c r="AC228" s="395"/>
      <c r="AD228" s="395">
        <v>19740.900000000001</v>
      </c>
      <c r="AE228" s="395">
        <v>13140</v>
      </c>
      <c r="AF228" s="395">
        <v>1200</v>
      </c>
      <c r="AG228" s="395"/>
      <c r="AH228" s="395"/>
      <c r="AI228" s="395"/>
      <c r="AJ228" s="395"/>
      <c r="AK228" s="395"/>
      <c r="AL228" s="452"/>
      <c r="AM228" s="460">
        <f t="shared" si="11"/>
        <v>73511.149999999994</v>
      </c>
      <c r="AN228" s="395">
        <v>79.5</v>
      </c>
      <c r="AO228" s="398">
        <v>218</v>
      </c>
      <c r="AP228" s="455">
        <v>-8201.16</v>
      </c>
      <c r="AQ228" s="465"/>
      <c r="AR228" s="465">
        <v>-543.04</v>
      </c>
      <c r="AS228" s="470">
        <v>1</v>
      </c>
      <c r="AT228" s="516"/>
      <c r="AU228" s="516"/>
      <c r="AV228" s="516"/>
      <c r="AW228" s="516"/>
      <c r="AX228" s="516"/>
      <c r="AY228" s="516"/>
      <c r="AZ228" s="523"/>
      <c r="BA228" s="523"/>
      <c r="BB228" s="523"/>
      <c r="BC228" s="523"/>
      <c r="BD228" s="523"/>
      <c r="BE228" s="523"/>
      <c r="BF228" s="523"/>
      <c r="BG228" s="523"/>
    </row>
    <row r="229" spans="1:59" x14ac:dyDescent="0.25">
      <c r="A229" s="338">
        <v>5760</v>
      </c>
      <c r="B229" s="485" t="s">
        <v>218</v>
      </c>
      <c r="C229" s="390">
        <v>838931.47</v>
      </c>
      <c r="D229" s="390">
        <v>79510.600000000006</v>
      </c>
      <c r="E229" s="388"/>
      <c r="F229" s="390">
        <v>0</v>
      </c>
      <c r="G229" s="390">
        <v>1359.75</v>
      </c>
      <c r="H229" s="390">
        <v>1487.35</v>
      </c>
      <c r="I229" s="390">
        <v>0</v>
      </c>
      <c r="J229" s="390">
        <v>832.32</v>
      </c>
      <c r="K229" s="390">
        <v>0</v>
      </c>
      <c r="L229" s="390">
        <v>113239.85</v>
      </c>
      <c r="M229" s="331">
        <f t="shared" si="9"/>
        <v>1035361.3399999999</v>
      </c>
      <c r="N229" s="394">
        <v>22152.05</v>
      </c>
      <c r="O229" s="394">
        <v>11202.7</v>
      </c>
      <c r="P229" s="394">
        <v>44138.9</v>
      </c>
      <c r="Q229" s="394">
        <v>10272.66</v>
      </c>
      <c r="R229" s="394">
        <v>40310.300000000003</v>
      </c>
      <c r="S229" s="394"/>
      <c r="T229" s="394"/>
      <c r="U229" s="394">
        <v>3110</v>
      </c>
      <c r="V229" s="394"/>
      <c r="W229" s="394"/>
      <c r="X229" s="379">
        <v>341.5</v>
      </c>
      <c r="Y229" s="460">
        <f t="shared" si="10"/>
        <v>1166889.4499999997</v>
      </c>
      <c r="Z229" s="395"/>
      <c r="AA229" s="395"/>
      <c r="AB229" s="395">
        <v>49135.3</v>
      </c>
      <c r="AC229" s="395">
        <v>70331.199999999997</v>
      </c>
      <c r="AD229" s="395">
        <v>26621.1</v>
      </c>
      <c r="AE229" s="395">
        <v>28059.4</v>
      </c>
      <c r="AF229" s="395"/>
      <c r="AG229" s="395"/>
      <c r="AH229" s="395"/>
      <c r="AI229" s="395"/>
      <c r="AJ229" s="395"/>
      <c r="AK229" s="395"/>
      <c r="AL229" s="452"/>
      <c r="AM229" s="460">
        <f t="shared" si="11"/>
        <v>174147</v>
      </c>
      <c r="AN229" s="395">
        <v>76.5</v>
      </c>
      <c r="AO229" s="398">
        <v>513</v>
      </c>
      <c r="AP229" s="455">
        <v>-25144.9</v>
      </c>
      <c r="AQ229" s="465"/>
      <c r="AR229" s="465">
        <v>-1893.53</v>
      </c>
      <c r="AS229" s="470">
        <v>1.5</v>
      </c>
      <c r="AT229" s="516"/>
      <c r="AU229" s="516"/>
      <c r="AV229" s="516"/>
      <c r="AW229" s="516"/>
      <c r="AX229" s="516"/>
      <c r="AY229" s="516"/>
      <c r="AZ229" s="523"/>
      <c r="BA229" s="523"/>
      <c r="BB229" s="523"/>
      <c r="BC229" s="523"/>
      <c r="BD229" s="523"/>
      <c r="BE229" s="523"/>
      <c r="BF229" s="523"/>
      <c r="BG229" s="523"/>
    </row>
    <row r="230" spans="1:59" x14ac:dyDescent="0.25">
      <c r="A230" s="338">
        <v>5761</v>
      </c>
      <c r="B230" s="485" t="s">
        <v>135</v>
      </c>
      <c r="C230" s="390">
        <v>802821.06</v>
      </c>
      <c r="D230" s="390">
        <v>100245.18</v>
      </c>
      <c r="E230" s="388"/>
      <c r="F230" s="390">
        <v>0</v>
      </c>
      <c r="G230" s="390">
        <v>3742</v>
      </c>
      <c r="H230" s="390">
        <v>833.3</v>
      </c>
      <c r="I230" s="390">
        <v>0</v>
      </c>
      <c r="J230" s="390">
        <v>11547.56</v>
      </c>
      <c r="K230" s="390">
        <v>3997.55</v>
      </c>
      <c r="L230" s="390">
        <v>91237.8</v>
      </c>
      <c r="M230" s="331">
        <f t="shared" si="9"/>
        <v>1014424.4500000002</v>
      </c>
      <c r="N230" s="394">
        <v>62764.25</v>
      </c>
      <c r="O230" s="394">
        <v>8830.5</v>
      </c>
      <c r="P230" s="394">
        <v>77623.199999999997</v>
      </c>
      <c r="Q230" s="394">
        <v>0</v>
      </c>
      <c r="R230" s="394">
        <v>48004.25</v>
      </c>
      <c r="S230" s="394">
        <v>1251.5</v>
      </c>
      <c r="T230" s="394"/>
      <c r="U230" s="394">
        <v>4104</v>
      </c>
      <c r="V230" s="394">
        <v>1476.5</v>
      </c>
      <c r="W230" s="394"/>
      <c r="X230" s="379">
        <v>548.79</v>
      </c>
      <c r="Y230" s="460">
        <f t="shared" si="10"/>
        <v>1219027.4400000002</v>
      </c>
      <c r="Z230" s="395">
        <v>3102</v>
      </c>
      <c r="AA230" s="395"/>
      <c r="AB230" s="395">
        <v>97045.05</v>
      </c>
      <c r="AC230" s="395"/>
      <c r="AD230" s="395">
        <v>53028.3</v>
      </c>
      <c r="AE230" s="395">
        <v>1128</v>
      </c>
      <c r="AF230" s="395"/>
      <c r="AG230" s="395"/>
      <c r="AH230" s="395"/>
      <c r="AI230" s="395">
        <v>15346.3</v>
      </c>
      <c r="AJ230" s="395"/>
      <c r="AK230" s="395"/>
      <c r="AL230" s="452"/>
      <c r="AM230" s="460">
        <f t="shared" si="11"/>
        <v>169649.65</v>
      </c>
      <c r="AN230" s="395">
        <v>81</v>
      </c>
      <c r="AO230" s="398">
        <v>525</v>
      </c>
      <c r="AP230" s="455">
        <v>-23743.54</v>
      </c>
      <c r="AQ230" s="465"/>
      <c r="AR230" s="465">
        <v>0</v>
      </c>
      <c r="AS230" s="470">
        <v>1.1000000000000001</v>
      </c>
      <c r="AT230" s="516"/>
      <c r="AU230" s="516"/>
      <c r="AV230" s="516"/>
      <c r="AW230" s="516"/>
      <c r="AX230" s="516"/>
      <c r="AY230" s="516"/>
      <c r="AZ230" s="523"/>
      <c r="BA230" s="523"/>
      <c r="BB230" s="523"/>
      <c r="BC230" s="523"/>
      <c r="BD230" s="523"/>
      <c r="BE230" s="523"/>
      <c r="BF230" s="523"/>
      <c r="BG230" s="523"/>
    </row>
    <row r="231" spans="1:59" x14ac:dyDescent="0.25">
      <c r="A231" s="338">
        <v>5762</v>
      </c>
      <c r="B231" s="485" t="s">
        <v>136</v>
      </c>
      <c r="C231" s="390">
        <v>244337.46</v>
      </c>
      <c r="D231" s="390">
        <v>26289.18</v>
      </c>
      <c r="E231" s="388"/>
      <c r="F231" s="390">
        <v>0</v>
      </c>
      <c r="G231" s="390">
        <v>3645.9</v>
      </c>
      <c r="H231" s="390">
        <v>120.8</v>
      </c>
      <c r="I231" s="390">
        <v>0</v>
      </c>
      <c r="J231" s="390">
        <v>-1087.5</v>
      </c>
      <c r="K231" s="390">
        <v>75</v>
      </c>
      <c r="L231" s="390">
        <v>20516.599999999999</v>
      </c>
      <c r="M231" s="331">
        <f t="shared" si="9"/>
        <v>293897.44</v>
      </c>
      <c r="N231" s="394">
        <v>0</v>
      </c>
      <c r="O231" s="394">
        <v>0</v>
      </c>
      <c r="P231" s="394">
        <v>0</v>
      </c>
      <c r="Q231" s="394">
        <v>9.4</v>
      </c>
      <c r="R231" s="394">
        <v>0</v>
      </c>
      <c r="S231" s="394"/>
      <c r="T231" s="394"/>
      <c r="U231" s="394">
        <v>1100</v>
      </c>
      <c r="V231" s="394"/>
      <c r="W231" s="394"/>
      <c r="X231" s="379">
        <v>451.8</v>
      </c>
      <c r="Y231" s="460">
        <f t="shared" si="10"/>
        <v>295458.64</v>
      </c>
      <c r="Z231" s="395"/>
      <c r="AA231" s="395"/>
      <c r="AB231" s="395">
        <v>6136.8</v>
      </c>
      <c r="AC231" s="395"/>
      <c r="AD231" s="395">
        <v>8739.35</v>
      </c>
      <c r="AE231" s="395"/>
      <c r="AF231" s="395"/>
      <c r="AG231" s="395"/>
      <c r="AH231" s="395"/>
      <c r="AI231" s="395"/>
      <c r="AJ231" s="395"/>
      <c r="AK231" s="395"/>
      <c r="AL231" s="452"/>
      <c r="AM231" s="460">
        <f t="shared" si="11"/>
        <v>14876.150000000001</v>
      </c>
      <c r="AN231" s="395">
        <v>78</v>
      </c>
      <c r="AO231" s="398">
        <v>145</v>
      </c>
      <c r="AP231" s="455">
        <v>-62.44</v>
      </c>
      <c r="AQ231" s="465"/>
      <c r="AR231" s="465">
        <v>0</v>
      </c>
      <c r="AS231" s="470">
        <v>1</v>
      </c>
      <c r="AT231" s="516"/>
      <c r="AU231" s="516"/>
      <c r="AV231" s="516"/>
      <c r="AW231" s="516"/>
      <c r="AX231" s="516"/>
      <c r="AY231" s="516"/>
      <c r="AZ231" s="523"/>
      <c r="BA231" s="523"/>
      <c r="BB231" s="523"/>
      <c r="BC231" s="523"/>
      <c r="BD231" s="523"/>
      <c r="BE231" s="523"/>
      <c r="BF231" s="523"/>
      <c r="BG231" s="523"/>
    </row>
    <row r="232" spans="1:59" x14ac:dyDescent="0.25">
      <c r="A232" s="338">
        <v>5763</v>
      </c>
      <c r="B232" s="485" t="s">
        <v>137</v>
      </c>
      <c r="C232" s="390">
        <v>1148817.9099999999</v>
      </c>
      <c r="D232" s="390">
        <v>109998.57</v>
      </c>
      <c r="E232" s="388"/>
      <c r="F232" s="390">
        <v>0</v>
      </c>
      <c r="G232" s="390">
        <v>15735.95</v>
      </c>
      <c r="H232" s="390">
        <v>1410.35</v>
      </c>
      <c r="I232" s="390">
        <v>0</v>
      </c>
      <c r="J232" s="390">
        <v>27278.89</v>
      </c>
      <c r="K232" s="390">
        <v>3988.7</v>
      </c>
      <c r="L232" s="390">
        <v>88872.5</v>
      </c>
      <c r="M232" s="331">
        <f t="shared" si="9"/>
        <v>1396102.8699999999</v>
      </c>
      <c r="N232" s="394">
        <v>40842.1</v>
      </c>
      <c r="O232" s="394">
        <v>0</v>
      </c>
      <c r="P232" s="394">
        <v>21871.35</v>
      </c>
      <c r="Q232" s="394">
        <v>0</v>
      </c>
      <c r="R232" s="394">
        <v>8235.85</v>
      </c>
      <c r="S232" s="394"/>
      <c r="T232" s="394">
        <v>1517.2</v>
      </c>
      <c r="U232" s="394">
        <v>5050</v>
      </c>
      <c r="V232" s="394"/>
      <c r="W232" s="394"/>
      <c r="X232" s="379">
        <v>2056.65</v>
      </c>
      <c r="Y232" s="460">
        <f t="shared" si="10"/>
        <v>1475676.02</v>
      </c>
      <c r="Z232" s="395">
        <v>10900</v>
      </c>
      <c r="AA232" s="395"/>
      <c r="AB232" s="395">
        <v>96350.45</v>
      </c>
      <c r="AC232" s="395"/>
      <c r="AD232" s="395">
        <v>53654.1</v>
      </c>
      <c r="AE232" s="395"/>
      <c r="AF232" s="395"/>
      <c r="AG232" s="395"/>
      <c r="AH232" s="395"/>
      <c r="AI232" s="395"/>
      <c r="AJ232" s="395"/>
      <c r="AK232" s="395"/>
      <c r="AL232" s="452"/>
      <c r="AM232" s="460">
        <f t="shared" si="11"/>
        <v>160904.54999999999</v>
      </c>
      <c r="AN232" s="395">
        <v>68</v>
      </c>
      <c r="AO232" s="398">
        <v>609</v>
      </c>
      <c r="AP232" s="455">
        <v>-6373.31</v>
      </c>
      <c r="AQ232" s="465"/>
      <c r="AR232" s="465">
        <v>-752.01</v>
      </c>
      <c r="AS232" s="470">
        <v>1</v>
      </c>
      <c r="AT232" s="516"/>
      <c r="AU232" s="516"/>
      <c r="AV232" s="516"/>
      <c r="AW232" s="516"/>
      <c r="AX232" s="516"/>
      <c r="AY232" s="516"/>
      <c r="AZ232" s="523"/>
      <c r="BA232" s="523"/>
      <c r="BB232" s="523"/>
      <c r="BC232" s="523"/>
      <c r="BD232" s="523"/>
      <c r="BE232" s="523"/>
      <c r="BF232" s="523"/>
      <c r="BG232" s="523"/>
    </row>
    <row r="233" spans="1:59" x14ac:dyDescent="0.25">
      <c r="A233" s="338">
        <v>5764</v>
      </c>
      <c r="B233" s="485" t="s">
        <v>335</v>
      </c>
      <c r="C233" s="390">
        <v>4656608.49</v>
      </c>
      <c r="D233" s="390">
        <v>443702.2</v>
      </c>
      <c r="E233" s="388"/>
      <c r="F233" s="390">
        <v>0</v>
      </c>
      <c r="G233" s="390">
        <v>289952.59999999998</v>
      </c>
      <c r="H233" s="390">
        <v>43838.25</v>
      </c>
      <c r="I233" s="390">
        <v>0</v>
      </c>
      <c r="J233" s="390">
        <v>215461.1</v>
      </c>
      <c r="K233" s="390">
        <v>40595.599999999999</v>
      </c>
      <c r="L233" s="390">
        <v>463831.75</v>
      </c>
      <c r="M233" s="331">
        <f t="shared" si="9"/>
        <v>6153989.9899999993</v>
      </c>
      <c r="N233" s="394">
        <v>2315164.4</v>
      </c>
      <c r="O233" s="394">
        <v>135412.4</v>
      </c>
      <c r="P233" s="394">
        <v>164862.54999999999</v>
      </c>
      <c r="Q233" s="394">
        <v>29176.75</v>
      </c>
      <c r="R233" s="394">
        <v>54187.95</v>
      </c>
      <c r="S233" s="394">
        <v>225</v>
      </c>
      <c r="T233" s="394">
        <v>11440.55</v>
      </c>
      <c r="U233" s="394">
        <v>22537.5</v>
      </c>
      <c r="V233" s="394">
        <v>43972.5</v>
      </c>
      <c r="W233" s="394"/>
      <c r="X233" s="379">
        <v>40037.17</v>
      </c>
      <c r="Y233" s="460">
        <f t="shared" si="10"/>
        <v>8971006.7599999998</v>
      </c>
      <c r="Z233" s="395">
        <v>166143.35</v>
      </c>
      <c r="AA233" s="395">
        <v>18890</v>
      </c>
      <c r="AB233" s="395">
        <v>633596.51</v>
      </c>
      <c r="AC233" s="395"/>
      <c r="AD233" s="395">
        <v>535528.06000000006</v>
      </c>
      <c r="AE233" s="395">
        <v>104258.45</v>
      </c>
      <c r="AF233" s="395">
        <v>18565.95</v>
      </c>
      <c r="AG233" s="395"/>
      <c r="AH233" s="395">
        <v>9516.5</v>
      </c>
      <c r="AI233" s="395">
        <v>178018.55</v>
      </c>
      <c r="AJ233" s="395"/>
      <c r="AK233" s="395"/>
      <c r="AL233" s="452"/>
      <c r="AM233" s="460">
        <f t="shared" si="11"/>
        <v>1664517.3699999999</v>
      </c>
      <c r="AN233" s="395">
        <v>71.5</v>
      </c>
      <c r="AO233" s="398">
        <v>3874</v>
      </c>
      <c r="AP233" s="455">
        <v>-191456.46</v>
      </c>
      <c r="AQ233" s="465"/>
      <c r="AR233" s="465">
        <v>-3532.07</v>
      </c>
      <c r="AS233" s="470">
        <v>1</v>
      </c>
      <c r="AT233" s="516"/>
      <c r="AU233" s="516"/>
      <c r="AV233" s="516"/>
      <c r="AW233" s="516"/>
      <c r="AX233" s="516"/>
      <c r="AY233" s="516"/>
      <c r="AZ233" s="523"/>
      <c r="BA233" s="523"/>
      <c r="BB233" s="523"/>
      <c r="BC233" s="523"/>
      <c r="BD233" s="523"/>
      <c r="BE233" s="523"/>
      <c r="BF233" s="523"/>
      <c r="BG233" s="523"/>
    </row>
    <row r="234" spans="1:59" x14ac:dyDescent="0.25">
      <c r="A234" s="338">
        <v>5765</v>
      </c>
      <c r="B234" s="485" t="s">
        <v>336</v>
      </c>
      <c r="C234" s="390">
        <v>756147.51</v>
      </c>
      <c r="D234" s="390">
        <v>88921.59</v>
      </c>
      <c r="E234" s="388"/>
      <c r="F234" s="390">
        <v>0</v>
      </c>
      <c r="G234" s="390">
        <v>897.75</v>
      </c>
      <c r="H234" s="390">
        <v>970.15</v>
      </c>
      <c r="I234" s="390">
        <v>0</v>
      </c>
      <c r="J234" s="390">
        <v>12677.3</v>
      </c>
      <c r="K234" s="390">
        <v>0</v>
      </c>
      <c r="L234" s="390">
        <v>32449.3</v>
      </c>
      <c r="M234" s="331">
        <f t="shared" si="9"/>
        <v>892063.60000000009</v>
      </c>
      <c r="N234" s="394">
        <v>53317.25</v>
      </c>
      <c r="O234" s="394">
        <v>5642.5</v>
      </c>
      <c r="P234" s="394">
        <v>31419</v>
      </c>
      <c r="Q234" s="394">
        <v>29995.119999999999</v>
      </c>
      <c r="R234" s="394">
        <v>61265.5</v>
      </c>
      <c r="S234" s="394"/>
      <c r="T234" s="394">
        <v>841.35</v>
      </c>
      <c r="U234" s="394">
        <v>3480</v>
      </c>
      <c r="V234" s="394"/>
      <c r="W234" s="394"/>
      <c r="X234" s="379">
        <v>224.05</v>
      </c>
      <c r="Y234" s="460">
        <f t="shared" si="10"/>
        <v>1078248.3700000003</v>
      </c>
      <c r="Z234" s="395"/>
      <c r="AA234" s="395">
        <v>38325.9</v>
      </c>
      <c r="AB234" s="395">
        <v>6071.5</v>
      </c>
      <c r="AC234" s="395">
        <v>123089.9</v>
      </c>
      <c r="AD234" s="395"/>
      <c r="AE234" s="395">
        <v>64431.4</v>
      </c>
      <c r="AF234" s="395">
        <v>2244</v>
      </c>
      <c r="AG234" s="395">
        <v>8616</v>
      </c>
      <c r="AH234" s="395"/>
      <c r="AI234" s="395"/>
      <c r="AJ234" s="395"/>
      <c r="AK234" s="395"/>
      <c r="AL234" s="452"/>
      <c r="AM234" s="460">
        <f t="shared" si="11"/>
        <v>242778.69999999998</v>
      </c>
      <c r="AN234" s="395">
        <v>81</v>
      </c>
      <c r="AO234" s="398">
        <v>506</v>
      </c>
      <c r="AP234" s="455">
        <v>-38231.56</v>
      </c>
      <c r="AQ234" s="465"/>
      <c r="AR234" s="465">
        <v>-18.149999999999999</v>
      </c>
      <c r="AS234" s="470">
        <v>0.5</v>
      </c>
      <c r="AT234" s="516"/>
      <c r="AU234" s="516"/>
      <c r="AV234" s="516"/>
      <c r="AW234" s="516"/>
      <c r="AX234" s="516"/>
      <c r="AY234" s="516"/>
      <c r="AZ234" s="523"/>
      <c r="BA234" s="523"/>
      <c r="BB234" s="523"/>
      <c r="BC234" s="523"/>
      <c r="BD234" s="523"/>
      <c r="BE234" s="523"/>
      <c r="BF234" s="523"/>
      <c r="BG234" s="523"/>
    </row>
    <row r="235" spans="1:59" x14ac:dyDescent="0.25">
      <c r="A235" s="338">
        <v>5766</v>
      </c>
      <c r="B235" s="485" t="s">
        <v>337</v>
      </c>
      <c r="C235" s="390">
        <v>981665.95</v>
      </c>
      <c r="D235" s="390">
        <v>139105.19</v>
      </c>
      <c r="E235" s="388"/>
      <c r="F235" s="390">
        <v>0</v>
      </c>
      <c r="G235" s="390">
        <v>9412.5</v>
      </c>
      <c r="H235" s="390">
        <v>1692.6</v>
      </c>
      <c r="I235" s="390">
        <v>0</v>
      </c>
      <c r="J235" s="390">
        <v>30624.49</v>
      </c>
      <c r="K235" s="390">
        <v>-5391.85</v>
      </c>
      <c r="L235" s="390">
        <v>58987.6</v>
      </c>
      <c r="M235" s="331">
        <f t="shared" si="9"/>
        <v>1216096.48</v>
      </c>
      <c r="N235" s="394">
        <v>27786</v>
      </c>
      <c r="O235" s="394">
        <v>0</v>
      </c>
      <c r="P235" s="394">
        <v>20955</v>
      </c>
      <c r="Q235" s="394">
        <v>5493.2</v>
      </c>
      <c r="R235" s="394">
        <v>18660.849999999999</v>
      </c>
      <c r="S235" s="394"/>
      <c r="T235" s="394"/>
      <c r="U235" s="394">
        <v>1900</v>
      </c>
      <c r="V235" s="394"/>
      <c r="W235" s="394"/>
      <c r="X235" s="379">
        <v>1332.02</v>
      </c>
      <c r="Y235" s="460">
        <f t="shared" si="10"/>
        <v>1292223.55</v>
      </c>
      <c r="Z235" s="395"/>
      <c r="AA235" s="395"/>
      <c r="AB235" s="395">
        <v>42200.2</v>
      </c>
      <c r="AC235" s="395"/>
      <c r="AD235" s="395">
        <v>23935.35</v>
      </c>
      <c r="AE235" s="395"/>
      <c r="AF235" s="395"/>
      <c r="AG235" s="395"/>
      <c r="AH235" s="395"/>
      <c r="AI235" s="395">
        <v>14698.4</v>
      </c>
      <c r="AJ235" s="395"/>
      <c r="AK235" s="395"/>
      <c r="AL235" s="452"/>
      <c r="AM235" s="460">
        <f t="shared" si="11"/>
        <v>80833.949999999983</v>
      </c>
      <c r="AN235" s="395">
        <v>77</v>
      </c>
      <c r="AO235" s="398">
        <v>584</v>
      </c>
      <c r="AP235" s="455">
        <v>-16611.82</v>
      </c>
      <c r="AQ235" s="465"/>
      <c r="AR235" s="465">
        <v>-86.19</v>
      </c>
      <c r="AS235" s="470">
        <v>0.7</v>
      </c>
      <c r="AT235" s="516"/>
      <c r="AU235" s="516"/>
      <c r="AV235" s="516"/>
      <c r="AW235" s="516"/>
      <c r="AX235" s="516"/>
      <c r="AY235" s="516"/>
      <c r="AZ235" s="523"/>
      <c r="BA235" s="523"/>
      <c r="BB235" s="523"/>
      <c r="BC235" s="523"/>
      <c r="BD235" s="523"/>
      <c r="BE235" s="523"/>
      <c r="BF235" s="523"/>
      <c r="BG235" s="523"/>
    </row>
    <row r="236" spans="1:59" x14ac:dyDescent="0.25">
      <c r="A236" s="338">
        <v>5785</v>
      </c>
      <c r="B236" s="485" t="s">
        <v>278</v>
      </c>
      <c r="C236" s="390">
        <v>1073755.75</v>
      </c>
      <c r="D236" s="390">
        <v>188448.48</v>
      </c>
      <c r="E236" s="388"/>
      <c r="F236" s="390">
        <v>0</v>
      </c>
      <c r="G236" s="390">
        <v>2096.0500000000002</v>
      </c>
      <c r="H236" s="390">
        <v>297.25</v>
      </c>
      <c r="I236" s="390">
        <v>0</v>
      </c>
      <c r="J236" s="390">
        <v>19643.89</v>
      </c>
      <c r="K236" s="390">
        <v>1202.5999999999999</v>
      </c>
      <c r="L236" s="390">
        <v>74271.75</v>
      </c>
      <c r="M236" s="331">
        <f t="shared" si="9"/>
        <v>1359715.77</v>
      </c>
      <c r="N236" s="394">
        <v>0</v>
      </c>
      <c r="O236" s="394">
        <v>32518.2</v>
      </c>
      <c r="P236" s="394">
        <v>67824.5</v>
      </c>
      <c r="Q236" s="394">
        <v>399.81</v>
      </c>
      <c r="R236" s="394">
        <v>32452.7</v>
      </c>
      <c r="S236" s="394">
        <v>201.1</v>
      </c>
      <c r="T236" s="394">
        <v>10</v>
      </c>
      <c r="U236" s="394">
        <v>2940</v>
      </c>
      <c r="V236" s="394"/>
      <c r="W236" s="394"/>
      <c r="X236" s="379">
        <v>287.07</v>
      </c>
      <c r="Y236" s="460">
        <f t="shared" si="10"/>
        <v>1496349.1500000001</v>
      </c>
      <c r="Z236" s="395">
        <v>27000</v>
      </c>
      <c r="AA236" s="395"/>
      <c r="AB236" s="395">
        <v>87115.35</v>
      </c>
      <c r="AC236" s="395"/>
      <c r="AD236" s="395">
        <v>41822.800000000003</v>
      </c>
      <c r="AE236" s="395">
        <v>21000</v>
      </c>
      <c r="AF236" s="395"/>
      <c r="AG236" s="395"/>
      <c r="AH236" s="395"/>
      <c r="AI236" s="395"/>
      <c r="AJ236" s="395"/>
      <c r="AK236" s="395"/>
      <c r="AL236" s="452"/>
      <c r="AM236" s="460">
        <f t="shared" si="11"/>
        <v>176938.15000000002</v>
      </c>
      <c r="AN236" s="395">
        <v>77</v>
      </c>
      <c r="AO236" s="398">
        <v>451</v>
      </c>
      <c r="AP236" s="455">
        <v>-10648.48</v>
      </c>
      <c r="AQ236" s="465"/>
      <c r="AR236" s="465">
        <v>-1741.16</v>
      </c>
      <c r="AS236" s="470">
        <v>1</v>
      </c>
      <c r="AT236" s="516"/>
      <c r="AU236" s="516"/>
      <c r="AV236" s="516"/>
      <c r="AW236" s="516"/>
      <c r="AX236" s="516"/>
      <c r="AY236" s="516"/>
      <c r="AZ236" s="523"/>
      <c r="BA236" s="523"/>
      <c r="BB236" s="523"/>
      <c r="BC236" s="523"/>
      <c r="BD236" s="523"/>
      <c r="BE236" s="523"/>
      <c r="BF236" s="523"/>
      <c r="BG236" s="523"/>
    </row>
    <row r="237" spans="1:59" x14ac:dyDescent="0.25">
      <c r="A237" s="338">
        <v>5788</v>
      </c>
      <c r="B237" s="485" t="s">
        <v>279</v>
      </c>
      <c r="C237" s="390">
        <v>949994.2</v>
      </c>
      <c r="D237" s="390">
        <v>116678.12</v>
      </c>
      <c r="E237" s="388"/>
      <c r="F237" s="390">
        <v>0</v>
      </c>
      <c r="G237" s="390">
        <v>1971.25</v>
      </c>
      <c r="H237" s="390">
        <v>558.9</v>
      </c>
      <c r="I237" s="390">
        <v>0</v>
      </c>
      <c r="J237" s="390">
        <v>21465.43</v>
      </c>
      <c r="K237" s="390">
        <v>4364</v>
      </c>
      <c r="L237" s="390">
        <v>86768.65</v>
      </c>
      <c r="M237" s="331">
        <f t="shared" si="9"/>
        <v>1181800.5499999996</v>
      </c>
      <c r="N237" s="394">
        <v>445.1</v>
      </c>
      <c r="O237" s="394">
        <v>0</v>
      </c>
      <c r="P237" s="394">
        <v>23527.65</v>
      </c>
      <c r="Q237" s="394">
        <v>5664.79</v>
      </c>
      <c r="R237" s="394">
        <v>49678</v>
      </c>
      <c r="S237" s="394">
        <v>75</v>
      </c>
      <c r="T237" s="394"/>
      <c r="U237" s="394">
        <v>1800</v>
      </c>
      <c r="V237" s="394"/>
      <c r="W237" s="394"/>
      <c r="X237" s="379">
        <v>303.48</v>
      </c>
      <c r="Y237" s="460">
        <f t="shared" si="10"/>
        <v>1263294.5699999996</v>
      </c>
      <c r="Z237" s="395">
        <v>725</v>
      </c>
      <c r="AA237" s="395"/>
      <c r="AB237" s="395">
        <v>50485.8</v>
      </c>
      <c r="AC237" s="395"/>
      <c r="AD237" s="395">
        <v>31772.9</v>
      </c>
      <c r="AE237" s="395"/>
      <c r="AF237" s="395"/>
      <c r="AG237" s="395"/>
      <c r="AH237" s="395"/>
      <c r="AI237" s="395"/>
      <c r="AJ237" s="395"/>
      <c r="AK237" s="395"/>
      <c r="AL237" s="452"/>
      <c r="AM237" s="460">
        <f t="shared" si="11"/>
        <v>82983.700000000012</v>
      </c>
      <c r="AN237" s="395">
        <v>71.5</v>
      </c>
      <c r="AO237" s="398">
        <v>389</v>
      </c>
      <c r="AP237" s="455">
        <v>-10265.540000000001</v>
      </c>
      <c r="AQ237" s="465"/>
      <c r="AR237" s="465">
        <v>-69.650000000000006</v>
      </c>
      <c r="AS237" s="470">
        <v>1.25</v>
      </c>
      <c r="AT237" s="516"/>
      <c r="AU237" s="516"/>
      <c r="AV237" s="516"/>
      <c r="AW237" s="516"/>
      <c r="AX237" s="516"/>
      <c r="AY237" s="516"/>
      <c r="AZ237" s="523"/>
      <c r="BA237" s="523"/>
      <c r="BB237" s="523"/>
      <c r="BC237" s="523"/>
      <c r="BD237" s="523"/>
      <c r="BE237" s="523"/>
      <c r="BF237" s="523"/>
      <c r="BG237" s="523"/>
    </row>
    <row r="238" spans="1:59" x14ac:dyDescent="0.25">
      <c r="A238" s="338">
        <v>5790</v>
      </c>
      <c r="B238" s="485" t="s">
        <v>280</v>
      </c>
      <c r="C238" s="390">
        <v>779342.54</v>
      </c>
      <c r="D238" s="390">
        <v>92962.16</v>
      </c>
      <c r="E238" s="388"/>
      <c r="F238" s="390">
        <v>0</v>
      </c>
      <c r="G238" s="390">
        <v>7423.25</v>
      </c>
      <c r="H238" s="390">
        <v>648.20000000000005</v>
      </c>
      <c r="I238" s="390">
        <v>0</v>
      </c>
      <c r="J238" s="390">
        <v>23539.63</v>
      </c>
      <c r="K238" s="390">
        <v>2948</v>
      </c>
      <c r="L238" s="390">
        <v>90812.25</v>
      </c>
      <c r="M238" s="331">
        <f t="shared" si="9"/>
        <v>997676.03</v>
      </c>
      <c r="N238" s="394">
        <v>8885.9</v>
      </c>
      <c r="O238" s="394">
        <v>0</v>
      </c>
      <c r="P238" s="394">
        <v>38445.15</v>
      </c>
      <c r="Q238" s="394">
        <v>0</v>
      </c>
      <c r="R238" s="394">
        <v>17586.650000000001</v>
      </c>
      <c r="S238" s="394"/>
      <c r="T238" s="394"/>
      <c r="U238" s="394">
        <v>4900</v>
      </c>
      <c r="V238" s="394"/>
      <c r="W238" s="394"/>
      <c r="X238" s="379">
        <v>968.15</v>
      </c>
      <c r="Y238" s="460">
        <f t="shared" si="10"/>
        <v>1068461.8799999999</v>
      </c>
      <c r="Z238" s="395"/>
      <c r="AA238" s="395"/>
      <c r="AB238" s="395">
        <v>69055.55</v>
      </c>
      <c r="AC238" s="395"/>
      <c r="AD238" s="395">
        <v>27425</v>
      </c>
      <c r="AE238" s="395"/>
      <c r="AF238" s="395"/>
      <c r="AG238" s="395"/>
      <c r="AH238" s="395"/>
      <c r="AI238" s="395"/>
      <c r="AJ238" s="395"/>
      <c r="AK238" s="395"/>
      <c r="AL238" s="452"/>
      <c r="AM238" s="460">
        <f t="shared" si="11"/>
        <v>96480.55</v>
      </c>
      <c r="AN238" s="395">
        <v>74.5</v>
      </c>
      <c r="AO238" s="398">
        <v>538</v>
      </c>
      <c r="AP238" s="455">
        <v>-91.98</v>
      </c>
      <c r="AQ238" s="465"/>
      <c r="AR238" s="465">
        <v>-394.87</v>
      </c>
      <c r="AS238" s="470">
        <v>1</v>
      </c>
      <c r="AT238" s="516"/>
      <c r="AU238" s="516"/>
      <c r="AV238" s="516"/>
      <c r="AW238" s="516"/>
      <c r="AX238" s="516"/>
      <c r="AY238" s="516"/>
      <c r="AZ238" s="523"/>
      <c r="BA238" s="523"/>
      <c r="BB238" s="523"/>
      <c r="BC238" s="523"/>
      <c r="BD238" s="523"/>
      <c r="BE238" s="523"/>
      <c r="BF238" s="523"/>
      <c r="BG238" s="523"/>
    </row>
    <row r="239" spans="1:59" x14ac:dyDescent="0.25">
      <c r="A239" s="338">
        <v>5792</v>
      </c>
      <c r="B239" s="485" t="s">
        <v>281</v>
      </c>
      <c r="C239" s="390">
        <v>1096366.48</v>
      </c>
      <c r="D239" s="390">
        <v>95741.17</v>
      </c>
      <c r="E239" s="388"/>
      <c r="F239" s="390">
        <v>0</v>
      </c>
      <c r="G239" s="390">
        <v>693.8</v>
      </c>
      <c r="H239" s="390">
        <v>2274.4</v>
      </c>
      <c r="I239" s="390">
        <v>0</v>
      </c>
      <c r="J239" s="390">
        <v>18841.11</v>
      </c>
      <c r="K239" s="390">
        <v>-1992</v>
      </c>
      <c r="L239" s="390">
        <v>118656.4</v>
      </c>
      <c r="M239" s="331">
        <f t="shared" si="9"/>
        <v>1330581.3599999999</v>
      </c>
      <c r="N239" s="394">
        <v>116.15</v>
      </c>
      <c r="O239" s="394">
        <v>7826.8</v>
      </c>
      <c r="P239" s="394">
        <v>52272</v>
      </c>
      <c r="Q239" s="394">
        <v>1084.8900000000001</v>
      </c>
      <c r="R239" s="394">
        <v>51778.25</v>
      </c>
      <c r="S239" s="394"/>
      <c r="T239" s="394"/>
      <c r="U239" s="394">
        <v>4270</v>
      </c>
      <c r="V239" s="394"/>
      <c r="W239" s="394"/>
      <c r="X239" s="379">
        <v>356.03</v>
      </c>
      <c r="Y239" s="460">
        <f t="shared" si="10"/>
        <v>1448285.4799999997</v>
      </c>
      <c r="Z239" s="395">
        <v>646.4</v>
      </c>
      <c r="AA239" s="395"/>
      <c r="AB239" s="395">
        <v>84872.9</v>
      </c>
      <c r="AC239" s="395"/>
      <c r="AD239" s="395">
        <v>38520</v>
      </c>
      <c r="AE239" s="395">
        <v>855</v>
      </c>
      <c r="AF239" s="395"/>
      <c r="AG239" s="395"/>
      <c r="AH239" s="395"/>
      <c r="AI239" s="395">
        <v>6700</v>
      </c>
      <c r="AJ239" s="395"/>
      <c r="AK239" s="395"/>
      <c r="AL239" s="452"/>
      <c r="AM239" s="460">
        <f t="shared" si="11"/>
        <v>131594.29999999999</v>
      </c>
      <c r="AN239" s="395">
        <v>75</v>
      </c>
      <c r="AO239" s="398">
        <v>653</v>
      </c>
      <c r="AP239" s="455">
        <v>-11325.64</v>
      </c>
      <c r="AQ239" s="465"/>
      <c r="AR239" s="465">
        <v>-4.33</v>
      </c>
      <c r="AS239" s="470">
        <v>1</v>
      </c>
      <c r="AT239" s="516"/>
      <c r="AU239" s="516"/>
      <c r="AV239" s="516"/>
      <c r="AW239" s="516"/>
      <c r="AX239" s="516"/>
      <c r="AY239" s="516"/>
      <c r="AZ239" s="523"/>
      <c r="BA239" s="523"/>
      <c r="BB239" s="523"/>
      <c r="BC239" s="523"/>
      <c r="BD239" s="523"/>
      <c r="BE239" s="523"/>
      <c r="BF239" s="523"/>
      <c r="BG239" s="523"/>
    </row>
    <row r="240" spans="1:59" x14ac:dyDescent="0.25">
      <c r="A240" s="338">
        <v>5798</v>
      </c>
      <c r="B240" s="485" t="s">
        <v>282</v>
      </c>
      <c r="C240" s="390">
        <v>980135.85</v>
      </c>
      <c r="D240" s="390">
        <v>134403.87</v>
      </c>
      <c r="E240" s="388"/>
      <c r="F240" s="390">
        <v>0</v>
      </c>
      <c r="G240" s="390">
        <v>9506.1</v>
      </c>
      <c r="H240" s="390">
        <v>1528.15</v>
      </c>
      <c r="I240" s="390">
        <v>0</v>
      </c>
      <c r="J240" s="390">
        <v>21076.43</v>
      </c>
      <c r="K240" s="390">
        <v>6288.25</v>
      </c>
      <c r="L240" s="390">
        <v>40243.65</v>
      </c>
      <c r="M240" s="331">
        <f t="shared" si="9"/>
        <v>1193182.2999999998</v>
      </c>
      <c r="N240" s="394">
        <v>21843.25</v>
      </c>
      <c r="O240" s="394">
        <v>15707.6</v>
      </c>
      <c r="P240" s="394">
        <v>42477.9</v>
      </c>
      <c r="Q240" s="394">
        <v>791.08</v>
      </c>
      <c r="R240" s="394">
        <v>10790.15</v>
      </c>
      <c r="S240" s="394"/>
      <c r="T240" s="394">
        <v>97.25</v>
      </c>
      <c r="U240" s="394">
        <v>2970</v>
      </c>
      <c r="V240" s="394"/>
      <c r="W240" s="394"/>
      <c r="X240" s="379">
        <v>1323.52</v>
      </c>
      <c r="Y240" s="460">
        <f t="shared" si="10"/>
        <v>1289183.0499999998</v>
      </c>
      <c r="Z240" s="395">
        <v>79640</v>
      </c>
      <c r="AA240" s="395"/>
      <c r="AB240" s="395">
        <v>56397</v>
      </c>
      <c r="AC240" s="395"/>
      <c r="AD240" s="395">
        <v>33233.550000000003</v>
      </c>
      <c r="AE240" s="395">
        <v>70278</v>
      </c>
      <c r="AF240" s="395"/>
      <c r="AG240" s="395"/>
      <c r="AH240" s="395"/>
      <c r="AI240" s="395"/>
      <c r="AJ240" s="395"/>
      <c r="AK240" s="395"/>
      <c r="AL240" s="452"/>
      <c r="AM240" s="460">
        <f t="shared" si="11"/>
        <v>239548.55</v>
      </c>
      <c r="AN240" s="395">
        <v>77.5</v>
      </c>
      <c r="AO240" s="398">
        <v>528</v>
      </c>
      <c r="AP240" s="455">
        <v>-14050.28</v>
      </c>
      <c r="AQ240" s="465"/>
      <c r="AR240" s="465">
        <v>-77.489999999999995</v>
      </c>
      <c r="AS240" s="470">
        <v>0.5</v>
      </c>
      <c r="AT240" s="516"/>
      <c r="AU240" s="516"/>
      <c r="AV240" s="516"/>
      <c r="AW240" s="516"/>
      <c r="AX240" s="516"/>
      <c r="AY240" s="516"/>
      <c r="AZ240" s="523"/>
      <c r="BA240" s="523"/>
      <c r="BB240" s="523"/>
      <c r="BC240" s="523"/>
      <c r="BD240" s="523"/>
      <c r="BE240" s="523"/>
      <c r="BF240" s="523"/>
      <c r="BG240" s="523"/>
    </row>
    <row r="241" spans="1:59" x14ac:dyDescent="0.25">
      <c r="A241" s="338">
        <v>5799</v>
      </c>
      <c r="B241" s="485" t="s">
        <v>283</v>
      </c>
      <c r="C241" s="390">
        <v>3795368.05</v>
      </c>
      <c r="D241" s="390">
        <v>513167.28</v>
      </c>
      <c r="E241" s="388"/>
      <c r="F241" s="390">
        <v>0</v>
      </c>
      <c r="G241" s="390">
        <v>23065.65</v>
      </c>
      <c r="H241" s="390">
        <v>2587.4</v>
      </c>
      <c r="I241" s="390">
        <v>0</v>
      </c>
      <c r="J241" s="390">
        <v>61021.97</v>
      </c>
      <c r="K241" s="390">
        <v>20849.349999999999</v>
      </c>
      <c r="L241" s="390">
        <v>395030.85</v>
      </c>
      <c r="M241" s="331">
        <f t="shared" si="9"/>
        <v>4811090.55</v>
      </c>
      <c r="N241" s="394">
        <v>26847.85</v>
      </c>
      <c r="O241" s="394">
        <v>39892.699999999997</v>
      </c>
      <c r="P241" s="394">
        <v>284271.75</v>
      </c>
      <c r="Q241" s="394">
        <v>11812.31</v>
      </c>
      <c r="R241" s="394">
        <v>250111.05</v>
      </c>
      <c r="S241" s="394"/>
      <c r="T241" s="394"/>
      <c r="U241" s="394">
        <v>9600</v>
      </c>
      <c r="V241" s="394">
        <v>26017.25</v>
      </c>
      <c r="W241" s="394"/>
      <c r="X241" s="379">
        <v>3077</v>
      </c>
      <c r="Y241" s="460">
        <f t="shared" si="10"/>
        <v>5462720.459999999</v>
      </c>
      <c r="Z241" s="395">
        <v>39794.800000000003</v>
      </c>
      <c r="AA241" s="395"/>
      <c r="AB241" s="395">
        <v>395843.5</v>
      </c>
      <c r="AC241" s="395"/>
      <c r="AD241" s="395">
        <v>231853.15</v>
      </c>
      <c r="AE241" s="395"/>
      <c r="AF241" s="395"/>
      <c r="AG241" s="395"/>
      <c r="AH241" s="395"/>
      <c r="AI241" s="395">
        <v>57816.05</v>
      </c>
      <c r="AJ241" s="395"/>
      <c r="AK241" s="395"/>
      <c r="AL241" s="452"/>
      <c r="AM241" s="460">
        <f t="shared" si="11"/>
        <v>725307.5</v>
      </c>
      <c r="AN241" s="395">
        <v>69</v>
      </c>
      <c r="AO241" s="398">
        <v>2076</v>
      </c>
      <c r="AP241" s="455">
        <v>-37689.599999999999</v>
      </c>
      <c r="AQ241" s="465"/>
      <c r="AR241" s="465">
        <v>-571.88</v>
      </c>
      <c r="AS241" s="470">
        <v>1</v>
      </c>
      <c r="AT241" s="516"/>
      <c r="AU241" s="516"/>
      <c r="AV241" s="516"/>
      <c r="AW241" s="516"/>
      <c r="AX241" s="516"/>
      <c r="AY241" s="516"/>
      <c r="AZ241" s="523"/>
      <c r="BA241" s="523"/>
      <c r="BB241" s="523"/>
      <c r="BC241" s="523"/>
      <c r="BD241" s="523"/>
      <c r="BE241" s="523"/>
      <c r="BF241" s="523"/>
      <c r="BG241" s="523"/>
    </row>
    <row r="242" spans="1:59" x14ac:dyDescent="0.25">
      <c r="A242" s="338">
        <v>5803</v>
      </c>
      <c r="B242" s="485" t="s">
        <v>384</v>
      </c>
      <c r="C242" s="390">
        <v>1193997.79</v>
      </c>
      <c r="D242" s="390">
        <v>147057.65</v>
      </c>
      <c r="E242" s="388"/>
      <c r="F242" s="390">
        <v>0</v>
      </c>
      <c r="G242" s="390">
        <v>-2068</v>
      </c>
      <c r="H242" s="390">
        <v>580.29999999999995</v>
      </c>
      <c r="I242" s="390">
        <v>0</v>
      </c>
      <c r="J242" s="390">
        <v>26442.34</v>
      </c>
      <c r="K242" s="390">
        <v>0</v>
      </c>
      <c r="L242" s="390">
        <v>105284.85</v>
      </c>
      <c r="M242" s="331">
        <f t="shared" si="9"/>
        <v>1471294.9300000002</v>
      </c>
      <c r="N242" s="394">
        <v>959.9</v>
      </c>
      <c r="O242" s="394">
        <v>39814.300000000003</v>
      </c>
      <c r="P242" s="394">
        <v>12735.6</v>
      </c>
      <c r="Q242" s="394">
        <v>3726.78</v>
      </c>
      <c r="R242" s="394">
        <v>11322.85</v>
      </c>
      <c r="S242" s="394">
        <v>626.15</v>
      </c>
      <c r="T242" s="394"/>
      <c r="U242" s="394">
        <v>5300</v>
      </c>
      <c r="V242" s="394"/>
      <c r="W242" s="394"/>
      <c r="X242" s="379">
        <v>-178.44</v>
      </c>
      <c r="Y242" s="460">
        <f t="shared" si="10"/>
        <v>1545602.0700000003</v>
      </c>
      <c r="Z242" s="395">
        <v>1385</v>
      </c>
      <c r="AA242" s="395"/>
      <c r="AB242" s="395">
        <v>80704.800000000003</v>
      </c>
      <c r="AC242" s="395"/>
      <c r="AD242" s="395">
        <v>44960.9</v>
      </c>
      <c r="AE242" s="395">
        <v>9502.7000000000007</v>
      </c>
      <c r="AF242" s="395">
        <v>13625</v>
      </c>
      <c r="AG242" s="395"/>
      <c r="AH242" s="395"/>
      <c r="AI242" s="395"/>
      <c r="AJ242" s="395"/>
      <c r="AK242" s="395"/>
      <c r="AL242" s="452"/>
      <c r="AM242" s="460">
        <f t="shared" si="11"/>
        <v>150178.40000000002</v>
      </c>
      <c r="AN242" s="395">
        <v>76</v>
      </c>
      <c r="AO242" s="398">
        <v>624</v>
      </c>
      <c r="AP242" s="455">
        <v>-39936.660000000003</v>
      </c>
      <c r="AQ242" s="465"/>
      <c r="AR242" s="465">
        <v>-335.67</v>
      </c>
      <c r="AS242" s="470">
        <v>1</v>
      </c>
      <c r="AT242" s="516"/>
      <c r="AU242" s="516"/>
      <c r="AV242" s="516"/>
      <c r="AW242" s="516"/>
      <c r="AX242" s="516"/>
      <c r="AY242" s="516"/>
      <c r="AZ242" s="523"/>
      <c r="BA242" s="523"/>
      <c r="BB242" s="523"/>
      <c r="BC242" s="523"/>
      <c r="BD242" s="523"/>
      <c r="BE242" s="523"/>
      <c r="BF242" s="523"/>
      <c r="BG242" s="523"/>
    </row>
    <row r="243" spans="1:59" x14ac:dyDescent="0.25">
      <c r="A243" s="338">
        <v>5804</v>
      </c>
      <c r="B243" s="485" t="s">
        <v>431</v>
      </c>
      <c r="C243" s="390">
        <v>2607873.27</v>
      </c>
      <c r="D243" s="390">
        <v>401016.37</v>
      </c>
      <c r="E243" s="388"/>
      <c r="F243" s="390">
        <v>0</v>
      </c>
      <c r="G243" s="390">
        <v>54944.3</v>
      </c>
      <c r="H243" s="390">
        <v>1302.4000000000001</v>
      </c>
      <c r="I243" s="390">
        <v>0</v>
      </c>
      <c r="J243" s="390">
        <v>17046.580000000002</v>
      </c>
      <c r="K243" s="390">
        <v>3532.6</v>
      </c>
      <c r="L243" s="390">
        <v>270624.8</v>
      </c>
      <c r="M243" s="331">
        <f t="shared" si="9"/>
        <v>3356340.32</v>
      </c>
      <c r="N243" s="394">
        <v>8222.75</v>
      </c>
      <c r="O243" s="394">
        <v>117376.8</v>
      </c>
      <c r="P243" s="394">
        <v>158492.65</v>
      </c>
      <c r="Q243" s="394">
        <v>603.1</v>
      </c>
      <c r="R243" s="394">
        <v>116405.75</v>
      </c>
      <c r="S243" s="394">
        <v>1319.7</v>
      </c>
      <c r="T243" s="394"/>
      <c r="U243" s="394">
        <v>15450</v>
      </c>
      <c r="V243" s="394"/>
      <c r="W243" s="394"/>
      <c r="X243" s="379">
        <v>6746.62</v>
      </c>
      <c r="Y243" s="460">
        <f t="shared" si="10"/>
        <v>3780957.69</v>
      </c>
      <c r="Z243" s="395">
        <v>43699.8</v>
      </c>
      <c r="AA243" s="395"/>
      <c r="AB243" s="395">
        <v>279448.8</v>
      </c>
      <c r="AC243" s="395"/>
      <c r="AD243" s="395">
        <v>192131.25</v>
      </c>
      <c r="AE243" s="395">
        <v>31887.25</v>
      </c>
      <c r="AF243" s="395"/>
      <c r="AG243" s="395"/>
      <c r="AH243" s="395"/>
      <c r="AI243" s="395">
        <v>38592.6</v>
      </c>
      <c r="AJ243" s="395"/>
      <c r="AK243" s="395"/>
      <c r="AL243" s="452"/>
      <c r="AM243" s="460">
        <f t="shared" si="11"/>
        <v>585759.69999999995</v>
      </c>
      <c r="AN243" s="395">
        <v>70.5</v>
      </c>
      <c r="AO243" s="398">
        <v>1602</v>
      </c>
      <c r="AP243" s="455">
        <v>-71782.210000000006</v>
      </c>
      <c r="AQ243" s="465"/>
      <c r="AR243" s="465">
        <v>-60.84</v>
      </c>
      <c r="AS243" s="470">
        <v>1</v>
      </c>
      <c r="AT243" s="516"/>
      <c r="AU243" s="516"/>
      <c r="AV243" s="516"/>
      <c r="AW243" s="516"/>
      <c r="AX243" s="516"/>
      <c r="AY243" s="516"/>
      <c r="AZ243" s="523"/>
      <c r="BA243" s="523"/>
      <c r="BB243" s="523"/>
      <c r="BC243" s="523"/>
      <c r="BD243" s="523"/>
      <c r="BE243" s="523"/>
      <c r="BF243" s="523"/>
      <c r="BG243" s="523"/>
    </row>
    <row r="244" spans="1:59" x14ac:dyDescent="0.25">
      <c r="A244" s="338">
        <v>5805</v>
      </c>
      <c r="B244" s="485" t="s">
        <v>433</v>
      </c>
      <c r="C244" s="390">
        <v>8139400.0999999996</v>
      </c>
      <c r="D244" s="390">
        <v>910030.75</v>
      </c>
      <c r="E244" s="388"/>
      <c r="F244" s="390">
        <v>0</v>
      </c>
      <c r="G244" s="390">
        <v>551933.9</v>
      </c>
      <c r="H244" s="390">
        <v>59318.7</v>
      </c>
      <c r="I244" s="390">
        <v>0</v>
      </c>
      <c r="J244" s="390">
        <v>172989.54</v>
      </c>
      <c r="K244" s="390">
        <v>1707.05</v>
      </c>
      <c r="L244" s="390">
        <v>1034309.95</v>
      </c>
      <c r="M244" s="331">
        <f t="shared" si="9"/>
        <v>10869689.989999998</v>
      </c>
      <c r="N244" s="394">
        <v>124255.6</v>
      </c>
      <c r="O244" s="394">
        <v>147130.09</v>
      </c>
      <c r="P244" s="394">
        <v>305685.7</v>
      </c>
      <c r="Q244" s="394">
        <v>56114.74</v>
      </c>
      <c r="R244" s="394">
        <v>186201.7</v>
      </c>
      <c r="S244" s="394">
        <v>38191.550000000003</v>
      </c>
      <c r="T244" s="394"/>
      <c r="U244" s="394">
        <v>38830</v>
      </c>
      <c r="V244" s="394"/>
      <c r="W244" s="394">
        <v>450</v>
      </c>
      <c r="X244" s="379">
        <v>73317.84</v>
      </c>
      <c r="Y244" s="460">
        <f t="shared" si="10"/>
        <v>11839867.209999997</v>
      </c>
      <c r="Z244" s="395">
        <v>101547.35</v>
      </c>
      <c r="AA244" s="395"/>
      <c r="AB244" s="395">
        <v>837495.01</v>
      </c>
      <c r="AC244" s="395"/>
      <c r="AD244" s="395">
        <v>386306.85</v>
      </c>
      <c r="AE244" s="395">
        <v>79004.3</v>
      </c>
      <c r="AF244" s="395"/>
      <c r="AG244" s="395"/>
      <c r="AH244" s="395"/>
      <c r="AI244" s="395"/>
      <c r="AJ244" s="395">
        <v>160267.25</v>
      </c>
      <c r="AK244" s="395"/>
      <c r="AL244" s="452"/>
      <c r="AM244" s="460">
        <f t="shared" si="11"/>
        <v>1564620.76</v>
      </c>
      <c r="AN244" s="395">
        <v>69</v>
      </c>
      <c r="AO244" s="398">
        <v>5663</v>
      </c>
      <c r="AP244" s="455">
        <v>-218205.85</v>
      </c>
      <c r="AQ244" s="465"/>
      <c r="AR244" s="465">
        <v>-10693.07</v>
      </c>
      <c r="AS244" s="470">
        <v>1.1000000000000001</v>
      </c>
      <c r="AT244" s="516"/>
      <c r="AU244" s="516"/>
      <c r="AV244" s="516"/>
      <c r="AW244" s="516"/>
      <c r="AX244" s="516"/>
      <c r="AY244" s="516"/>
      <c r="AZ244" s="523"/>
      <c r="BA244" s="523"/>
      <c r="BB244" s="523"/>
      <c r="BC244" s="523"/>
      <c r="BD244" s="523"/>
      <c r="BE244" s="523"/>
      <c r="BF244" s="523"/>
      <c r="BG244" s="523"/>
    </row>
    <row r="245" spans="1:59" x14ac:dyDescent="0.25">
      <c r="A245" s="338">
        <v>5806</v>
      </c>
      <c r="B245" s="485" t="s">
        <v>515</v>
      </c>
      <c r="C245" s="390">
        <v>5324987.9800000004</v>
      </c>
      <c r="D245" s="390">
        <v>563139.16</v>
      </c>
      <c r="E245" s="388"/>
      <c r="F245" s="390">
        <v>0</v>
      </c>
      <c r="G245" s="390">
        <v>90461.85</v>
      </c>
      <c r="H245" s="390">
        <v>9574.4500000000007</v>
      </c>
      <c r="I245" s="390">
        <v>53124.25</v>
      </c>
      <c r="J245" s="390">
        <v>61110.42</v>
      </c>
      <c r="K245" s="390">
        <v>16744.75</v>
      </c>
      <c r="L245" s="390">
        <v>521911.25</v>
      </c>
      <c r="M245" s="331">
        <f t="shared" si="9"/>
        <v>6641054.1100000003</v>
      </c>
      <c r="N245" s="394">
        <v>30186.6</v>
      </c>
      <c r="O245" s="394">
        <v>99419.199999999997</v>
      </c>
      <c r="P245" s="394">
        <v>230887.7</v>
      </c>
      <c r="Q245" s="394">
        <v>26120.86</v>
      </c>
      <c r="R245" s="394">
        <v>197024.7</v>
      </c>
      <c r="S245" s="394"/>
      <c r="T245" s="394"/>
      <c r="U245" s="394">
        <v>12660</v>
      </c>
      <c r="V245" s="394"/>
      <c r="W245" s="394"/>
      <c r="X245" s="379">
        <v>11999.04</v>
      </c>
      <c r="Y245" s="460">
        <f t="shared" si="10"/>
        <v>7249352.2100000009</v>
      </c>
      <c r="Z245" s="395">
        <v>231890</v>
      </c>
      <c r="AA245" s="395"/>
      <c r="AB245" s="395">
        <v>581998.85</v>
      </c>
      <c r="AC245" s="395"/>
      <c r="AD245" s="395">
        <v>322671.68</v>
      </c>
      <c r="AE245" s="395">
        <v>142824</v>
      </c>
      <c r="AF245" s="395"/>
      <c r="AG245" s="395"/>
      <c r="AH245" s="395">
        <v>4025.5</v>
      </c>
      <c r="AI245" s="395"/>
      <c r="AJ245" s="395"/>
      <c r="AK245" s="395"/>
      <c r="AL245" s="452"/>
      <c r="AM245" s="460">
        <f t="shared" si="11"/>
        <v>1283410.03</v>
      </c>
      <c r="AN245" s="395">
        <v>73</v>
      </c>
      <c r="AO245" s="398">
        <v>2966</v>
      </c>
      <c r="AP245" s="455">
        <v>-28820.5</v>
      </c>
      <c r="AQ245" s="465"/>
      <c r="AR245" s="465">
        <v>-2223.91</v>
      </c>
      <c r="AS245" s="470">
        <v>1</v>
      </c>
      <c r="AT245" s="516"/>
      <c r="AU245" s="516"/>
      <c r="AV245" s="516"/>
      <c r="AW245" s="516"/>
      <c r="AX245" s="516"/>
      <c r="AY245" s="516"/>
      <c r="AZ245" s="523"/>
      <c r="BA245" s="523"/>
      <c r="BB245" s="523"/>
      <c r="BC245" s="523"/>
      <c r="BD245" s="523"/>
      <c r="BE245" s="523"/>
      <c r="BF245" s="523"/>
      <c r="BG245" s="523"/>
    </row>
    <row r="246" spans="1:59" x14ac:dyDescent="0.25">
      <c r="A246" s="338">
        <v>5812</v>
      </c>
      <c r="B246" s="485" t="s">
        <v>385</v>
      </c>
      <c r="C246" s="390">
        <v>150659.70000000001</v>
      </c>
      <c r="D246" s="390">
        <v>31222.799999999999</v>
      </c>
      <c r="E246" s="388"/>
      <c r="F246" s="390">
        <v>0</v>
      </c>
      <c r="G246" s="390">
        <v>-4529.45</v>
      </c>
      <c r="H246" s="390">
        <v>693.7</v>
      </c>
      <c r="I246" s="390">
        <v>0</v>
      </c>
      <c r="J246" s="390">
        <v>0</v>
      </c>
      <c r="K246" s="390">
        <v>637.5</v>
      </c>
      <c r="L246" s="390">
        <v>15827.8</v>
      </c>
      <c r="M246" s="331">
        <f t="shared" si="9"/>
        <v>194512.05</v>
      </c>
      <c r="N246" s="394">
        <v>0</v>
      </c>
      <c r="O246" s="394">
        <v>1716.7</v>
      </c>
      <c r="P246" s="394">
        <v>9223.0499999999993</v>
      </c>
      <c r="Q246" s="394">
        <v>0</v>
      </c>
      <c r="R246" s="394">
        <v>15795.2</v>
      </c>
      <c r="S246" s="394"/>
      <c r="T246" s="394"/>
      <c r="U246" s="394">
        <v>500</v>
      </c>
      <c r="V246" s="394"/>
      <c r="W246" s="394"/>
      <c r="X246" s="379">
        <v>-460.09</v>
      </c>
      <c r="Y246" s="460">
        <f t="shared" si="10"/>
        <v>221286.91</v>
      </c>
      <c r="Z246" s="395">
        <v>4997</v>
      </c>
      <c r="AA246" s="395"/>
      <c r="AB246" s="395">
        <v>11509.45</v>
      </c>
      <c r="AC246" s="395"/>
      <c r="AD246" s="395">
        <v>6470.65</v>
      </c>
      <c r="AE246" s="395">
        <v>5000</v>
      </c>
      <c r="AF246" s="395"/>
      <c r="AG246" s="395"/>
      <c r="AH246" s="395"/>
      <c r="AI246" s="395">
        <v>3677.15</v>
      </c>
      <c r="AJ246" s="395"/>
      <c r="AK246" s="395"/>
      <c r="AL246" s="452"/>
      <c r="AM246" s="460">
        <f t="shared" si="11"/>
        <v>31654.25</v>
      </c>
      <c r="AN246" s="395">
        <v>77</v>
      </c>
      <c r="AO246" s="398">
        <v>144</v>
      </c>
      <c r="AP246" s="455">
        <v>-5185.42</v>
      </c>
      <c r="AQ246" s="465"/>
      <c r="AR246" s="465">
        <v>-82.27</v>
      </c>
      <c r="AS246" s="470">
        <v>0.8</v>
      </c>
      <c r="AT246" s="516"/>
      <c r="AU246" s="516"/>
      <c r="AV246" s="516"/>
      <c r="AW246" s="516"/>
      <c r="AX246" s="516"/>
      <c r="AY246" s="516"/>
      <c r="AZ246" s="523"/>
      <c r="BA246" s="523"/>
      <c r="BB246" s="523"/>
      <c r="BC246" s="523"/>
      <c r="BD246" s="523"/>
      <c r="BE246" s="523"/>
      <c r="BF246" s="523"/>
      <c r="BG246" s="523"/>
    </row>
    <row r="247" spans="1:59" x14ac:dyDescent="0.25">
      <c r="A247" s="338">
        <v>5813</v>
      </c>
      <c r="B247" s="485" t="s">
        <v>386</v>
      </c>
      <c r="C247" s="390">
        <v>814631.96</v>
      </c>
      <c r="D247" s="390">
        <v>104000.15</v>
      </c>
      <c r="E247" s="388"/>
      <c r="F247" s="390">
        <v>3140</v>
      </c>
      <c r="G247" s="390">
        <v>20282.599999999999</v>
      </c>
      <c r="H247" s="390">
        <v>386.35</v>
      </c>
      <c r="I247" s="390">
        <v>0</v>
      </c>
      <c r="J247" s="390">
        <v>19887.509999999998</v>
      </c>
      <c r="K247" s="390">
        <v>0</v>
      </c>
      <c r="L247" s="390">
        <v>111751.8</v>
      </c>
      <c r="M247" s="331">
        <f t="shared" si="9"/>
        <v>1074080.3699999999</v>
      </c>
      <c r="N247" s="394">
        <v>0</v>
      </c>
      <c r="O247" s="394">
        <v>0</v>
      </c>
      <c r="P247" s="394">
        <v>31951.200000000001</v>
      </c>
      <c r="Q247" s="394">
        <v>0</v>
      </c>
      <c r="R247" s="394">
        <v>21245.65</v>
      </c>
      <c r="S247" s="394"/>
      <c r="T247" s="394">
        <v>1041.75</v>
      </c>
      <c r="U247" s="394">
        <v>5800</v>
      </c>
      <c r="V247" s="394"/>
      <c r="W247" s="394"/>
      <c r="X247" s="379">
        <v>2479.1799999999998</v>
      </c>
      <c r="Y247" s="460">
        <f t="shared" si="10"/>
        <v>1136598.1499999997</v>
      </c>
      <c r="Z247" s="395">
        <v>554.79999999999995</v>
      </c>
      <c r="AA247" s="395"/>
      <c r="AB247" s="395">
        <v>53336</v>
      </c>
      <c r="AC247" s="395"/>
      <c r="AD247" s="395">
        <v>56539.5</v>
      </c>
      <c r="AE247" s="395">
        <v>3676.32</v>
      </c>
      <c r="AF247" s="395"/>
      <c r="AG247" s="395"/>
      <c r="AH247" s="395">
        <v>82524</v>
      </c>
      <c r="AI247" s="395"/>
      <c r="AJ247" s="395">
        <v>20692.599999999999</v>
      </c>
      <c r="AK247" s="395"/>
      <c r="AL247" s="452"/>
      <c r="AM247" s="460">
        <f t="shared" si="11"/>
        <v>217323.22</v>
      </c>
      <c r="AN247" s="395">
        <v>68.5</v>
      </c>
      <c r="AO247" s="398">
        <v>495</v>
      </c>
      <c r="AP247" s="455">
        <v>-18087.39</v>
      </c>
      <c r="AQ247" s="465"/>
      <c r="AR247" s="465">
        <v>-32.130000000000003</v>
      </c>
      <c r="AS247" s="470">
        <v>1.2</v>
      </c>
      <c r="AT247" s="516"/>
      <c r="AU247" s="516"/>
      <c r="AV247" s="516"/>
      <c r="AW247" s="516"/>
      <c r="AX247" s="516"/>
      <c r="AY247" s="516"/>
      <c r="AZ247" s="523"/>
      <c r="BA247" s="523"/>
      <c r="BB247" s="523"/>
      <c r="BC247" s="523"/>
      <c r="BD247" s="523"/>
      <c r="BE247" s="523"/>
      <c r="BF247" s="523"/>
      <c r="BG247" s="523"/>
    </row>
    <row r="248" spans="1:59" x14ac:dyDescent="0.25">
      <c r="A248" s="338">
        <v>5816</v>
      </c>
      <c r="B248" s="485" t="s">
        <v>6</v>
      </c>
      <c r="C248" s="390">
        <v>3187254.37</v>
      </c>
      <c r="D248" s="390">
        <v>322933.43</v>
      </c>
      <c r="E248" s="388"/>
      <c r="F248" s="390">
        <v>0</v>
      </c>
      <c r="G248" s="390">
        <v>81218.5</v>
      </c>
      <c r="H248" s="390">
        <v>27613.7</v>
      </c>
      <c r="I248" s="390">
        <v>0</v>
      </c>
      <c r="J248" s="390">
        <v>141840.5</v>
      </c>
      <c r="K248" s="390">
        <v>35251</v>
      </c>
      <c r="L248" s="390">
        <v>266096.55</v>
      </c>
      <c r="M248" s="331">
        <f t="shared" si="9"/>
        <v>4062208.0500000003</v>
      </c>
      <c r="N248" s="394">
        <v>21017.599999999999</v>
      </c>
      <c r="O248" s="394">
        <v>1729.1</v>
      </c>
      <c r="P248" s="394">
        <v>274976.25</v>
      </c>
      <c r="Q248" s="394">
        <v>60788.11</v>
      </c>
      <c r="R248" s="394">
        <v>66491.5</v>
      </c>
      <c r="S248" s="394">
        <v>850</v>
      </c>
      <c r="T248" s="394">
        <v>1490</v>
      </c>
      <c r="U248" s="394">
        <v>8850</v>
      </c>
      <c r="V248" s="394"/>
      <c r="W248" s="394"/>
      <c r="X248" s="379">
        <v>13054.08</v>
      </c>
      <c r="Y248" s="460">
        <f t="shared" si="10"/>
        <v>4511454.6900000004</v>
      </c>
      <c r="Z248" s="395">
        <v>38801.599999999999</v>
      </c>
      <c r="AA248" s="395"/>
      <c r="AB248" s="395">
        <v>490320.95</v>
      </c>
      <c r="AC248" s="395"/>
      <c r="AD248" s="395">
        <v>232783.35999999999</v>
      </c>
      <c r="AE248" s="395">
        <v>23253.25</v>
      </c>
      <c r="AF248" s="395"/>
      <c r="AG248" s="395"/>
      <c r="AH248" s="395"/>
      <c r="AI248" s="395"/>
      <c r="AJ248" s="395"/>
      <c r="AK248" s="395"/>
      <c r="AL248" s="452"/>
      <c r="AM248" s="460">
        <f t="shared" si="11"/>
        <v>785159.16</v>
      </c>
      <c r="AN248" s="395">
        <v>68.5</v>
      </c>
      <c r="AO248" s="398">
        <v>2681</v>
      </c>
      <c r="AP248" s="455">
        <v>-103745.94</v>
      </c>
      <c r="AQ248" s="465"/>
      <c r="AR248" s="465">
        <v>-109.39</v>
      </c>
      <c r="AS248" s="470">
        <v>0.7</v>
      </c>
      <c r="AT248" s="516"/>
      <c r="AU248" s="516"/>
      <c r="AV248" s="516"/>
      <c r="AW248" s="516"/>
      <c r="AX248" s="516"/>
      <c r="AY248" s="516"/>
      <c r="AZ248" s="523"/>
      <c r="BA248" s="523"/>
      <c r="BB248" s="523"/>
      <c r="BC248" s="523"/>
      <c r="BD248" s="523"/>
      <c r="BE248" s="523"/>
      <c r="BF248" s="523"/>
      <c r="BG248" s="523"/>
    </row>
    <row r="249" spans="1:59" x14ac:dyDescent="0.25">
      <c r="A249" s="338">
        <v>5817</v>
      </c>
      <c r="B249" s="485" t="s">
        <v>7</v>
      </c>
      <c r="C249" s="390">
        <v>1317629.3700000001</v>
      </c>
      <c r="D249" s="390">
        <v>140626.59</v>
      </c>
      <c r="E249" s="388"/>
      <c r="F249" s="390">
        <v>5550</v>
      </c>
      <c r="G249" s="390">
        <v>7545.75</v>
      </c>
      <c r="H249" s="390">
        <v>922.75</v>
      </c>
      <c r="I249" s="390">
        <v>0</v>
      </c>
      <c r="J249" s="390">
        <v>28493.41</v>
      </c>
      <c r="K249" s="390">
        <v>4565.45</v>
      </c>
      <c r="L249" s="390">
        <v>130590.9</v>
      </c>
      <c r="M249" s="331">
        <f t="shared" si="9"/>
        <v>1635924.22</v>
      </c>
      <c r="N249" s="394">
        <v>597.70000000000005</v>
      </c>
      <c r="O249" s="394">
        <v>0</v>
      </c>
      <c r="P249" s="394">
        <v>42402.65</v>
      </c>
      <c r="Q249" s="394">
        <v>0</v>
      </c>
      <c r="R249" s="394">
        <v>11832.55</v>
      </c>
      <c r="S249" s="394"/>
      <c r="T249" s="394">
        <v>776.65</v>
      </c>
      <c r="U249" s="394">
        <v>4375</v>
      </c>
      <c r="V249" s="394"/>
      <c r="W249" s="394"/>
      <c r="X249" s="379">
        <v>1015.77</v>
      </c>
      <c r="Y249" s="460">
        <f t="shared" si="10"/>
        <v>1696924.5399999998</v>
      </c>
      <c r="Z249" s="395">
        <v>16713.150000000001</v>
      </c>
      <c r="AA249" s="395"/>
      <c r="AB249" s="395">
        <v>281893.84999999998</v>
      </c>
      <c r="AC249" s="395"/>
      <c r="AD249" s="395">
        <v>33093.75</v>
      </c>
      <c r="AE249" s="395">
        <v>5203</v>
      </c>
      <c r="AF249" s="395"/>
      <c r="AG249" s="395"/>
      <c r="AH249" s="395"/>
      <c r="AI249" s="395">
        <v>26408.85</v>
      </c>
      <c r="AJ249" s="395"/>
      <c r="AK249" s="395"/>
      <c r="AL249" s="452"/>
      <c r="AM249" s="460">
        <f t="shared" si="11"/>
        <v>363312.6</v>
      </c>
      <c r="AN249" s="395">
        <v>73.5</v>
      </c>
      <c r="AO249" s="398">
        <v>967</v>
      </c>
      <c r="AP249" s="455">
        <v>-30557.05</v>
      </c>
      <c r="AQ249" s="465"/>
      <c r="AR249" s="465">
        <v>-58.94</v>
      </c>
      <c r="AS249" s="470">
        <v>1</v>
      </c>
      <c r="AT249" s="516"/>
      <c r="AU249" s="516"/>
      <c r="AV249" s="516"/>
      <c r="AW249" s="516"/>
      <c r="AX249" s="516"/>
      <c r="AY249" s="516"/>
      <c r="AZ249" s="523"/>
      <c r="BA249" s="523"/>
      <c r="BB249" s="523"/>
      <c r="BC249" s="523"/>
      <c r="BD249" s="523"/>
      <c r="BE249" s="523"/>
      <c r="BF249" s="523"/>
      <c r="BG249" s="523"/>
    </row>
    <row r="250" spans="1:59" x14ac:dyDescent="0.25">
      <c r="A250" s="338">
        <v>5819</v>
      </c>
      <c r="B250" s="485" t="s">
        <v>8</v>
      </c>
      <c r="C250" s="390">
        <v>528859</v>
      </c>
      <c r="D250" s="390">
        <v>176748.12</v>
      </c>
      <c r="E250" s="388"/>
      <c r="F250" s="390">
        <v>0</v>
      </c>
      <c r="G250" s="390">
        <v>82194</v>
      </c>
      <c r="H250" s="390">
        <v>-958</v>
      </c>
      <c r="I250" s="390">
        <v>0</v>
      </c>
      <c r="J250" s="390">
        <v>11764.43</v>
      </c>
      <c r="K250" s="390">
        <v>2047.3</v>
      </c>
      <c r="L250" s="390">
        <v>84289.25</v>
      </c>
      <c r="M250" s="331">
        <f t="shared" si="9"/>
        <v>884944.10000000009</v>
      </c>
      <c r="N250" s="394">
        <v>4251.7</v>
      </c>
      <c r="O250" s="394">
        <v>-57.25</v>
      </c>
      <c r="P250" s="394">
        <v>39219.949999999997</v>
      </c>
      <c r="Q250" s="394">
        <v>7342.54</v>
      </c>
      <c r="R250" s="394">
        <v>0</v>
      </c>
      <c r="S250" s="394"/>
      <c r="T250" s="394"/>
      <c r="U250" s="394">
        <v>850</v>
      </c>
      <c r="V250" s="394"/>
      <c r="W250" s="394"/>
      <c r="X250" s="379">
        <v>9744.01</v>
      </c>
      <c r="Y250" s="460">
        <f t="shared" si="10"/>
        <v>946295.05</v>
      </c>
      <c r="Z250" s="395"/>
      <c r="AA250" s="395"/>
      <c r="AB250" s="395">
        <v>63884.5</v>
      </c>
      <c r="AC250" s="395"/>
      <c r="AD250" s="395">
        <v>35650.35</v>
      </c>
      <c r="AE250" s="395"/>
      <c r="AF250" s="395">
        <v>850</v>
      </c>
      <c r="AG250" s="395"/>
      <c r="AH250" s="395"/>
      <c r="AI250" s="395">
        <v>75060.149999999994</v>
      </c>
      <c r="AJ250" s="395"/>
      <c r="AK250" s="395"/>
      <c r="AL250" s="452"/>
      <c r="AM250" s="460">
        <f t="shared" si="11"/>
        <v>175445</v>
      </c>
      <c r="AN250" s="395">
        <v>69</v>
      </c>
      <c r="AO250" s="398">
        <v>396</v>
      </c>
      <c r="AP250" s="455">
        <v>-110582.45</v>
      </c>
      <c r="AQ250" s="465"/>
      <c r="AR250" s="465">
        <v>-141.16999999999999</v>
      </c>
      <c r="AS250" s="470">
        <v>1</v>
      </c>
      <c r="AT250" s="516"/>
      <c r="AU250" s="516"/>
      <c r="AV250" s="516"/>
      <c r="AW250" s="516"/>
      <c r="AX250" s="516"/>
      <c r="AY250" s="516"/>
      <c r="AZ250" s="523"/>
      <c r="BA250" s="523"/>
      <c r="BB250" s="523"/>
      <c r="BC250" s="523"/>
      <c r="BD250" s="523"/>
      <c r="BE250" s="523"/>
      <c r="BF250" s="523"/>
      <c r="BG250" s="523"/>
    </row>
    <row r="251" spans="1:59" x14ac:dyDescent="0.25">
      <c r="A251" s="338">
        <v>5821</v>
      </c>
      <c r="B251" s="485" t="s">
        <v>9</v>
      </c>
      <c r="C251" s="390">
        <v>490051.39</v>
      </c>
      <c r="D251" s="390">
        <v>58055.65</v>
      </c>
      <c r="E251" s="388"/>
      <c r="F251" s="390">
        <v>0</v>
      </c>
      <c r="G251" s="390">
        <v>3495.65</v>
      </c>
      <c r="H251" s="390">
        <v>406.55</v>
      </c>
      <c r="I251" s="390">
        <v>0</v>
      </c>
      <c r="J251" s="390">
        <v>14087.59</v>
      </c>
      <c r="K251" s="390">
        <v>1305</v>
      </c>
      <c r="L251" s="390">
        <v>51709.8</v>
      </c>
      <c r="M251" s="331">
        <f t="shared" si="9"/>
        <v>619111.63000000012</v>
      </c>
      <c r="N251" s="394">
        <v>0</v>
      </c>
      <c r="O251" s="394">
        <v>0</v>
      </c>
      <c r="P251" s="394">
        <v>25626.400000000001</v>
      </c>
      <c r="Q251" s="394">
        <v>290.04000000000002</v>
      </c>
      <c r="R251" s="394">
        <v>6413.9</v>
      </c>
      <c r="S251" s="394"/>
      <c r="T251" s="394"/>
      <c r="U251" s="394">
        <v>2100</v>
      </c>
      <c r="V251" s="394"/>
      <c r="W251" s="394"/>
      <c r="X251" s="379">
        <v>468.06</v>
      </c>
      <c r="Y251" s="460">
        <f t="shared" si="10"/>
        <v>654010.03000000026</v>
      </c>
      <c r="Z251" s="395"/>
      <c r="AA251" s="395"/>
      <c r="AB251" s="395">
        <v>49939.35</v>
      </c>
      <c r="AC251" s="395"/>
      <c r="AD251" s="395">
        <v>14486.2</v>
      </c>
      <c r="AE251" s="395"/>
      <c r="AF251" s="395"/>
      <c r="AG251" s="395"/>
      <c r="AH251" s="395"/>
      <c r="AI251" s="395">
        <v>8777.4</v>
      </c>
      <c r="AJ251" s="395"/>
      <c r="AK251" s="395">
        <v>97.4</v>
      </c>
      <c r="AL251" s="452"/>
      <c r="AM251" s="460">
        <f t="shared" si="11"/>
        <v>73300.349999999991</v>
      </c>
      <c r="AN251" s="395">
        <v>72</v>
      </c>
      <c r="AO251" s="398">
        <v>368</v>
      </c>
      <c r="AP251" s="455">
        <v>-53017.08</v>
      </c>
      <c r="AQ251" s="465"/>
      <c r="AR251" s="465">
        <v>-15.82</v>
      </c>
      <c r="AS251" s="470">
        <v>1</v>
      </c>
      <c r="AT251" s="516"/>
      <c r="AU251" s="516"/>
      <c r="AV251" s="516"/>
      <c r="AW251" s="516"/>
      <c r="AX251" s="516"/>
      <c r="AY251" s="516"/>
      <c r="AZ251" s="523"/>
      <c r="BA251" s="523"/>
      <c r="BB251" s="523"/>
      <c r="BC251" s="523"/>
      <c r="BD251" s="523"/>
      <c r="BE251" s="523"/>
      <c r="BF251" s="523"/>
      <c r="BG251" s="523"/>
    </row>
    <row r="252" spans="1:59" x14ac:dyDescent="0.25">
      <c r="A252" s="338">
        <v>5822</v>
      </c>
      <c r="B252" s="485" t="s">
        <v>10</v>
      </c>
      <c r="C252" s="390">
        <v>12985756.17</v>
      </c>
      <c r="D252" s="390">
        <v>1423089.49</v>
      </c>
      <c r="E252" s="388"/>
      <c r="F252" s="390">
        <v>0</v>
      </c>
      <c r="G252" s="390">
        <v>976716.9</v>
      </c>
      <c r="H252" s="390">
        <v>98606.6</v>
      </c>
      <c r="I252" s="390">
        <v>0</v>
      </c>
      <c r="J252" s="390">
        <v>604941.57999999996</v>
      </c>
      <c r="K252" s="390">
        <v>190380.7</v>
      </c>
      <c r="L252" s="390">
        <v>1440447.85</v>
      </c>
      <c r="M252" s="331">
        <f t="shared" si="9"/>
        <v>17719939.289999999</v>
      </c>
      <c r="N252" s="394">
        <v>57956.25</v>
      </c>
      <c r="O252" s="394">
        <v>225116.9</v>
      </c>
      <c r="P252" s="394">
        <v>687297.2</v>
      </c>
      <c r="Q252" s="394">
        <v>71942.77</v>
      </c>
      <c r="R252" s="394">
        <v>705567.35</v>
      </c>
      <c r="S252" s="394">
        <v>83787.75</v>
      </c>
      <c r="T252" s="394">
        <v>3985</v>
      </c>
      <c r="U252" s="394">
        <v>24100</v>
      </c>
      <c r="V252" s="394">
        <v>6344</v>
      </c>
      <c r="W252" s="394"/>
      <c r="X252" s="379">
        <v>128981.7</v>
      </c>
      <c r="Y252" s="460">
        <f t="shared" si="10"/>
        <v>19715018.209999997</v>
      </c>
      <c r="Z252" s="395">
        <v>306980.84999999998</v>
      </c>
      <c r="AA252" s="395"/>
      <c r="AB252" s="395">
        <v>2236942.25</v>
      </c>
      <c r="AC252" s="395"/>
      <c r="AD252" s="395">
        <v>1118742.8600000001</v>
      </c>
      <c r="AE252" s="395">
        <v>79662.5</v>
      </c>
      <c r="AF252" s="395"/>
      <c r="AG252" s="395"/>
      <c r="AH252" s="395">
        <v>1080</v>
      </c>
      <c r="AI252" s="395"/>
      <c r="AJ252" s="395"/>
      <c r="AK252" s="395"/>
      <c r="AL252" s="452"/>
      <c r="AM252" s="460">
        <f t="shared" si="11"/>
        <v>3743408.46</v>
      </c>
      <c r="AN252" s="395">
        <v>73</v>
      </c>
      <c r="AO252" s="398">
        <v>10108</v>
      </c>
      <c r="AP252" s="455">
        <v>-554597.1</v>
      </c>
      <c r="AQ252" s="465"/>
      <c r="AR252" s="465">
        <v>-3101.92</v>
      </c>
      <c r="AS252" s="470">
        <v>1</v>
      </c>
      <c r="AT252" s="516"/>
      <c r="AU252" s="516"/>
      <c r="AV252" s="516"/>
      <c r="AW252" s="516"/>
      <c r="AX252" s="516"/>
      <c r="AY252" s="516"/>
      <c r="AZ252" s="523"/>
      <c r="BA252" s="523"/>
      <c r="BB252" s="523"/>
      <c r="BC252" s="523"/>
      <c r="BD252" s="523"/>
      <c r="BE252" s="523"/>
      <c r="BF252" s="523"/>
      <c r="BG252" s="523"/>
    </row>
    <row r="253" spans="1:59" x14ac:dyDescent="0.25">
      <c r="A253" s="338">
        <v>5827</v>
      </c>
      <c r="B253" s="485" t="s">
        <v>11</v>
      </c>
      <c r="C253" s="390">
        <v>378201.61</v>
      </c>
      <c r="D253" s="390">
        <v>39377.360000000001</v>
      </c>
      <c r="E253" s="388"/>
      <c r="F253" s="390">
        <v>1610</v>
      </c>
      <c r="G253" s="390">
        <v>17784.900000000001</v>
      </c>
      <c r="H253" s="390">
        <v>1235.05</v>
      </c>
      <c r="I253" s="390">
        <v>0</v>
      </c>
      <c r="J253" s="390">
        <v>6017.26</v>
      </c>
      <c r="K253" s="390">
        <v>-155.65</v>
      </c>
      <c r="L253" s="390">
        <v>38030.15</v>
      </c>
      <c r="M253" s="331">
        <f t="shared" si="9"/>
        <v>482100.68</v>
      </c>
      <c r="N253" s="394">
        <v>0</v>
      </c>
      <c r="O253" s="394">
        <v>0</v>
      </c>
      <c r="P253" s="394">
        <v>12236.9</v>
      </c>
      <c r="Q253" s="394">
        <v>0</v>
      </c>
      <c r="R253" s="394">
        <v>13692.55</v>
      </c>
      <c r="S253" s="394"/>
      <c r="T253" s="394">
        <v>80</v>
      </c>
      <c r="U253" s="394">
        <v>1900</v>
      </c>
      <c r="V253" s="394"/>
      <c r="W253" s="394"/>
      <c r="X253" s="379">
        <v>2281.38</v>
      </c>
      <c r="Y253" s="460">
        <f t="shared" si="10"/>
        <v>512291.51</v>
      </c>
      <c r="Z253" s="395">
        <v>12000</v>
      </c>
      <c r="AA253" s="395"/>
      <c r="AB253" s="395">
        <v>33562.300000000003</v>
      </c>
      <c r="AC253" s="395"/>
      <c r="AD253" s="395">
        <v>15440</v>
      </c>
      <c r="AE253" s="395">
        <v>10626.15</v>
      </c>
      <c r="AF253" s="395"/>
      <c r="AG253" s="395"/>
      <c r="AH253" s="395"/>
      <c r="AI253" s="395">
        <v>6528.05</v>
      </c>
      <c r="AJ253" s="395"/>
      <c r="AK253" s="395"/>
      <c r="AL253" s="452"/>
      <c r="AM253" s="460">
        <f t="shared" si="11"/>
        <v>78156.5</v>
      </c>
      <c r="AN253" s="395">
        <v>78</v>
      </c>
      <c r="AO253" s="398">
        <v>302</v>
      </c>
      <c r="AP253" s="455">
        <v>-3618.99</v>
      </c>
      <c r="AQ253" s="465"/>
      <c r="AR253" s="465">
        <v>0</v>
      </c>
      <c r="AS253" s="470">
        <v>1</v>
      </c>
      <c r="AT253" s="516"/>
      <c r="AU253" s="516"/>
      <c r="AV253" s="516"/>
      <c r="AW253" s="516"/>
      <c r="AX253" s="516"/>
      <c r="AY253" s="516"/>
      <c r="AZ253" s="523"/>
      <c r="BA253" s="523"/>
      <c r="BB253" s="523"/>
      <c r="BC253" s="523"/>
      <c r="BD253" s="523"/>
      <c r="BE253" s="523"/>
      <c r="BF253" s="523"/>
      <c r="BG253" s="523"/>
    </row>
    <row r="254" spans="1:59" x14ac:dyDescent="0.25">
      <c r="A254" s="338">
        <v>5828</v>
      </c>
      <c r="B254" s="485" t="s">
        <v>509</v>
      </c>
      <c r="C254" s="390">
        <v>156893.87</v>
      </c>
      <c r="D254" s="390">
        <v>20438.78</v>
      </c>
      <c r="E254" s="388"/>
      <c r="F254" s="390">
        <v>0</v>
      </c>
      <c r="G254" s="390">
        <v>-73.5</v>
      </c>
      <c r="H254" s="390">
        <v>11.6</v>
      </c>
      <c r="I254" s="390">
        <v>0</v>
      </c>
      <c r="J254" s="390">
        <v>275.24</v>
      </c>
      <c r="K254" s="390">
        <v>0</v>
      </c>
      <c r="L254" s="390">
        <v>24629.8</v>
      </c>
      <c r="M254" s="331">
        <f t="shared" si="9"/>
        <v>202175.78999999998</v>
      </c>
      <c r="N254" s="394">
        <v>0</v>
      </c>
      <c r="O254" s="394">
        <v>318.10000000000002</v>
      </c>
      <c r="P254" s="394">
        <v>5731</v>
      </c>
      <c r="Q254" s="394">
        <v>0</v>
      </c>
      <c r="R254" s="394">
        <v>0</v>
      </c>
      <c r="S254" s="394"/>
      <c r="T254" s="394"/>
      <c r="U254" s="394">
        <v>675</v>
      </c>
      <c r="V254" s="394"/>
      <c r="W254" s="394"/>
      <c r="X254" s="379">
        <v>-7.42</v>
      </c>
      <c r="Y254" s="460">
        <f t="shared" si="10"/>
        <v>208892.46999999997</v>
      </c>
      <c r="Z254" s="395">
        <v>6000</v>
      </c>
      <c r="AA254" s="395"/>
      <c r="AB254" s="395">
        <v>18887</v>
      </c>
      <c r="AC254" s="395"/>
      <c r="AD254" s="395">
        <v>10252.799999999999</v>
      </c>
      <c r="AE254" s="395">
        <v>10610.8</v>
      </c>
      <c r="AF254" s="395"/>
      <c r="AG254" s="395"/>
      <c r="AH254" s="395"/>
      <c r="AI254" s="395">
        <v>3113.7</v>
      </c>
      <c r="AJ254" s="395"/>
      <c r="AK254" s="395"/>
      <c r="AL254" s="452"/>
      <c r="AM254" s="460">
        <f t="shared" si="11"/>
        <v>48864.3</v>
      </c>
      <c r="AN254" s="395">
        <v>84</v>
      </c>
      <c r="AO254" s="398">
        <v>114</v>
      </c>
      <c r="AP254" s="455">
        <v>-1731.49</v>
      </c>
      <c r="AQ254" s="465"/>
      <c r="AR254" s="465">
        <v>0</v>
      </c>
      <c r="AS254" s="470">
        <v>1.5</v>
      </c>
      <c r="AT254" s="516"/>
      <c r="AU254" s="516"/>
      <c r="AV254" s="516"/>
      <c r="AW254" s="516"/>
      <c r="AX254" s="516"/>
      <c r="AY254" s="516"/>
      <c r="AZ254" s="523"/>
      <c r="BA254" s="523"/>
      <c r="BB254" s="523"/>
      <c r="BC254" s="523"/>
      <c r="BD254" s="523"/>
      <c r="BE254" s="523"/>
      <c r="BF254" s="523"/>
      <c r="BG254" s="523"/>
    </row>
    <row r="255" spans="1:59" x14ac:dyDescent="0.25">
      <c r="A255" s="338">
        <v>5830</v>
      </c>
      <c r="B255" s="485" t="s">
        <v>12</v>
      </c>
      <c r="C255" s="390">
        <v>797328.26</v>
      </c>
      <c r="D255" s="390">
        <v>96072.74</v>
      </c>
      <c r="E255" s="388"/>
      <c r="F255" s="390">
        <v>0</v>
      </c>
      <c r="G255" s="390">
        <v>5165.3500000000004</v>
      </c>
      <c r="H255" s="390">
        <v>274.85000000000002</v>
      </c>
      <c r="I255" s="390">
        <v>0</v>
      </c>
      <c r="J255" s="390">
        <v>10849.04</v>
      </c>
      <c r="K255" s="390">
        <v>2089.6999999999998</v>
      </c>
      <c r="L255" s="390">
        <v>57415</v>
      </c>
      <c r="M255" s="331">
        <f t="shared" si="9"/>
        <v>969194.94</v>
      </c>
      <c r="N255" s="394">
        <v>6516</v>
      </c>
      <c r="O255" s="394">
        <v>0</v>
      </c>
      <c r="P255" s="394">
        <v>59520</v>
      </c>
      <c r="Q255" s="394">
        <v>9106.51</v>
      </c>
      <c r="R255" s="394">
        <v>18343.95</v>
      </c>
      <c r="S255" s="394"/>
      <c r="T255" s="394"/>
      <c r="U255" s="394">
        <v>3540</v>
      </c>
      <c r="V255" s="394"/>
      <c r="W255" s="394"/>
      <c r="X255" s="379">
        <v>652.54</v>
      </c>
      <c r="Y255" s="460">
        <f t="shared" si="10"/>
        <v>1066873.94</v>
      </c>
      <c r="Z255" s="395">
        <v>57000</v>
      </c>
      <c r="AA255" s="395">
        <v>51960</v>
      </c>
      <c r="AB255" s="395"/>
      <c r="AC255" s="395"/>
      <c r="AD255" s="395">
        <v>37301.599999999999</v>
      </c>
      <c r="AE255" s="395">
        <v>21000</v>
      </c>
      <c r="AF255" s="395"/>
      <c r="AG255" s="395"/>
      <c r="AH255" s="395"/>
      <c r="AI255" s="395"/>
      <c r="AJ255" s="395"/>
      <c r="AK255" s="395"/>
      <c r="AL255" s="452"/>
      <c r="AM255" s="460">
        <f t="shared" si="11"/>
        <v>167261.6</v>
      </c>
      <c r="AN255" s="395">
        <v>77</v>
      </c>
      <c r="AO255" s="398">
        <v>477</v>
      </c>
      <c r="AP255" s="455">
        <v>-18510.71</v>
      </c>
      <c r="AQ255" s="465"/>
      <c r="AR255" s="465">
        <v>-182.73</v>
      </c>
      <c r="AS255" s="470">
        <v>1</v>
      </c>
      <c r="AT255" s="516"/>
      <c r="AU255" s="516"/>
      <c r="AV255" s="516"/>
      <c r="AW255" s="516"/>
      <c r="AX255" s="516"/>
      <c r="AY255" s="516"/>
      <c r="AZ255" s="523"/>
      <c r="BA255" s="523"/>
      <c r="BB255" s="523"/>
      <c r="BC255" s="523"/>
      <c r="BD255" s="523"/>
      <c r="BE255" s="523"/>
      <c r="BF255" s="523"/>
      <c r="BG255" s="523"/>
    </row>
    <row r="256" spans="1:59" x14ac:dyDescent="0.25">
      <c r="A256" s="338">
        <v>5831</v>
      </c>
      <c r="B256" s="485" t="s">
        <v>432</v>
      </c>
      <c r="C256" s="390">
        <v>4583089.24</v>
      </c>
      <c r="D256" s="390">
        <v>632740.66</v>
      </c>
      <c r="E256" s="388"/>
      <c r="F256" s="390">
        <v>0</v>
      </c>
      <c r="G256" s="390">
        <v>45607.5</v>
      </c>
      <c r="H256" s="390">
        <v>17249.05</v>
      </c>
      <c r="I256" s="390">
        <v>0</v>
      </c>
      <c r="J256" s="390">
        <v>170860.28</v>
      </c>
      <c r="K256" s="390">
        <v>24914.05</v>
      </c>
      <c r="L256" s="390">
        <v>295268.84999999998</v>
      </c>
      <c r="M256" s="331">
        <f t="shared" si="9"/>
        <v>5769729.6299999999</v>
      </c>
      <c r="N256" s="394">
        <v>22474.9</v>
      </c>
      <c r="O256" s="394">
        <v>83792.850000000006</v>
      </c>
      <c r="P256" s="394">
        <v>278845.59999999998</v>
      </c>
      <c r="Q256" s="394">
        <v>71958.5</v>
      </c>
      <c r="R256" s="394">
        <v>130362.9</v>
      </c>
      <c r="S256" s="394">
        <v>1430</v>
      </c>
      <c r="T256" s="394">
        <v>2916</v>
      </c>
      <c r="U256" s="394">
        <v>17775</v>
      </c>
      <c r="V256" s="394"/>
      <c r="W256" s="394"/>
      <c r="X256" s="379">
        <v>7539.45</v>
      </c>
      <c r="Y256" s="460">
        <f t="shared" si="10"/>
        <v>6386824.8300000001</v>
      </c>
      <c r="Z256" s="395">
        <v>296000</v>
      </c>
      <c r="AA256" s="395"/>
      <c r="AB256" s="395">
        <v>355093.9</v>
      </c>
      <c r="AC256" s="395"/>
      <c r="AD256" s="395">
        <v>333655.18</v>
      </c>
      <c r="AE256" s="395">
        <v>84238.5</v>
      </c>
      <c r="AF256" s="395"/>
      <c r="AG256" s="395"/>
      <c r="AH256" s="395"/>
      <c r="AI256" s="395">
        <v>139416.75</v>
      </c>
      <c r="AJ256" s="395"/>
      <c r="AK256" s="395"/>
      <c r="AL256" s="452"/>
      <c r="AM256" s="460">
        <f t="shared" si="11"/>
        <v>1208404.33</v>
      </c>
      <c r="AN256" s="395">
        <v>70.5</v>
      </c>
      <c r="AO256" s="398">
        <v>3373</v>
      </c>
      <c r="AP256" s="455">
        <v>-139996.24</v>
      </c>
      <c r="AQ256" s="465"/>
      <c r="AR256" s="465">
        <v>-1227.58</v>
      </c>
      <c r="AS256" s="470">
        <v>0.6</v>
      </c>
      <c r="AT256" s="516"/>
      <c r="AU256" s="516"/>
      <c r="AV256" s="516"/>
      <c r="AW256" s="516"/>
      <c r="AX256" s="516"/>
      <c r="AY256" s="516"/>
      <c r="AZ256" s="523"/>
      <c r="BA256" s="523"/>
      <c r="BB256" s="523"/>
      <c r="BC256" s="523"/>
      <c r="BD256" s="523"/>
      <c r="BE256" s="523"/>
      <c r="BF256" s="523"/>
      <c r="BG256" s="523"/>
    </row>
    <row r="257" spans="1:59" x14ac:dyDescent="0.25">
      <c r="A257" s="338">
        <v>5841</v>
      </c>
      <c r="B257" s="485" t="s">
        <v>13</v>
      </c>
      <c r="C257" s="390">
        <v>5501242.5</v>
      </c>
      <c r="D257" s="390">
        <v>1495685.1</v>
      </c>
      <c r="E257" s="388"/>
      <c r="F257" s="390">
        <v>0</v>
      </c>
      <c r="G257" s="390">
        <v>46403.65</v>
      </c>
      <c r="H257" s="390">
        <v>68547.649999999994</v>
      </c>
      <c r="I257" s="390">
        <v>531790.05000000005</v>
      </c>
      <c r="J257" s="390">
        <v>282488.05</v>
      </c>
      <c r="K257" s="390">
        <v>23768.85</v>
      </c>
      <c r="L257" s="390">
        <v>1499428.65</v>
      </c>
      <c r="M257" s="331">
        <f t="shared" si="9"/>
        <v>9449354.5</v>
      </c>
      <c r="N257" s="394">
        <v>7425.55</v>
      </c>
      <c r="O257" s="394">
        <v>1020620.5</v>
      </c>
      <c r="P257" s="394">
        <v>353825.05</v>
      </c>
      <c r="Q257" s="394">
        <v>15481.08</v>
      </c>
      <c r="R257" s="394">
        <v>252646.95</v>
      </c>
      <c r="S257" s="394"/>
      <c r="T257" s="394">
        <v>33554.9</v>
      </c>
      <c r="U257" s="394">
        <v>24360</v>
      </c>
      <c r="V257" s="394"/>
      <c r="W257" s="394"/>
      <c r="X257" s="379">
        <v>13788.05</v>
      </c>
      <c r="Y257" s="460">
        <f t="shared" si="10"/>
        <v>11171056.580000002</v>
      </c>
      <c r="Z257" s="395">
        <v>110213.54</v>
      </c>
      <c r="AA257" s="395"/>
      <c r="AB257" s="395">
        <v>1151641.2</v>
      </c>
      <c r="AC257" s="395"/>
      <c r="AD257" s="395">
        <v>605766.76</v>
      </c>
      <c r="AE257" s="395"/>
      <c r="AF257" s="395"/>
      <c r="AG257" s="395"/>
      <c r="AH257" s="395">
        <v>753720.05</v>
      </c>
      <c r="AI257" s="395">
        <v>149532.5</v>
      </c>
      <c r="AJ257" s="395"/>
      <c r="AK257" s="395"/>
      <c r="AL257" s="452"/>
      <c r="AM257" s="460">
        <f t="shared" si="11"/>
        <v>2770874.05</v>
      </c>
      <c r="AN257" s="395">
        <v>81.5</v>
      </c>
      <c r="AO257" s="398">
        <v>3494</v>
      </c>
      <c r="AP257" s="455">
        <v>-109064.02</v>
      </c>
      <c r="AQ257" s="465"/>
      <c r="AR257" s="465">
        <v>-14091.22</v>
      </c>
      <c r="AS257" s="470">
        <v>1.5</v>
      </c>
      <c r="AT257" s="516"/>
      <c r="AU257" s="516"/>
      <c r="AV257" s="516"/>
      <c r="AW257" s="516"/>
      <c r="AX257" s="516"/>
      <c r="AY257" s="516"/>
      <c r="AZ257" s="523"/>
      <c r="BA257" s="523"/>
      <c r="BB257" s="523"/>
      <c r="BC257" s="523"/>
      <c r="BD257" s="523"/>
      <c r="BE257" s="523"/>
      <c r="BF257" s="523"/>
      <c r="BG257" s="523"/>
    </row>
    <row r="258" spans="1:59" x14ac:dyDescent="0.25">
      <c r="A258" s="338">
        <v>5842</v>
      </c>
      <c r="B258" s="485" t="s">
        <v>14</v>
      </c>
      <c r="C258" s="390">
        <v>853231.4</v>
      </c>
      <c r="D258" s="390">
        <v>182023.81</v>
      </c>
      <c r="E258" s="388"/>
      <c r="F258" s="390">
        <v>0</v>
      </c>
      <c r="G258" s="390">
        <v>16817.599999999999</v>
      </c>
      <c r="H258" s="390">
        <v>2332.4499999999998</v>
      </c>
      <c r="I258" s="390">
        <v>0</v>
      </c>
      <c r="J258" s="390">
        <v>22435.73</v>
      </c>
      <c r="K258" s="390">
        <v>916.35</v>
      </c>
      <c r="L258" s="390">
        <v>145282.1</v>
      </c>
      <c r="M258" s="331">
        <f t="shared" si="9"/>
        <v>1223039.4400000002</v>
      </c>
      <c r="N258" s="394">
        <v>0</v>
      </c>
      <c r="O258" s="394">
        <v>0</v>
      </c>
      <c r="P258" s="394">
        <v>38379</v>
      </c>
      <c r="Q258" s="394">
        <v>143.91999999999999</v>
      </c>
      <c r="R258" s="394">
        <v>33838.050000000003</v>
      </c>
      <c r="S258" s="394"/>
      <c r="T258" s="394"/>
      <c r="U258" s="394">
        <v>4000</v>
      </c>
      <c r="V258" s="394"/>
      <c r="W258" s="394"/>
      <c r="X258" s="379">
        <v>2296.9899999999998</v>
      </c>
      <c r="Y258" s="460">
        <f t="shared" si="10"/>
        <v>1301697.4000000001</v>
      </c>
      <c r="Z258" s="395">
        <v>2799.85</v>
      </c>
      <c r="AA258" s="395"/>
      <c r="AB258" s="395">
        <v>83736</v>
      </c>
      <c r="AC258" s="395"/>
      <c r="AD258" s="395">
        <v>42832.3</v>
      </c>
      <c r="AE258" s="395">
        <v>2799.85</v>
      </c>
      <c r="AF258" s="395"/>
      <c r="AG258" s="395"/>
      <c r="AH258" s="395"/>
      <c r="AI258" s="395"/>
      <c r="AJ258" s="395"/>
      <c r="AK258" s="395"/>
      <c r="AL258" s="452"/>
      <c r="AM258" s="460">
        <f t="shared" si="11"/>
        <v>132168</v>
      </c>
      <c r="AN258" s="395">
        <v>81</v>
      </c>
      <c r="AO258" s="398">
        <v>537</v>
      </c>
      <c r="AP258" s="455">
        <v>-216.64</v>
      </c>
      <c r="AQ258" s="465"/>
      <c r="AR258" s="465">
        <v>-1530.31</v>
      </c>
      <c r="AS258" s="470">
        <v>1.5</v>
      </c>
      <c r="AT258" s="516"/>
      <c r="AU258" s="516"/>
      <c r="AV258" s="516"/>
      <c r="AW258" s="516"/>
      <c r="AX258" s="516"/>
      <c r="AY258" s="516"/>
      <c r="AZ258" s="523"/>
      <c r="BA258" s="523"/>
      <c r="BB258" s="523"/>
      <c r="BC258" s="523"/>
      <c r="BD258" s="523"/>
      <c r="BE258" s="523"/>
      <c r="BF258" s="523"/>
      <c r="BG258" s="523"/>
    </row>
    <row r="259" spans="1:59" x14ac:dyDescent="0.25">
      <c r="A259" s="338">
        <v>5843</v>
      </c>
      <c r="B259" s="485" t="s">
        <v>15</v>
      </c>
      <c r="C259" s="390">
        <v>3300739.36</v>
      </c>
      <c r="D259" s="390">
        <v>1916664.67</v>
      </c>
      <c r="E259" s="388"/>
      <c r="F259" s="390">
        <v>0</v>
      </c>
      <c r="G259" s="390">
        <v>39652.949999999997</v>
      </c>
      <c r="H259" s="390">
        <v>14383.95</v>
      </c>
      <c r="I259" s="390">
        <v>1271760.1000000001</v>
      </c>
      <c r="J259" s="390">
        <v>95400.23</v>
      </c>
      <c r="K259" s="390">
        <v>33861.050000000003</v>
      </c>
      <c r="L259" s="390">
        <v>1191482.7</v>
      </c>
      <c r="M259" s="331">
        <f t="shared" si="9"/>
        <v>7863945.0099999998</v>
      </c>
      <c r="N259" s="394">
        <v>0</v>
      </c>
      <c r="O259" s="394">
        <v>674623.9</v>
      </c>
      <c r="P259" s="394">
        <v>404220.25</v>
      </c>
      <c r="Q259" s="394">
        <v>0</v>
      </c>
      <c r="R259" s="394">
        <v>194786.55</v>
      </c>
      <c r="S259" s="394"/>
      <c r="T259" s="394">
        <v>3150.95</v>
      </c>
      <c r="U259" s="394">
        <v>5910</v>
      </c>
      <c r="V259" s="394"/>
      <c r="W259" s="394"/>
      <c r="X259" s="379">
        <v>6481.56</v>
      </c>
      <c r="Y259" s="460">
        <f t="shared" si="10"/>
        <v>9153118.2200000007</v>
      </c>
      <c r="Z259" s="395">
        <v>33637.5</v>
      </c>
      <c r="AA259" s="395"/>
      <c r="AB259" s="395">
        <v>223807.91</v>
      </c>
      <c r="AC259" s="395"/>
      <c r="AD259" s="395">
        <v>310687.99</v>
      </c>
      <c r="AE259" s="395">
        <v>71362.5</v>
      </c>
      <c r="AF259" s="395"/>
      <c r="AG259" s="395"/>
      <c r="AH259" s="395">
        <v>1035666.9</v>
      </c>
      <c r="AI259" s="395">
        <v>84616.1</v>
      </c>
      <c r="AJ259" s="395"/>
      <c r="AK259" s="395"/>
      <c r="AL259" s="452"/>
      <c r="AM259" s="460">
        <f t="shared" si="11"/>
        <v>1759778.9000000001</v>
      </c>
      <c r="AN259" s="395">
        <v>74</v>
      </c>
      <c r="AO259" s="398">
        <v>863</v>
      </c>
      <c r="AP259" s="455">
        <v>-8788.98</v>
      </c>
      <c r="AQ259" s="465"/>
      <c r="AR259" s="465">
        <v>-29770.84</v>
      </c>
      <c r="AS259" s="470">
        <v>1.5</v>
      </c>
      <c r="AT259" s="516"/>
      <c r="AU259" s="516"/>
      <c r="AV259" s="516"/>
      <c r="AW259" s="516"/>
      <c r="AX259" s="516"/>
      <c r="AY259" s="516"/>
      <c r="AZ259" s="523"/>
      <c r="BA259" s="523"/>
      <c r="BB259" s="523"/>
      <c r="BC259" s="523"/>
      <c r="BD259" s="523"/>
      <c r="BE259" s="523"/>
      <c r="BF259" s="523"/>
      <c r="BG259" s="523"/>
    </row>
    <row r="260" spans="1:59" x14ac:dyDescent="0.25">
      <c r="A260" s="338">
        <v>5851</v>
      </c>
      <c r="B260" s="485" t="s">
        <v>16</v>
      </c>
      <c r="C260" s="390">
        <v>811569.12</v>
      </c>
      <c r="D260" s="390">
        <v>156228.74</v>
      </c>
      <c r="E260" s="388"/>
      <c r="F260" s="390">
        <v>0</v>
      </c>
      <c r="G260" s="390">
        <v>91027.35</v>
      </c>
      <c r="H260" s="390">
        <v>3485.35</v>
      </c>
      <c r="I260" s="390">
        <v>137387.79999999999</v>
      </c>
      <c r="J260" s="390">
        <v>29560.63</v>
      </c>
      <c r="K260" s="390">
        <v>29978.65</v>
      </c>
      <c r="L260" s="390">
        <v>243622.2</v>
      </c>
      <c r="M260" s="331">
        <f t="shared" si="9"/>
        <v>1502859.8399999999</v>
      </c>
      <c r="N260" s="394">
        <v>73719.45</v>
      </c>
      <c r="O260" s="394">
        <v>0</v>
      </c>
      <c r="P260" s="394">
        <v>207.65</v>
      </c>
      <c r="Q260" s="394">
        <v>0</v>
      </c>
      <c r="R260" s="394">
        <v>0</v>
      </c>
      <c r="S260" s="394"/>
      <c r="T260" s="394"/>
      <c r="U260" s="394">
        <v>2150</v>
      </c>
      <c r="V260" s="394"/>
      <c r="W260" s="394"/>
      <c r="X260" s="379">
        <v>11336.5</v>
      </c>
      <c r="Y260" s="460">
        <f t="shared" si="10"/>
        <v>1590273.4399999997</v>
      </c>
      <c r="Z260" s="395"/>
      <c r="AA260" s="395"/>
      <c r="AB260" s="395">
        <v>175942.45</v>
      </c>
      <c r="AC260" s="395"/>
      <c r="AD260" s="395">
        <v>57354.2</v>
      </c>
      <c r="AE260" s="395"/>
      <c r="AF260" s="395"/>
      <c r="AG260" s="395"/>
      <c r="AH260" s="395"/>
      <c r="AI260" s="395"/>
      <c r="AJ260" s="395">
        <v>56000</v>
      </c>
      <c r="AK260" s="395"/>
      <c r="AL260" s="452"/>
      <c r="AM260" s="460">
        <f t="shared" si="11"/>
        <v>289296.65000000002</v>
      </c>
      <c r="AN260" s="395">
        <v>60</v>
      </c>
      <c r="AO260" s="398">
        <v>443</v>
      </c>
      <c r="AP260" s="455">
        <v>-32697.91</v>
      </c>
      <c r="AQ260" s="465"/>
      <c r="AR260" s="465">
        <v>-498.12</v>
      </c>
      <c r="AS260" s="470">
        <v>1.1000000000000001</v>
      </c>
      <c r="AT260" s="516"/>
      <c r="AU260" s="516"/>
      <c r="AV260" s="516"/>
      <c r="AW260" s="516"/>
      <c r="AX260" s="516"/>
      <c r="AY260" s="516"/>
      <c r="AZ260" s="523"/>
      <c r="BA260" s="523"/>
      <c r="BB260" s="523"/>
      <c r="BC260" s="523"/>
      <c r="BD260" s="523"/>
      <c r="BE260" s="523"/>
      <c r="BF260" s="523"/>
      <c r="BG260" s="523"/>
    </row>
    <row r="261" spans="1:59" x14ac:dyDescent="0.25">
      <c r="A261" s="338">
        <v>5852</v>
      </c>
      <c r="B261" s="485" t="s">
        <v>17</v>
      </c>
      <c r="C261" s="390">
        <v>1547012.28</v>
      </c>
      <c r="D261" s="390">
        <v>789882.52</v>
      </c>
      <c r="E261" s="388"/>
      <c r="F261" s="390">
        <v>0</v>
      </c>
      <c r="G261" s="390">
        <v>11358.9</v>
      </c>
      <c r="H261" s="390">
        <v>2212.9</v>
      </c>
      <c r="I261" s="390">
        <v>207092.4</v>
      </c>
      <c r="J261" s="390">
        <v>-64794.71</v>
      </c>
      <c r="K261" s="390">
        <v>7344.35</v>
      </c>
      <c r="L261" s="390">
        <v>139471</v>
      </c>
      <c r="M261" s="331">
        <f t="shared" si="9"/>
        <v>2639579.6399999997</v>
      </c>
      <c r="N261" s="394">
        <v>8183.75</v>
      </c>
      <c r="O261" s="394">
        <v>0</v>
      </c>
      <c r="P261" s="394">
        <v>61570.65</v>
      </c>
      <c r="Q261" s="394">
        <v>0</v>
      </c>
      <c r="R261" s="394">
        <v>13682.65</v>
      </c>
      <c r="S261" s="394"/>
      <c r="T261" s="394"/>
      <c r="U261" s="394">
        <v>3442.5</v>
      </c>
      <c r="V261" s="394"/>
      <c r="W261" s="394"/>
      <c r="X261" s="379">
        <v>1627.9</v>
      </c>
      <c r="Y261" s="460">
        <f t="shared" si="10"/>
        <v>2728087.0899999994</v>
      </c>
      <c r="Z261" s="395">
        <v>41183.5</v>
      </c>
      <c r="AA261" s="395"/>
      <c r="AB261" s="395">
        <v>63754.5</v>
      </c>
      <c r="AC261" s="395"/>
      <c r="AD261" s="395">
        <v>22000</v>
      </c>
      <c r="AE261" s="395"/>
      <c r="AF261" s="395"/>
      <c r="AG261" s="395"/>
      <c r="AH261" s="395">
        <v>5598.02</v>
      </c>
      <c r="AI261" s="395"/>
      <c r="AJ261" s="395"/>
      <c r="AK261" s="395"/>
      <c r="AL261" s="452"/>
      <c r="AM261" s="460">
        <f t="shared" si="11"/>
        <v>132536.01999999999</v>
      </c>
      <c r="AN261" s="395">
        <v>65.5</v>
      </c>
      <c r="AO261" s="398">
        <v>491</v>
      </c>
      <c r="AP261" s="455">
        <v>-19184.080000000002</v>
      </c>
      <c r="AQ261" s="465"/>
      <c r="AR261" s="465">
        <v>-2256.67</v>
      </c>
      <c r="AS261" s="470">
        <v>0.75</v>
      </c>
      <c r="AT261" s="516"/>
      <c r="AU261" s="516"/>
      <c r="AV261" s="516"/>
      <c r="AW261" s="516"/>
      <c r="AX261" s="516"/>
      <c r="AY261" s="516"/>
      <c r="AZ261" s="523"/>
      <c r="BA261" s="523"/>
      <c r="BB261" s="523"/>
      <c r="BC261" s="523"/>
      <c r="BD261" s="523"/>
      <c r="BE261" s="523"/>
      <c r="BF261" s="523"/>
      <c r="BG261" s="523"/>
    </row>
    <row r="262" spans="1:59" x14ac:dyDescent="0.25">
      <c r="A262" s="338">
        <v>5853</v>
      </c>
      <c r="B262" s="486" t="s">
        <v>18</v>
      </c>
      <c r="C262" s="390">
        <v>2111873.56</v>
      </c>
      <c r="D262" s="390">
        <v>416006.79</v>
      </c>
      <c r="E262" s="388"/>
      <c r="F262" s="390">
        <v>0</v>
      </c>
      <c r="G262" s="390">
        <v>64598.85</v>
      </c>
      <c r="H262" s="390">
        <v>-3890.35</v>
      </c>
      <c r="I262" s="390">
        <v>192967.04000000001</v>
      </c>
      <c r="J262" s="390">
        <v>84796</v>
      </c>
      <c r="K262" s="390">
        <v>15561.65</v>
      </c>
      <c r="L262" s="390">
        <v>210822.3</v>
      </c>
      <c r="M262" s="331">
        <f t="shared" si="9"/>
        <v>3092735.84</v>
      </c>
      <c r="N262" s="394">
        <v>65850.05</v>
      </c>
      <c r="O262" s="394">
        <v>6636346.2000000002</v>
      </c>
      <c r="P262" s="394">
        <v>221924.2</v>
      </c>
      <c r="Q262" s="394">
        <v>684.76</v>
      </c>
      <c r="R262" s="394">
        <v>268394.8</v>
      </c>
      <c r="S262" s="394">
        <v>500</v>
      </c>
      <c r="T262" s="394">
        <v>28054.6</v>
      </c>
      <c r="U262" s="394">
        <v>6200</v>
      </c>
      <c r="V262" s="394"/>
      <c r="W262" s="394"/>
      <c r="X262" s="379">
        <v>7281.8</v>
      </c>
      <c r="Y262" s="460">
        <f t="shared" si="10"/>
        <v>10327972.25</v>
      </c>
      <c r="Z262" s="395">
        <v>27748.15</v>
      </c>
      <c r="AA262" s="395"/>
      <c r="AB262" s="395">
        <v>176870.65</v>
      </c>
      <c r="AC262" s="395"/>
      <c r="AD262" s="395">
        <v>54509.67</v>
      </c>
      <c r="AE262" s="395"/>
      <c r="AF262" s="395"/>
      <c r="AG262" s="395"/>
      <c r="AH262" s="395"/>
      <c r="AI262" s="395"/>
      <c r="AJ262" s="395"/>
      <c r="AK262" s="395"/>
      <c r="AL262" s="452"/>
      <c r="AM262" s="460">
        <f t="shared" si="11"/>
        <v>259128.46999999997</v>
      </c>
      <c r="AN262" s="395">
        <v>71</v>
      </c>
      <c r="AO262" s="398">
        <v>773</v>
      </c>
      <c r="AP262" s="455">
        <v>-116166.46</v>
      </c>
      <c r="AQ262" s="465"/>
      <c r="AR262" s="465">
        <v>-1408.33</v>
      </c>
      <c r="AS262" s="470">
        <v>1</v>
      </c>
      <c r="AT262" s="516"/>
      <c r="AU262" s="516"/>
      <c r="AV262" s="516"/>
      <c r="AW262" s="516"/>
      <c r="AX262" s="516"/>
      <c r="AY262" s="516"/>
      <c r="AZ262" s="523"/>
      <c r="BA262" s="523"/>
      <c r="BB262" s="523"/>
      <c r="BC262" s="523"/>
      <c r="BD262" s="523"/>
      <c r="BE262" s="523"/>
      <c r="BF262" s="523"/>
      <c r="BG262" s="523"/>
    </row>
    <row r="263" spans="1:59" x14ac:dyDescent="0.25">
      <c r="A263" s="338">
        <v>5854</v>
      </c>
      <c r="B263" s="486" t="s">
        <v>19</v>
      </c>
      <c r="C263" s="390">
        <v>644956.29</v>
      </c>
      <c r="D263" s="390">
        <v>142661.87</v>
      </c>
      <c r="E263" s="388"/>
      <c r="F263" s="390">
        <v>0</v>
      </c>
      <c r="G263" s="390">
        <v>-765.650000000001</v>
      </c>
      <c r="H263" s="390">
        <v>772.35</v>
      </c>
      <c r="I263" s="390">
        <v>0</v>
      </c>
      <c r="J263" s="390">
        <v>4608.1000000000004</v>
      </c>
      <c r="K263" s="390">
        <v>2031.9</v>
      </c>
      <c r="L263" s="390">
        <v>112054.15</v>
      </c>
      <c r="M263" s="331">
        <f t="shared" ref="M263:M315" si="12">SUM(C263:L263)</f>
        <v>906319.01</v>
      </c>
      <c r="N263" s="394">
        <v>24487.9</v>
      </c>
      <c r="O263" s="394">
        <v>0</v>
      </c>
      <c r="P263" s="394">
        <v>37590</v>
      </c>
      <c r="Q263" s="394">
        <v>745.3</v>
      </c>
      <c r="R263" s="394">
        <v>68535.350000000006</v>
      </c>
      <c r="S263" s="394"/>
      <c r="T263" s="394"/>
      <c r="U263" s="394">
        <v>1050</v>
      </c>
      <c r="V263" s="394"/>
      <c r="W263" s="394"/>
      <c r="X263" s="379">
        <v>0.8</v>
      </c>
      <c r="Y263" s="460">
        <f t="shared" si="10"/>
        <v>1038728.3600000001</v>
      </c>
      <c r="Z263" s="395">
        <v>28946.25</v>
      </c>
      <c r="AA263" s="395"/>
      <c r="AB263" s="395">
        <v>35916.25</v>
      </c>
      <c r="AC263" s="395"/>
      <c r="AD263" s="395">
        <v>27610.45</v>
      </c>
      <c r="AE263" s="395">
        <v>17230.45</v>
      </c>
      <c r="AF263" s="395"/>
      <c r="AG263" s="395"/>
      <c r="AH263" s="395">
        <v>3659.1</v>
      </c>
      <c r="AI263" s="395">
        <v>8192.85</v>
      </c>
      <c r="AJ263" s="395"/>
      <c r="AK263" s="395"/>
      <c r="AL263" s="452"/>
      <c r="AM263" s="460">
        <f t="shared" si="11"/>
        <v>121555.35</v>
      </c>
      <c r="AN263" s="395">
        <v>80</v>
      </c>
      <c r="AO263" s="398">
        <v>404</v>
      </c>
      <c r="AP263" s="455">
        <v>-6688.48</v>
      </c>
      <c r="AQ263" s="465"/>
      <c r="AR263" s="465">
        <v>-393.73</v>
      </c>
      <c r="AS263" s="470">
        <v>1.5</v>
      </c>
      <c r="AT263" s="516"/>
      <c r="AU263" s="516"/>
      <c r="AV263" s="516"/>
      <c r="AW263" s="516"/>
      <c r="AX263" s="516"/>
      <c r="AY263" s="516"/>
      <c r="AZ263" s="523"/>
      <c r="BA263" s="523"/>
      <c r="BB263" s="523"/>
      <c r="BC263" s="523"/>
      <c r="BD263" s="523"/>
      <c r="BE263" s="523"/>
      <c r="BF263" s="523"/>
      <c r="BG263" s="523"/>
    </row>
    <row r="264" spans="1:59" x14ac:dyDescent="0.25">
      <c r="A264" s="338">
        <v>5855</v>
      </c>
      <c r="B264" s="486" t="s">
        <v>20</v>
      </c>
      <c r="C264" s="390">
        <v>2711534.14</v>
      </c>
      <c r="D264" s="390">
        <v>683023.02</v>
      </c>
      <c r="E264" s="388"/>
      <c r="F264" s="390">
        <v>0</v>
      </c>
      <c r="G264" s="390">
        <v>45759.9</v>
      </c>
      <c r="H264" s="390">
        <v>16464</v>
      </c>
      <c r="I264" s="390">
        <v>624296.19999999995</v>
      </c>
      <c r="J264" s="390">
        <v>20299.87</v>
      </c>
      <c r="K264" s="390">
        <v>12031</v>
      </c>
      <c r="L264" s="390">
        <v>355651.7</v>
      </c>
      <c r="M264" s="331">
        <f t="shared" si="12"/>
        <v>4469059.83</v>
      </c>
      <c r="N264" s="394">
        <v>1221.55</v>
      </c>
      <c r="O264" s="394">
        <v>0</v>
      </c>
      <c r="P264" s="394">
        <v>281968.5</v>
      </c>
      <c r="Q264" s="394">
        <v>13553.69</v>
      </c>
      <c r="R264" s="394">
        <v>259119.6</v>
      </c>
      <c r="S264" s="394"/>
      <c r="T264" s="394"/>
      <c r="U264" s="394">
        <v>2040</v>
      </c>
      <c r="V264" s="394"/>
      <c r="W264" s="394"/>
      <c r="X264" s="379">
        <v>7463.56</v>
      </c>
      <c r="Y264" s="460">
        <f t="shared" ref="Y264:Y316" si="13">SUM(M264:X264)</f>
        <v>5034426.7299999995</v>
      </c>
      <c r="Z264" s="395">
        <v>62982.05</v>
      </c>
      <c r="AA264" s="395"/>
      <c r="AB264" s="395">
        <v>107915.95</v>
      </c>
      <c r="AC264" s="395"/>
      <c r="AD264" s="395">
        <v>33629.050000000003</v>
      </c>
      <c r="AE264" s="395"/>
      <c r="AF264" s="395"/>
      <c r="AG264" s="395"/>
      <c r="AH264" s="395">
        <v>11780.28</v>
      </c>
      <c r="AI264" s="395"/>
      <c r="AJ264" s="395"/>
      <c r="AK264" s="395"/>
      <c r="AL264" s="452"/>
      <c r="AM264" s="460">
        <f t="shared" ref="AM264:AM316" si="14">SUM(Z264:AL264)</f>
        <v>216307.33</v>
      </c>
      <c r="AN264" s="395">
        <v>49</v>
      </c>
      <c r="AO264" s="398">
        <v>628</v>
      </c>
      <c r="AP264" s="455">
        <v>-16694.16</v>
      </c>
      <c r="AQ264" s="465"/>
      <c r="AR264" s="465">
        <v>-19267.39</v>
      </c>
      <c r="AS264" s="470">
        <v>0.5</v>
      </c>
      <c r="AT264" s="516"/>
      <c r="AU264" s="516"/>
      <c r="AV264" s="516"/>
      <c r="AW264" s="516"/>
      <c r="AX264" s="516"/>
      <c r="AY264" s="516"/>
      <c r="AZ264" s="523"/>
      <c r="BA264" s="523"/>
      <c r="BB264" s="523"/>
      <c r="BC264" s="523"/>
      <c r="BD264" s="523"/>
      <c r="BE264" s="523"/>
      <c r="BF264" s="523"/>
      <c r="BG264" s="523"/>
    </row>
    <row r="265" spans="1:59" x14ac:dyDescent="0.25">
      <c r="A265" s="338">
        <v>5856</v>
      </c>
      <c r="B265" s="486" t="s">
        <v>21</v>
      </c>
      <c r="C265" s="390">
        <v>1684915.18</v>
      </c>
      <c r="D265" s="390">
        <v>250682.95</v>
      </c>
      <c r="E265" s="388"/>
      <c r="F265" s="390">
        <v>0</v>
      </c>
      <c r="G265" s="390">
        <v>-111.65</v>
      </c>
      <c r="H265" s="390">
        <v>1542.8</v>
      </c>
      <c r="I265" s="390">
        <v>246810.25</v>
      </c>
      <c r="J265" s="390">
        <v>19297.080000000002</v>
      </c>
      <c r="K265" s="390">
        <v>974.25</v>
      </c>
      <c r="L265" s="390">
        <v>245409.85</v>
      </c>
      <c r="M265" s="331">
        <f t="shared" si="12"/>
        <v>2449520.7100000004</v>
      </c>
      <c r="N265" s="394">
        <v>7661.75</v>
      </c>
      <c r="O265" s="394">
        <v>2586.6</v>
      </c>
      <c r="P265" s="394">
        <v>174442.55</v>
      </c>
      <c r="Q265" s="394">
        <v>0</v>
      </c>
      <c r="R265" s="394">
        <v>98051.85</v>
      </c>
      <c r="S265" s="394"/>
      <c r="T265" s="394"/>
      <c r="U265" s="394">
        <v>3525</v>
      </c>
      <c r="V265" s="394"/>
      <c r="W265" s="394"/>
      <c r="X265" s="379">
        <v>171.66</v>
      </c>
      <c r="Y265" s="460">
        <f t="shared" si="13"/>
        <v>2735960.1200000006</v>
      </c>
      <c r="Z265" s="395">
        <v>14796.65</v>
      </c>
      <c r="AA265" s="395"/>
      <c r="AB265" s="395">
        <v>145063.48000000001</v>
      </c>
      <c r="AC265" s="395"/>
      <c r="AD265" s="395">
        <v>71740.600000000006</v>
      </c>
      <c r="AE265" s="395">
        <v>18747.3</v>
      </c>
      <c r="AF265" s="395"/>
      <c r="AG265" s="395"/>
      <c r="AH265" s="395"/>
      <c r="AI265" s="395"/>
      <c r="AJ265" s="395"/>
      <c r="AK265" s="395"/>
      <c r="AL265" s="452"/>
      <c r="AM265" s="460">
        <f t="shared" si="14"/>
        <v>250348.03</v>
      </c>
      <c r="AN265" s="395">
        <v>66.5</v>
      </c>
      <c r="AO265" s="398">
        <v>740</v>
      </c>
      <c r="AP265" s="455">
        <v>-16746.740000000002</v>
      </c>
      <c r="AQ265" s="465"/>
      <c r="AR265" s="465">
        <v>-1487.96</v>
      </c>
      <c r="AS265" s="470">
        <v>1.3</v>
      </c>
      <c r="AT265" s="516"/>
      <c r="AU265" s="516"/>
      <c r="AV265" s="516"/>
      <c r="AW265" s="516"/>
      <c r="AX265" s="516"/>
      <c r="AY265" s="516"/>
      <c r="AZ265" s="523"/>
      <c r="BA265" s="523"/>
      <c r="BB265" s="523"/>
      <c r="BC265" s="523"/>
      <c r="BD265" s="523"/>
      <c r="BE265" s="523"/>
      <c r="BF265" s="523"/>
      <c r="BG265" s="523"/>
    </row>
    <row r="266" spans="1:59" x14ac:dyDescent="0.25">
      <c r="A266" s="338">
        <v>5857</v>
      </c>
      <c r="B266" s="486" t="s">
        <v>22</v>
      </c>
      <c r="C266" s="390">
        <v>4121526.97</v>
      </c>
      <c r="D266" s="390">
        <v>730156.66</v>
      </c>
      <c r="E266" s="388"/>
      <c r="F266" s="390">
        <v>0</v>
      </c>
      <c r="G266" s="390">
        <v>-9539.0499999999993</v>
      </c>
      <c r="H266" s="390">
        <v>4083.55</v>
      </c>
      <c r="I266" s="390">
        <v>0</v>
      </c>
      <c r="J266" s="390">
        <v>44842.03</v>
      </c>
      <c r="K266" s="390">
        <v>12376.1</v>
      </c>
      <c r="L266" s="390">
        <v>416421.6</v>
      </c>
      <c r="M266" s="331">
        <f t="shared" si="12"/>
        <v>5319867.8599999994</v>
      </c>
      <c r="N266" s="394">
        <v>83818.8</v>
      </c>
      <c r="O266" s="394">
        <v>7273.5</v>
      </c>
      <c r="P266" s="394">
        <v>167585.70000000001</v>
      </c>
      <c r="Q266" s="394">
        <v>1.81</v>
      </c>
      <c r="R266" s="394">
        <v>55483.5</v>
      </c>
      <c r="S266" s="394"/>
      <c r="T266" s="394">
        <v>233.8</v>
      </c>
      <c r="U266" s="394">
        <v>2960</v>
      </c>
      <c r="V266" s="394"/>
      <c r="W266" s="394"/>
      <c r="X266" s="379">
        <v>-654.37</v>
      </c>
      <c r="Y266" s="460">
        <f t="shared" si="13"/>
        <v>5636570.5999999987</v>
      </c>
      <c r="Z266" s="395">
        <v>76439.5</v>
      </c>
      <c r="AA266" s="395"/>
      <c r="AB266" s="395">
        <v>125148.65</v>
      </c>
      <c r="AC266" s="395"/>
      <c r="AD266" s="395">
        <v>107025.3</v>
      </c>
      <c r="AE266" s="395"/>
      <c r="AF266" s="395"/>
      <c r="AG266" s="395"/>
      <c r="AH266" s="395">
        <v>1838.75</v>
      </c>
      <c r="AI266" s="395">
        <v>30825.75</v>
      </c>
      <c r="AJ266" s="395"/>
      <c r="AK266" s="395"/>
      <c r="AL266" s="452"/>
      <c r="AM266" s="460">
        <f t="shared" si="14"/>
        <v>341277.95</v>
      </c>
      <c r="AN266" s="395">
        <v>64.5</v>
      </c>
      <c r="AO266" s="398">
        <v>1428</v>
      </c>
      <c r="AP266" s="455">
        <v>-20777.62</v>
      </c>
      <c r="AQ266" s="465"/>
      <c r="AR266" s="465">
        <v>-1154.3499999999999</v>
      </c>
      <c r="AS266" s="470">
        <v>1</v>
      </c>
      <c r="AT266" s="516"/>
      <c r="AU266" s="516"/>
      <c r="AV266" s="516"/>
      <c r="AW266" s="516"/>
      <c r="AX266" s="516"/>
      <c r="AY266" s="516"/>
      <c r="AZ266" s="523"/>
      <c r="BA266" s="523"/>
      <c r="BB266" s="523"/>
      <c r="BC266" s="523"/>
      <c r="BD266" s="523"/>
      <c r="BE266" s="523"/>
      <c r="BF266" s="523"/>
      <c r="BG266" s="523"/>
    </row>
    <row r="267" spans="1:59" x14ac:dyDescent="0.25">
      <c r="A267" s="338">
        <v>5858</v>
      </c>
      <c r="B267" s="486" t="s">
        <v>23</v>
      </c>
      <c r="C267" s="390">
        <v>1722015.64</v>
      </c>
      <c r="D267" s="390">
        <v>271762.64</v>
      </c>
      <c r="E267" s="388"/>
      <c r="F267" s="390">
        <v>0</v>
      </c>
      <c r="G267" s="390">
        <v>35061.1</v>
      </c>
      <c r="H267" s="390">
        <v>399.5</v>
      </c>
      <c r="I267" s="390">
        <v>176046.84</v>
      </c>
      <c r="J267" s="390">
        <v>34452.339999999997</v>
      </c>
      <c r="K267" s="390">
        <v>1071.1500000000001</v>
      </c>
      <c r="L267" s="390">
        <v>233519.8</v>
      </c>
      <c r="M267" s="331">
        <f t="shared" si="12"/>
        <v>2474329.0099999993</v>
      </c>
      <c r="N267" s="394">
        <v>4072.3</v>
      </c>
      <c r="O267" s="394">
        <v>19001.400000000001</v>
      </c>
      <c r="P267" s="394">
        <v>74517.25</v>
      </c>
      <c r="Q267" s="394">
        <v>1660.35</v>
      </c>
      <c r="R267" s="394">
        <v>21161.9</v>
      </c>
      <c r="S267" s="394"/>
      <c r="T267" s="394">
        <v>50</v>
      </c>
      <c r="U267" s="394">
        <v>2670</v>
      </c>
      <c r="V267" s="394"/>
      <c r="W267" s="394"/>
      <c r="X267" s="379">
        <v>4253.3900000000003</v>
      </c>
      <c r="Y267" s="460">
        <f t="shared" si="13"/>
        <v>2601715.5999999992</v>
      </c>
      <c r="Z267" s="395"/>
      <c r="AA267" s="395"/>
      <c r="AB267" s="395">
        <v>85863</v>
      </c>
      <c r="AC267" s="395"/>
      <c r="AD267" s="395">
        <v>35342</v>
      </c>
      <c r="AE267" s="395"/>
      <c r="AF267" s="395"/>
      <c r="AG267" s="395"/>
      <c r="AH267" s="395">
        <v>43</v>
      </c>
      <c r="AI267" s="395">
        <v>19732</v>
      </c>
      <c r="AJ267" s="395"/>
      <c r="AK267" s="395"/>
      <c r="AL267" s="452"/>
      <c r="AM267" s="460">
        <f t="shared" si="14"/>
        <v>140980</v>
      </c>
      <c r="AN267" s="395">
        <v>58.5</v>
      </c>
      <c r="AO267" s="398">
        <v>619</v>
      </c>
      <c r="AP267" s="455">
        <v>-41048.5</v>
      </c>
      <c r="AQ267" s="465"/>
      <c r="AR267" s="465">
        <v>-4349.6899999999996</v>
      </c>
      <c r="AS267" s="470">
        <v>1.5</v>
      </c>
      <c r="AT267" s="516"/>
      <c r="AU267" s="516"/>
      <c r="AV267" s="516"/>
      <c r="AW267" s="516"/>
      <c r="AX267" s="516"/>
      <c r="AY267" s="516"/>
      <c r="AZ267" s="523"/>
      <c r="BA267" s="523"/>
      <c r="BB267" s="523"/>
      <c r="BC267" s="523"/>
      <c r="BD267" s="523"/>
      <c r="BE267" s="523"/>
      <c r="BF267" s="523"/>
      <c r="BG267" s="523"/>
    </row>
    <row r="268" spans="1:59" x14ac:dyDescent="0.25">
      <c r="A268" s="338">
        <v>5859</v>
      </c>
      <c r="B268" s="486" t="s">
        <v>24</v>
      </c>
      <c r="C268" s="390">
        <v>6729253.2199999997</v>
      </c>
      <c r="D268" s="390">
        <v>1430023.46</v>
      </c>
      <c r="E268" s="388"/>
      <c r="F268" s="390">
        <v>0</v>
      </c>
      <c r="G268" s="390">
        <v>67966.149999999994</v>
      </c>
      <c r="H268" s="390">
        <v>5080.95</v>
      </c>
      <c r="I268" s="390">
        <v>325204.3</v>
      </c>
      <c r="J268" s="390">
        <v>116484.27</v>
      </c>
      <c r="K268" s="390">
        <v>23121.5</v>
      </c>
      <c r="L268" s="390">
        <v>664772.1</v>
      </c>
      <c r="M268" s="331">
        <f t="shared" si="12"/>
        <v>9361905.9499999993</v>
      </c>
      <c r="N268" s="394">
        <v>117869.3</v>
      </c>
      <c r="O268" s="394">
        <v>102227.9</v>
      </c>
      <c r="P268" s="394">
        <v>342244.95</v>
      </c>
      <c r="Q268" s="394">
        <v>9685.19</v>
      </c>
      <c r="R268" s="394">
        <v>207997.85</v>
      </c>
      <c r="S268" s="394"/>
      <c r="T268" s="394"/>
      <c r="U268" s="394">
        <v>16500</v>
      </c>
      <c r="V268" s="394"/>
      <c r="W268" s="394"/>
      <c r="X268" s="379">
        <v>8761.77</v>
      </c>
      <c r="Y268" s="460">
        <f t="shared" si="13"/>
        <v>10167192.909999998</v>
      </c>
      <c r="Z268" s="395">
        <v>19803.150000000001</v>
      </c>
      <c r="AA268" s="395"/>
      <c r="AB268" s="395">
        <v>370125.8</v>
      </c>
      <c r="AC268" s="395"/>
      <c r="AD268" s="395">
        <v>169684.3</v>
      </c>
      <c r="AE268" s="395"/>
      <c r="AF268" s="395"/>
      <c r="AG268" s="395"/>
      <c r="AH268" s="395"/>
      <c r="AI268" s="395"/>
      <c r="AJ268" s="395"/>
      <c r="AK268" s="395"/>
      <c r="AL268" s="452"/>
      <c r="AM268" s="460">
        <f t="shared" si="14"/>
        <v>559613.25</v>
      </c>
      <c r="AN268" s="395">
        <v>63.5</v>
      </c>
      <c r="AO268" s="398">
        <v>2646</v>
      </c>
      <c r="AP268" s="455">
        <v>-59061.15</v>
      </c>
      <c r="AQ268" s="465"/>
      <c r="AR268" s="465">
        <v>-20714.57</v>
      </c>
      <c r="AS268" s="470">
        <v>1</v>
      </c>
      <c r="AT268" s="516"/>
      <c r="AU268" s="516"/>
      <c r="AV268" s="516"/>
      <c r="AW268" s="516"/>
      <c r="AX268" s="516"/>
      <c r="AY268" s="516"/>
      <c r="AZ268" s="523"/>
      <c r="BA268" s="523"/>
      <c r="BB268" s="523"/>
      <c r="BC268" s="523"/>
      <c r="BD268" s="523"/>
      <c r="BE268" s="523"/>
      <c r="BF268" s="523"/>
      <c r="BG268" s="523"/>
    </row>
    <row r="269" spans="1:59" x14ac:dyDescent="0.25">
      <c r="A269" s="338">
        <v>5860</v>
      </c>
      <c r="B269" s="486" t="s">
        <v>25</v>
      </c>
      <c r="C269" s="390">
        <v>5494019.4000000004</v>
      </c>
      <c r="D269" s="390">
        <v>4284191.96</v>
      </c>
      <c r="E269" s="388"/>
      <c r="F269" s="390">
        <v>0</v>
      </c>
      <c r="G269" s="390">
        <v>147539.15</v>
      </c>
      <c r="H269" s="390">
        <v>8321</v>
      </c>
      <c r="I269" s="390">
        <v>494034.2</v>
      </c>
      <c r="J269" s="390">
        <v>66967.210000000006</v>
      </c>
      <c r="K269" s="390">
        <v>28394.799999999999</v>
      </c>
      <c r="L269" s="390">
        <v>674032.8</v>
      </c>
      <c r="M269" s="331">
        <f t="shared" si="12"/>
        <v>11197500.520000001</v>
      </c>
      <c r="N269" s="394">
        <v>22451.35</v>
      </c>
      <c r="O269" s="394">
        <v>27524.7</v>
      </c>
      <c r="P269" s="394">
        <v>480096.5</v>
      </c>
      <c r="Q269" s="394">
        <v>3443.13</v>
      </c>
      <c r="R269" s="394">
        <v>711859.85</v>
      </c>
      <c r="S269" s="394"/>
      <c r="T269" s="394">
        <v>3531.3</v>
      </c>
      <c r="U269" s="394">
        <v>8080</v>
      </c>
      <c r="V269" s="394"/>
      <c r="W269" s="394"/>
      <c r="X269" s="379">
        <v>18694.939999999999</v>
      </c>
      <c r="Y269" s="460">
        <f t="shared" si="13"/>
        <v>12473182.290000001</v>
      </c>
      <c r="Z269" s="395">
        <v>-12876.59</v>
      </c>
      <c r="AA269" s="395"/>
      <c r="AB269" s="395">
        <v>269129</v>
      </c>
      <c r="AC269" s="395"/>
      <c r="AD269" s="395">
        <v>36592.400000000001</v>
      </c>
      <c r="AE269" s="395"/>
      <c r="AF269" s="395"/>
      <c r="AG269" s="395"/>
      <c r="AH269" s="395">
        <v>31767</v>
      </c>
      <c r="AI269" s="395"/>
      <c r="AJ269" s="395"/>
      <c r="AK269" s="395"/>
      <c r="AL269" s="452"/>
      <c r="AM269" s="460">
        <f t="shared" si="14"/>
        <v>324611.81</v>
      </c>
      <c r="AN269" s="395">
        <v>58.5</v>
      </c>
      <c r="AO269" s="398">
        <v>1518</v>
      </c>
      <c r="AP269" s="455">
        <v>-96821.82</v>
      </c>
      <c r="AQ269" s="465"/>
      <c r="AR269" s="465">
        <v>-17501.400000000001</v>
      </c>
      <c r="AS269" s="470">
        <v>1.3</v>
      </c>
      <c r="AT269" s="516"/>
      <c r="AU269" s="516"/>
      <c r="AV269" s="516"/>
      <c r="AW269" s="516"/>
      <c r="AX269" s="516"/>
      <c r="AY269" s="516"/>
      <c r="AZ269" s="523"/>
      <c r="BA269" s="523"/>
      <c r="BB269" s="523"/>
      <c r="BC269" s="523"/>
      <c r="BD269" s="523"/>
      <c r="BE269" s="523"/>
      <c r="BF269" s="523"/>
      <c r="BG269" s="523"/>
    </row>
    <row r="270" spans="1:59" x14ac:dyDescent="0.25">
      <c r="A270" s="338">
        <v>5861</v>
      </c>
      <c r="B270" s="486" t="s">
        <v>26</v>
      </c>
      <c r="C270" s="390">
        <v>14324702.609999999</v>
      </c>
      <c r="D270" s="390">
        <v>2945979.44</v>
      </c>
      <c r="E270" s="388"/>
      <c r="F270" s="390">
        <v>0</v>
      </c>
      <c r="G270" s="390">
        <v>83722893.200000003</v>
      </c>
      <c r="H270" s="390">
        <v>232192.8</v>
      </c>
      <c r="I270" s="390">
        <v>278867.45</v>
      </c>
      <c r="J270" s="390">
        <v>2067650.94</v>
      </c>
      <c r="K270" s="390">
        <v>146593.04999999999</v>
      </c>
      <c r="L270" s="390">
        <v>1845516.8</v>
      </c>
      <c r="M270" s="331">
        <f t="shared" si="12"/>
        <v>105564396.28999999</v>
      </c>
      <c r="N270" s="394">
        <v>582154.1</v>
      </c>
      <c r="O270" s="394">
        <v>287516.09999999998</v>
      </c>
      <c r="P270" s="394">
        <v>924862.7</v>
      </c>
      <c r="Q270" s="394">
        <v>33825.89</v>
      </c>
      <c r="R270" s="394">
        <v>514069.1</v>
      </c>
      <c r="S270" s="394"/>
      <c r="T270" s="394"/>
      <c r="U270" s="394">
        <v>19650</v>
      </c>
      <c r="V270" s="394"/>
      <c r="W270" s="394"/>
      <c r="X270" s="379">
        <v>10070150.960000001</v>
      </c>
      <c r="Y270" s="460">
        <f t="shared" si="13"/>
        <v>117996625.13999999</v>
      </c>
      <c r="Z270" s="395">
        <v>7192.57</v>
      </c>
      <c r="AA270" s="395">
        <v>806111.09</v>
      </c>
      <c r="AB270" s="395">
        <v>1447818.21</v>
      </c>
      <c r="AC270" s="395"/>
      <c r="AD270" s="395">
        <v>467053.08</v>
      </c>
      <c r="AE270" s="395"/>
      <c r="AF270" s="395"/>
      <c r="AG270" s="395"/>
      <c r="AH270" s="395">
        <v>82247</v>
      </c>
      <c r="AI270" s="395">
        <v>196800</v>
      </c>
      <c r="AJ270" s="395"/>
      <c r="AK270" s="395"/>
      <c r="AL270" s="452"/>
      <c r="AM270" s="460">
        <f t="shared" si="14"/>
        <v>3007221.95</v>
      </c>
      <c r="AN270" s="395">
        <v>59.5</v>
      </c>
      <c r="AO270" s="398">
        <v>6259</v>
      </c>
      <c r="AP270" s="455">
        <v>-203108.18</v>
      </c>
      <c r="AQ270" s="465"/>
      <c r="AR270" s="465">
        <v>-134280.85</v>
      </c>
      <c r="AS270" s="470">
        <v>1</v>
      </c>
      <c r="AT270" s="516"/>
      <c r="AU270" s="516"/>
      <c r="AV270" s="516"/>
      <c r="AW270" s="516"/>
      <c r="AX270" s="516"/>
      <c r="AY270" s="516"/>
      <c r="AZ270" s="523"/>
      <c r="BA270" s="523"/>
      <c r="BB270" s="523"/>
      <c r="BC270" s="523"/>
      <c r="BD270" s="523"/>
      <c r="BE270" s="523"/>
      <c r="BF270" s="523"/>
      <c r="BG270" s="523"/>
    </row>
    <row r="271" spans="1:59" x14ac:dyDescent="0.25">
      <c r="A271" s="338">
        <v>5862</v>
      </c>
      <c r="B271" s="486" t="s">
        <v>27</v>
      </c>
      <c r="C271" s="390">
        <v>511535.32</v>
      </c>
      <c r="D271" s="390">
        <v>81412.039999999994</v>
      </c>
      <c r="E271" s="388"/>
      <c r="F271" s="390">
        <v>0</v>
      </c>
      <c r="G271" s="390">
        <v>8860.7000000000007</v>
      </c>
      <c r="H271" s="390">
        <v>64.7</v>
      </c>
      <c r="I271" s="390">
        <v>0</v>
      </c>
      <c r="J271" s="390">
        <v>-535.36</v>
      </c>
      <c r="K271" s="390">
        <v>0</v>
      </c>
      <c r="L271" s="390">
        <v>49658.5</v>
      </c>
      <c r="M271" s="331">
        <f t="shared" si="12"/>
        <v>650995.89999999991</v>
      </c>
      <c r="N271" s="394">
        <v>11024.15</v>
      </c>
      <c r="O271" s="394">
        <v>1757.6</v>
      </c>
      <c r="P271" s="394">
        <v>0</v>
      </c>
      <c r="Q271" s="394">
        <v>0.49</v>
      </c>
      <c r="R271" s="394">
        <v>-3733.3</v>
      </c>
      <c r="S271" s="394"/>
      <c r="T271" s="394"/>
      <c r="U271" s="394">
        <v>950</v>
      </c>
      <c r="V271" s="394"/>
      <c r="W271" s="394"/>
      <c r="X271" s="379">
        <v>1070.57</v>
      </c>
      <c r="Y271" s="460">
        <f t="shared" si="13"/>
        <v>662065.4099999998</v>
      </c>
      <c r="Z271" s="395"/>
      <c r="AA271" s="395"/>
      <c r="AB271" s="395">
        <v>47619.1</v>
      </c>
      <c r="AC271" s="395"/>
      <c r="AD271" s="395">
        <v>21258.95</v>
      </c>
      <c r="AE271" s="395"/>
      <c r="AF271" s="395"/>
      <c r="AG271" s="395"/>
      <c r="AH271" s="395"/>
      <c r="AI271" s="395"/>
      <c r="AJ271" s="395"/>
      <c r="AK271" s="395"/>
      <c r="AL271" s="452"/>
      <c r="AM271" s="460">
        <f t="shared" si="14"/>
        <v>68878.05</v>
      </c>
      <c r="AN271" s="395">
        <v>79</v>
      </c>
      <c r="AO271" s="398">
        <v>236</v>
      </c>
      <c r="AP271" s="455">
        <v>-12404.54</v>
      </c>
      <c r="AQ271" s="465"/>
      <c r="AR271" s="465">
        <v>-43.81</v>
      </c>
      <c r="AS271" s="470">
        <v>1</v>
      </c>
      <c r="AT271" s="516"/>
      <c r="AU271" s="516"/>
      <c r="AV271" s="516"/>
      <c r="AW271" s="516"/>
      <c r="AX271" s="516"/>
      <c r="AY271" s="516"/>
      <c r="AZ271" s="523"/>
      <c r="BA271" s="523"/>
      <c r="BB271" s="523"/>
      <c r="BC271" s="523"/>
      <c r="BD271" s="523"/>
      <c r="BE271" s="523"/>
      <c r="BF271" s="523"/>
      <c r="BG271" s="523"/>
    </row>
    <row r="272" spans="1:59" x14ac:dyDescent="0.25">
      <c r="A272" s="338">
        <v>5863</v>
      </c>
      <c r="B272" s="486" t="s">
        <v>28</v>
      </c>
      <c r="C272" s="390">
        <v>1005152.06</v>
      </c>
      <c r="D272" s="390">
        <v>243236.83</v>
      </c>
      <c r="F272" s="390">
        <v>0</v>
      </c>
      <c r="G272" s="390">
        <v>33174.400000000001</v>
      </c>
      <c r="H272" s="390">
        <v>2026.3</v>
      </c>
      <c r="I272" s="390">
        <v>42786.85</v>
      </c>
      <c r="J272" s="390">
        <v>55477.87</v>
      </c>
      <c r="K272" s="390">
        <v>2606.4</v>
      </c>
      <c r="L272" s="390">
        <v>84223.3</v>
      </c>
      <c r="M272" s="331">
        <f t="shared" si="12"/>
        <v>1468684.0100000002</v>
      </c>
      <c r="N272" s="394">
        <v>23922.95</v>
      </c>
      <c r="O272" s="394">
        <v>1834.6</v>
      </c>
      <c r="P272" s="394">
        <v>57310</v>
      </c>
      <c r="Q272" s="394">
        <v>0</v>
      </c>
      <c r="R272" s="394">
        <v>41481.300000000003</v>
      </c>
      <c r="S272" s="394">
        <v>343.75</v>
      </c>
      <c r="T272" s="394"/>
      <c r="U272" s="394">
        <v>2100</v>
      </c>
      <c r="V272" s="394"/>
      <c r="W272" s="394"/>
      <c r="X272" s="379">
        <v>4222.21</v>
      </c>
      <c r="Y272" s="460">
        <f t="shared" si="13"/>
        <v>1599898.8200000003</v>
      </c>
      <c r="Z272" s="395"/>
      <c r="AA272" s="395"/>
      <c r="AB272" s="395">
        <v>17215.25</v>
      </c>
      <c r="AC272" s="395"/>
      <c r="AD272" s="395">
        <v>21002.05</v>
      </c>
      <c r="AE272" s="395"/>
      <c r="AF272" s="395"/>
      <c r="AG272" s="395"/>
      <c r="AH272" s="395">
        <v>1490</v>
      </c>
      <c r="AI272" s="395">
        <v>7521.05</v>
      </c>
      <c r="AJ272" s="395"/>
      <c r="AK272" s="395"/>
      <c r="AL272" s="452"/>
      <c r="AM272" s="460">
        <f t="shared" si="14"/>
        <v>47228.350000000006</v>
      </c>
      <c r="AN272" s="395">
        <v>67</v>
      </c>
      <c r="AO272" s="398">
        <v>385</v>
      </c>
      <c r="AP272" s="455">
        <v>-1184.92</v>
      </c>
      <c r="AQ272" s="465"/>
      <c r="AR272" s="465">
        <v>-2163.7399999999998</v>
      </c>
      <c r="AS272" s="470">
        <v>1</v>
      </c>
      <c r="AT272" s="516"/>
      <c r="AU272" s="516"/>
      <c r="AV272" s="516"/>
      <c r="AW272" s="516"/>
      <c r="AX272" s="516"/>
      <c r="AY272" s="516"/>
      <c r="AZ272" s="523"/>
      <c r="BA272" s="523"/>
      <c r="BB272" s="523"/>
      <c r="BC272" s="523"/>
      <c r="BD272" s="523"/>
      <c r="BE272" s="523"/>
      <c r="BF272" s="523"/>
      <c r="BG272" s="523"/>
    </row>
    <row r="273" spans="1:59" x14ac:dyDescent="0.25">
      <c r="A273" s="338">
        <v>5871</v>
      </c>
      <c r="B273" s="486" t="s">
        <v>29</v>
      </c>
      <c r="C273" s="388">
        <v>2902630.91</v>
      </c>
      <c r="D273" s="388">
        <v>507392.42</v>
      </c>
      <c r="F273" s="390">
        <v>0</v>
      </c>
      <c r="G273" s="388">
        <v>96263.15</v>
      </c>
      <c r="H273" s="15">
        <v>7575.2</v>
      </c>
      <c r="I273" s="390">
        <v>0</v>
      </c>
      <c r="J273" s="390">
        <v>80648.320000000007</v>
      </c>
      <c r="K273" s="390">
        <v>4789.3500000000004</v>
      </c>
      <c r="L273" s="390">
        <v>271625.09999999998</v>
      </c>
      <c r="M273" s="331">
        <f>SUM(C273:L273)</f>
        <v>3870924.45</v>
      </c>
      <c r="N273" s="394">
        <v>757257.95</v>
      </c>
      <c r="O273" s="394">
        <v>84633.75</v>
      </c>
      <c r="P273" s="394">
        <v>129090.45</v>
      </c>
      <c r="Q273" s="394">
        <v>28.04</v>
      </c>
      <c r="R273" s="394">
        <v>52955.5</v>
      </c>
      <c r="S273" s="394">
        <v>600</v>
      </c>
      <c r="T273" s="394"/>
      <c r="U273" s="394">
        <v>10850</v>
      </c>
      <c r="V273" s="394"/>
      <c r="W273" s="394"/>
      <c r="X273" s="379">
        <v>12455.09</v>
      </c>
      <c r="Y273" s="460">
        <f t="shared" si="13"/>
        <v>4918795.2300000004</v>
      </c>
      <c r="Z273" s="395">
        <v>50386.7</v>
      </c>
      <c r="AA273" s="395">
        <v>9334.7999999999993</v>
      </c>
      <c r="AB273" s="395">
        <v>304807</v>
      </c>
      <c r="AC273" s="395"/>
      <c r="AD273" s="395">
        <v>149693.1</v>
      </c>
      <c r="AE273" s="395"/>
      <c r="AF273" s="395"/>
      <c r="AG273" s="395"/>
      <c r="AH273" s="395">
        <v>82814.03</v>
      </c>
      <c r="AI273" s="395"/>
      <c r="AJ273" s="395"/>
      <c r="AK273" s="395"/>
      <c r="AL273" s="452"/>
      <c r="AM273" s="460">
        <f t="shared" si="14"/>
        <v>597035.63</v>
      </c>
      <c r="AN273" s="395">
        <v>77.56</v>
      </c>
      <c r="AO273" s="398">
        <v>1473</v>
      </c>
      <c r="AP273" s="455">
        <v>-42701.279999999999</v>
      </c>
      <c r="AQ273" s="465"/>
      <c r="AR273" s="465">
        <v>-437.59</v>
      </c>
      <c r="AS273" s="470">
        <v>1</v>
      </c>
      <c r="AT273" s="516"/>
      <c r="AU273" s="516"/>
      <c r="AV273" s="516"/>
      <c r="AW273" s="516"/>
      <c r="AX273" s="516"/>
      <c r="AY273" s="516"/>
      <c r="AZ273" s="523"/>
      <c r="BA273" s="523"/>
      <c r="BB273" s="523"/>
      <c r="BC273" s="523"/>
      <c r="BD273" s="523"/>
      <c r="BE273" s="523"/>
      <c r="BF273" s="523"/>
      <c r="BG273" s="523"/>
    </row>
    <row r="274" spans="1:59" x14ac:dyDescent="0.25">
      <c r="A274" s="338">
        <v>5872</v>
      </c>
      <c r="B274" s="486" t="s">
        <v>204</v>
      </c>
      <c r="C274" s="390">
        <v>7013888.5099999998</v>
      </c>
      <c r="D274" s="390">
        <v>1062250.6000000001</v>
      </c>
      <c r="F274" s="390">
        <v>0</v>
      </c>
      <c r="G274" s="390">
        <v>5299070.6500000004</v>
      </c>
      <c r="H274" s="390">
        <v>660721.15</v>
      </c>
      <c r="I274" s="390">
        <v>0</v>
      </c>
      <c r="J274" s="390">
        <v>373594.06</v>
      </c>
      <c r="K274" s="390">
        <v>67449.3</v>
      </c>
      <c r="L274" s="390">
        <v>747071</v>
      </c>
      <c r="M274" s="331">
        <f t="shared" si="12"/>
        <v>15224045.270000001</v>
      </c>
      <c r="N274" s="394">
        <v>6124106.2999999998</v>
      </c>
      <c r="O274" s="394">
        <v>3501245.6</v>
      </c>
      <c r="P274" s="394">
        <v>231754.35</v>
      </c>
      <c r="Q274" s="394">
        <v>6153.84</v>
      </c>
      <c r="R274" s="394">
        <v>208071.35</v>
      </c>
      <c r="S274" s="394">
        <v>1650</v>
      </c>
      <c r="T274" s="394"/>
      <c r="U274" s="394">
        <v>33400</v>
      </c>
      <c r="V274" s="394"/>
      <c r="W274" s="394"/>
      <c r="X274" s="379">
        <v>714858.46</v>
      </c>
      <c r="Y274" s="460">
        <f t="shared" si="13"/>
        <v>26045285.170000006</v>
      </c>
      <c r="Z274" s="395">
        <v>22972.5</v>
      </c>
      <c r="AA274" s="395">
        <v>45945</v>
      </c>
      <c r="AB274" s="395">
        <v>956085.75</v>
      </c>
      <c r="AC274" s="395"/>
      <c r="AD274" s="395">
        <v>414753.2</v>
      </c>
      <c r="AE274" s="395">
        <v>21628.3</v>
      </c>
      <c r="AF274" s="395">
        <v>43256.7</v>
      </c>
      <c r="AG274" s="395"/>
      <c r="AH274" s="395">
        <v>118401.9</v>
      </c>
      <c r="AI274" s="395"/>
      <c r="AJ274" s="395"/>
      <c r="AK274" s="395"/>
      <c r="AL274" s="452"/>
      <c r="AM274" s="460">
        <f t="shared" si="14"/>
        <v>1623043.3499999999</v>
      </c>
      <c r="AN274" s="395">
        <v>66.95</v>
      </c>
      <c r="AO274" s="398">
        <v>4600</v>
      </c>
      <c r="AP274" s="455">
        <v>-119434.9</v>
      </c>
      <c r="AQ274" s="465"/>
      <c r="AR274" s="465">
        <v>-22558.400000000001</v>
      </c>
      <c r="AS274" s="470">
        <v>1</v>
      </c>
      <c r="AT274" s="516"/>
      <c r="AU274" s="516"/>
      <c r="AV274" s="516"/>
      <c r="AW274" s="516"/>
      <c r="AX274" s="516"/>
      <c r="AY274" s="516"/>
      <c r="AZ274" s="523"/>
      <c r="BA274" s="523"/>
      <c r="BB274" s="523"/>
      <c r="BC274" s="523"/>
      <c r="BD274" s="523"/>
      <c r="BE274" s="523"/>
      <c r="BF274" s="523"/>
      <c r="BG274" s="523"/>
    </row>
    <row r="275" spans="1:59" x14ac:dyDescent="0.25">
      <c r="A275" s="338">
        <v>5873</v>
      </c>
      <c r="B275" s="486" t="s">
        <v>205</v>
      </c>
      <c r="C275" s="388">
        <v>1609618.85</v>
      </c>
      <c r="D275" s="388">
        <v>265375.38</v>
      </c>
      <c r="F275" s="472">
        <v>0</v>
      </c>
      <c r="G275" s="457">
        <v>78051.600000000006</v>
      </c>
      <c r="H275" s="15">
        <v>10960.3</v>
      </c>
      <c r="I275" s="390">
        <v>0</v>
      </c>
      <c r="J275" s="390">
        <v>26413.360000000001</v>
      </c>
      <c r="K275" s="390">
        <v>0</v>
      </c>
      <c r="L275" s="390">
        <v>115314.75</v>
      </c>
      <c r="M275" s="331">
        <f>SUM(C275:L275)</f>
        <v>2105734.2400000002</v>
      </c>
      <c r="N275" s="394">
        <v>1061298.2</v>
      </c>
      <c r="O275" s="394">
        <v>11484</v>
      </c>
      <c r="P275" s="394">
        <v>51848.55</v>
      </c>
      <c r="Q275" s="394">
        <v>3491.13</v>
      </c>
      <c r="R275" s="394">
        <v>40297.5</v>
      </c>
      <c r="S275" s="394">
        <v>1184.7</v>
      </c>
      <c r="T275" s="394"/>
      <c r="U275" s="394">
        <v>6500</v>
      </c>
      <c r="V275" s="394"/>
      <c r="W275" s="394"/>
      <c r="X275" s="379">
        <v>10676.7</v>
      </c>
      <c r="Y275" s="460">
        <f t="shared" si="13"/>
        <v>3292515.0200000005</v>
      </c>
      <c r="Z275" s="395">
        <v>1215</v>
      </c>
      <c r="AA275" s="395"/>
      <c r="AB275" s="395">
        <v>223685.35</v>
      </c>
      <c r="AC275" s="395"/>
      <c r="AD275" s="395">
        <v>88878.86</v>
      </c>
      <c r="AE275" s="395">
        <v>6620</v>
      </c>
      <c r="AF275" s="395"/>
      <c r="AG275" s="395"/>
      <c r="AH275" s="395">
        <v>28351.18</v>
      </c>
      <c r="AI275" s="395"/>
      <c r="AJ275" s="395"/>
      <c r="AK275" s="395"/>
      <c r="AL275" s="452"/>
      <c r="AM275" s="460">
        <f t="shared" si="14"/>
        <v>348750.39</v>
      </c>
      <c r="AN275" s="395">
        <v>70</v>
      </c>
      <c r="AO275" s="398">
        <v>888</v>
      </c>
      <c r="AP275" s="455">
        <v>-17239.73</v>
      </c>
      <c r="AQ275" s="465"/>
      <c r="AR275" s="465">
        <v>-662.44</v>
      </c>
      <c r="AS275" s="470">
        <v>0.8</v>
      </c>
      <c r="AT275" s="516"/>
      <c r="AU275" s="516"/>
      <c r="AV275" s="516"/>
      <c r="AW275" s="516"/>
      <c r="AX275" s="516"/>
      <c r="AY275" s="516"/>
      <c r="AZ275" s="523"/>
      <c r="BA275" s="523"/>
      <c r="BB275" s="523"/>
      <c r="BC275" s="523"/>
      <c r="BD275" s="523"/>
      <c r="BE275" s="523"/>
      <c r="BF275" s="523"/>
      <c r="BG275" s="523"/>
    </row>
    <row r="276" spans="1:59" x14ac:dyDescent="0.25">
      <c r="A276" s="338">
        <v>5881</v>
      </c>
      <c r="B276" s="486" t="s">
        <v>206</v>
      </c>
      <c r="C276" s="390">
        <v>18308381.289999999</v>
      </c>
      <c r="D276" s="390">
        <v>3735893.77</v>
      </c>
      <c r="F276" s="390">
        <v>0</v>
      </c>
      <c r="G276" s="390">
        <v>40774.1</v>
      </c>
      <c r="H276" s="390">
        <v>68762.850000000006</v>
      </c>
      <c r="I276" s="390">
        <v>752751.77</v>
      </c>
      <c r="J276" s="390">
        <v>363218.37</v>
      </c>
      <c r="K276" s="390">
        <v>68796.05</v>
      </c>
      <c r="L276" s="390">
        <v>1699087.65</v>
      </c>
      <c r="M276" s="331">
        <f t="shared" si="12"/>
        <v>25037665.850000001</v>
      </c>
      <c r="N276" s="394">
        <v>98862.75</v>
      </c>
      <c r="O276" s="394">
        <v>1226908.58</v>
      </c>
      <c r="P276" s="394">
        <v>1058411.3</v>
      </c>
      <c r="Q276" s="394">
        <v>-20982.91</v>
      </c>
      <c r="R276" s="394">
        <v>1342987.8</v>
      </c>
      <c r="S276" s="394"/>
      <c r="T276" s="394"/>
      <c r="U276" s="394">
        <v>41850</v>
      </c>
      <c r="V276" s="394"/>
      <c r="W276" s="394"/>
      <c r="X276" s="379">
        <v>13138.62</v>
      </c>
      <c r="Y276" s="460">
        <f t="shared" si="13"/>
        <v>28798841.990000002</v>
      </c>
      <c r="Z276" s="395">
        <v>457431.65</v>
      </c>
      <c r="AA276" s="395"/>
      <c r="AB276" s="395">
        <v>469587.45</v>
      </c>
      <c r="AC276" s="395"/>
      <c r="AD276" s="395">
        <v>719447.4</v>
      </c>
      <c r="AE276" s="395">
        <v>652600</v>
      </c>
      <c r="AF276" s="395"/>
      <c r="AG276" s="395"/>
      <c r="AH276" s="395"/>
      <c r="AI276" s="395"/>
      <c r="AJ276" s="395"/>
      <c r="AK276" s="395"/>
      <c r="AL276" s="452"/>
      <c r="AM276" s="460">
        <f t="shared" si="14"/>
        <v>2299066.5</v>
      </c>
      <c r="AN276" s="395">
        <v>68.5</v>
      </c>
      <c r="AO276" s="398">
        <v>6215</v>
      </c>
      <c r="AP276" s="455">
        <v>-88153.42</v>
      </c>
      <c r="AQ276" s="465"/>
      <c r="AR276" s="465">
        <v>-57917.68</v>
      </c>
      <c r="AS276" s="470">
        <v>1</v>
      </c>
      <c r="AT276" s="516"/>
      <c r="AU276" s="516"/>
      <c r="AV276" s="516"/>
      <c r="AW276" s="516"/>
      <c r="AX276" s="516"/>
      <c r="AY276" s="516"/>
      <c r="AZ276" s="523"/>
      <c r="BA276" s="523"/>
      <c r="BB276" s="523"/>
      <c r="BC276" s="523"/>
      <c r="BD276" s="523"/>
      <c r="BE276" s="523"/>
      <c r="BF276" s="523"/>
      <c r="BG276" s="523"/>
    </row>
    <row r="277" spans="1:59" x14ac:dyDescent="0.25">
      <c r="A277" s="338">
        <v>5882</v>
      </c>
      <c r="B277" s="486" t="s">
        <v>207</v>
      </c>
      <c r="C277" s="390">
        <v>8696796</v>
      </c>
      <c r="D277" s="390">
        <v>1856762.65</v>
      </c>
      <c r="E277" s="388"/>
      <c r="F277" s="390">
        <v>0</v>
      </c>
      <c r="G277" s="390">
        <v>113522.15</v>
      </c>
      <c r="H277" s="390">
        <v>17631.5</v>
      </c>
      <c r="I277" s="390">
        <v>212678.05</v>
      </c>
      <c r="J277" s="390">
        <v>239252.6</v>
      </c>
      <c r="K277" s="390">
        <v>66179.25</v>
      </c>
      <c r="L277" s="390">
        <v>988422.55</v>
      </c>
      <c r="M277" s="331">
        <f t="shared" si="12"/>
        <v>12191244.750000002</v>
      </c>
      <c r="N277" s="394">
        <v>11194.95</v>
      </c>
      <c r="O277" s="394">
        <v>95838</v>
      </c>
      <c r="P277" s="394">
        <v>631834.94999999995</v>
      </c>
      <c r="Q277" s="394">
        <v>107884.07</v>
      </c>
      <c r="R277" s="394">
        <v>508255.7</v>
      </c>
      <c r="S277" s="394"/>
      <c r="T277" s="394"/>
      <c r="U277" s="394">
        <v>15880</v>
      </c>
      <c r="V277" s="394"/>
      <c r="W277" s="394"/>
      <c r="X277" s="379">
        <v>15731.47</v>
      </c>
      <c r="Y277" s="460">
        <f t="shared" si="13"/>
        <v>13577863.890000001</v>
      </c>
      <c r="Z277" s="395">
        <v>107970.9</v>
      </c>
      <c r="AA277" s="395"/>
      <c r="AB277" s="395">
        <v>344955.94</v>
      </c>
      <c r="AC277" s="395"/>
      <c r="AD277" s="395">
        <v>296014.96000000002</v>
      </c>
      <c r="AE277" s="395"/>
      <c r="AF277" s="395"/>
      <c r="AG277" s="395"/>
      <c r="AH277" s="395"/>
      <c r="AI277" s="395"/>
      <c r="AJ277" s="395"/>
      <c r="AK277" s="395"/>
      <c r="AL277" s="452"/>
      <c r="AM277" s="460">
        <f t="shared" si="14"/>
        <v>748941.8</v>
      </c>
      <c r="AN277" s="395">
        <v>68</v>
      </c>
      <c r="AO277" s="398">
        <v>3093</v>
      </c>
      <c r="AP277" s="455">
        <v>-128511.67</v>
      </c>
      <c r="AQ277" s="465"/>
      <c r="AR277" s="465">
        <v>-12147.19</v>
      </c>
      <c r="AS277" s="470">
        <v>1</v>
      </c>
      <c r="AT277" s="516"/>
      <c r="AU277" s="516"/>
      <c r="AV277" s="516"/>
      <c r="AW277" s="516"/>
      <c r="AX277" s="516"/>
      <c r="AY277" s="516"/>
      <c r="AZ277" s="523"/>
      <c r="BA277" s="523"/>
      <c r="BB277" s="523"/>
      <c r="BC277" s="523"/>
      <c r="BD277" s="523"/>
      <c r="BE277" s="523"/>
      <c r="BF277" s="523"/>
      <c r="BG277" s="523"/>
    </row>
    <row r="278" spans="1:59" x14ac:dyDescent="0.25">
      <c r="A278" s="338">
        <v>5883</v>
      </c>
      <c r="B278" s="486" t="s">
        <v>208</v>
      </c>
      <c r="C278" s="390">
        <v>7639774.4400000004</v>
      </c>
      <c r="D278" s="390">
        <v>2166925.09</v>
      </c>
      <c r="E278" s="388"/>
      <c r="F278" s="390">
        <v>0</v>
      </c>
      <c r="G278" s="390">
        <v>144358.95000000001</v>
      </c>
      <c r="H278" s="390">
        <v>36312.25</v>
      </c>
      <c r="I278" s="390">
        <v>517436.72</v>
      </c>
      <c r="J278" s="390">
        <v>203423.91</v>
      </c>
      <c r="K278" s="390">
        <v>12409.9</v>
      </c>
      <c r="L278" s="390">
        <v>666003.35</v>
      </c>
      <c r="M278" s="331">
        <f t="shared" si="12"/>
        <v>11386644.610000001</v>
      </c>
      <c r="N278" s="394">
        <v>0</v>
      </c>
      <c r="O278" s="394">
        <v>115406.1</v>
      </c>
      <c r="P278" s="394">
        <v>394138.15</v>
      </c>
      <c r="Q278" s="394">
        <v>32383.77</v>
      </c>
      <c r="R278" s="394">
        <v>346407.15</v>
      </c>
      <c r="S278" s="394"/>
      <c r="T278" s="394"/>
      <c r="U278" s="394">
        <v>5750</v>
      </c>
      <c r="V278" s="394"/>
      <c r="W278" s="394"/>
      <c r="X278" s="379">
        <v>21670.95</v>
      </c>
      <c r="Y278" s="460">
        <f t="shared" si="13"/>
        <v>12302400.73</v>
      </c>
      <c r="Z278" s="395"/>
      <c r="AA278" s="395"/>
      <c r="AB278" s="395">
        <v>153825.88</v>
      </c>
      <c r="AC278" s="395"/>
      <c r="AD278" s="395">
        <v>336493.21</v>
      </c>
      <c r="AE278" s="395"/>
      <c r="AF278" s="395"/>
      <c r="AG278" s="395"/>
      <c r="AH278" s="395"/>
      <c r="AI278" s="395"/>
      <c r="AJ278" s="395"/>
      <c r="AK278" s="395"/>
      <c r="AL278" s="452"/>
      <c r="AM278" s="460">
        <f t="shared" si="14"/>
        <v>490319.09</v>
      </c>
      <c r="AN278" s="395">
        <v>67.5</v>
      </c>
      <c r="AO278" s="398">
        <v>2311</v>
      </c>
      <c r="AP278" s="455">
        <v>-94134.23</v>
      </c>
      <c r="AQ278" s="465"/>
      <c r="AR278" s="465">
        <v>-13760.55</v>
      </c>
      <c r="AS278" s="470">
        <v>1</v>
      </c>
      <c r="AT278" s="516"/>
      <c r="AU278" s="516"/>
      <c r="AV278" s="516"/>
      <c r="AW278" s="516"/>
      <c r="AX278" s="516"/>
      <c r="AY278" s="516"/>
      <c r="AZ278" s="523"/>
      <c r="BA278" s="523"/>
      <c r="BB278" s="523"/>
      <c r="BC278" s="523"/>
      <c r="BD278" s="523"/>
      <c r="BE278" s="523"/>
      <c r="BF278" s="523"/>
      <c r="BG278" s="523"/>
    </row>
    <row r="279" spans="1:59" x14ac:dyDescent="0.25">
      <c r="A279" s="338">
        <v>5884</v>
      </c>
      <c r="B279" s="486" t="s">
        <v>49</v>
      </c>
      <c r="C279" s="390">
        <v>5773686.8200000003</v>
      </c>
      <c r="D279" s="390">
        <v>836336.35</v>
      </c>
      <c r="E279" s="388"/>
      <c r="F279" s="390">
        <v>0</v>
      </c>
      <c r="G279" s="390">
        <v>268358.59999999998</v>
      </c>
      <c r="H279" s="390">
        <v>63978.75</v>
      </c>
      <c r="I279" s="390">
        <v>26243.7</v>
      </c>
      <c r="J279" s="390">
        <v>129192.63</v>
      </c>
      <c r="K279" s="390">
        <v>184918.95</v>
      </c>
      <c r="L279" s="390">
        <v>968413.55</v>
      </c>
      <c r="M279" s="331">
        <f t="shared" si="12"/>
        <v>8251129.3499999996</v>
      </c>
      <c r="N279" s="394">
        <v>471954.75</v>
      </c>
      <c r="O279" s="394">
        <v>0</v>
      </c>
      <c r="P279" s="394">
        <v>312090.3</v>
      </c>
      <c r="Q279" s="394">
        <v>6608.53</v>
      </c>
      <c r="R279" s="394">
        <v>214673.65</v>
      </c>
      <c r="S279" s="394"/>
      <c r="T279" s="394"/>
      <c r="U279" s="394">
        <v>20300</v>
      </c>
      <c r="V279" s="394"/>
      <c r="W279" s="394"/>
      <c r="X279" s="379">
        <v>39862.83</v>
      </c>
      <c r="Y279" s="460">
        <f t="shared" si="13"/>
        <v>9316619.4100000001</v>
      </c>
      <c r="Z279" s="395"/>
      <c r="AA279" s="395"/>
      <c r="AB279" s="395">
        <v>339297.05</v>
      </c>
      <c r="AC279" s="395">
        <v>614997.71</v>
      </c>
      <c r="AD279" s="395">
        <v>251477.38</v>
      </c>
      <c r="AE279" s="395"/>
      <c r="AF279" s="395"/>
      <c r="AG279" s="395"/>
      <c r="AH279" s="395">
        <v>12122.5</v>
      </c>
      <c r="AI279" s="395">
        <v>256913.25</v>
      </c>
      <c r="AJ279" s="395"/>
      <c r="AK279" s="395"/>
      <c r="AL279" s="452">
        <v>73153.55</v>
      </c>
      <c r="AM279" s="460">
        <f t="shared" si="14"/>
        <v>1547961.4400000002</v>
      </c>
      <c r="AN279" s="395">
        <v>66</v>
      </c>
      <c r="AO279" s="398">
        <v>3420</v>
      </c>
      <c r="AP279" s="455">
        <v>-68462.78</v>
      </c>
      <c r="AQ279" s="465"/>
      <c r="AR279" s="465">
        <v>-4466.72</v>
      </c>
      <c r="AS279" s="470">
        <v>1.2</v>
      </c>
      <c r="AT279" s="516"/>
      <c r="AU279" s="516"/>
      <c r="AV279" s="516"/>
      <c r="AW279" s="516"/>
      <c r="AX279" s="516"/>
      <c r="AY279" s="516"/>
      <c r="AZ279" s="523"/>
      <c r="BA279" s="523"/>
      <c r="BB279" s="523"/>
      <c r="BC279" s="523"/>
      <c r="BD279" s="523"/>
      <c r="BE279" s="523"/>
      <c r="BF279" s="523"/>
      <c r="BG279" s="523"/>
    </row>
    <row r="280" spans="1:59" x14ac:dyDescent="0.25">
      <c r="A280" s="338">
        <v>5885</v>
      </c>
      <c r="B280" s="486" t="s">
        <v>50</v>
      </c>
      <c r="C280" s="390">
        <v>4629092.49</v>
      </c>
      <c r="D280" s="390">
        <v>712082.44</v>
      </c>
      <c r="E280" s="388"/>
      <c r="F280" s="390">
        <v>0</v>
      </c>
      <c r="G280" s="390">
        <v>-4833</v>
      </c>
      <c r="H280" s="390">
        <v>5043.1000000000004</v>
      </c>
      <c r="I280" s="390">
        <v>65358.400000000001</v>
      </c>
      <c r="J280" s="390">
        <v>105212.06</v>
      </c>
      <c r="K280" s="390">
        <v>-4704.55</v>
      </c>
      <c r="L280" s="390">
        <v>499533.85</v>
      </c>
      <c r="M280" s="331">
        <f t="shared" si="12"/>
        <v>6006784.7899999991</v>
      </c>
      <c r="N280" s="394">
        <v>2144.65</v>
      </c>
      <c r="O280" s="394">
        <v>24912.400000000001</v>
      </c>
      <c r="P280" s="394">
        <v>362478.35</v>
      </c>
      <c r="Q280" s="394">
        <v>0</v>
      </c>
      <c r="R280" s="394">
        <v>290352.55</v>
      </c>
      <c r="S280" s="394">
        <v>97.25</v>
      </c>
      <c r="T280" s="394"/>
      <c r="U280" s="394">
        <v>8600</v>
      </c>
      <c r="V280" s="394"/>
      <c r="W280" s="394"/>
      <c r="X280" s="379">
        <v>25.2</v>
      </c>
      <c r="Y280" s="460">
        <f t="shared" si="13"/>
        <v>6695395.1899999995</v>
      </c>
      <c r="Z280" s="395">
        <v>27285</v>
      </c>
      <c r="AA280" s="395"/>
      <c r="AB280" s="395">
        <v>27921.599999999999</v>
      </c>
      <c r="AC280" s="395"/>
      <c r="AD280" s="395">
        <v>155506.98000000001</v>
      </c>
      <c r="AE280" s="395"/>
      <c r="AF280" s="395"/>
      <c r="AG280" s="395"/>
      <c r="AH280" s="395"/>
      <c r="AI280" s="395">
        <v>40313.4</v>
      </c>
      <c r="AJ280" s="395"/>
      <c r="AK280" s="395"/>
      <c r="AL280" s="452"/>
      <c r="AM280" s="460">
        <f t="shared" si="14"/>
        <v>251026.98</v>
      </c>
      <c r="AN280" s="395">
        <v>69.5</v>
      </c>
      <c r="AO280" s="398">
        <v>1670</v>
      </c>
      <c r="AP280" s="455">
        <v>-5103.87</v>
      </c>
      <c r="AQ280" s="465"/>
      <c r="AR280" s="465">
        <v>-3916.17</v>
      </c>
      <c r="AS280" s="470">
        <v>1.2</v>
      </c>
      <c r="AT280" s="516"/>
      <c r="AU280" s="516"/>
      <c r="AV280" s="516"/>
      <c r="AW280" s="516"/>
      <c r="AX280" s="516"/>
      <c r="AY280" s="516"/>
      <c r="AZ280" s="523"/>
      <c r="BA280" s="523"/>
      <c r="BB280" s="523"/>
      <c r="BC280" s="523"/>
      <c r="BD280" s="523"/>
      <c r="BE280" s="523"/>
      <c r="BF280" s="523"/>
      <c r="BG280" s="523"/>
    </row>
    <row r="281" spans="1:59" x14ac:dyDescent="0.25">
      <c r="A281" s="338">
        <v>5886</v>
      </c>
      <c r="B281" s="486" t="s">
        <v>51</v>
      </c>
      <c r="C281" s="390">
        <v>43386223.619999997</v>
      </c>
      <c r="D281" s="390">
        <v>11400811.4</v>
      </c>
      <c r="E281" s="388"/>
      <c r="F281" s="390">
        <v>0</v>
      </c>
      <c r="G281" s="390">
        <v>2613974.9500000002</v>
      </c>
      <c r="H281" s="390">
        <v>439182</v>
      </c>
      <c r="I281" s="390">
        <v>3440972.13</v>
      </c>
      <c r="J281" s="390">
        <v>2273892.98</v>
      </c>
      <c r="K281" s="390">
        <v>713553.05</v>
      </c>
      <c r="L281" s="390">
        <v>11309162</v>
      </c>
      <c r="M281" s="331">
        <f t="shared" si="12"/>
        <v>75577772.129999995</v>
      </c>
      <c r="N281" s="394">
        <v>1113954.95</v>
      </c>
      <c r="O281" s="394">
        <v>14175436.6</v>
      </c>
      <c r="P281" s="394">
        <v>4226896.3</v>
      </c>
      <c r="Q281" s="394">
        <v>233403.51</v>
      </c>
      <c r="R281" s="394">
        <v>3021737.75</v>
      </c>
      <c r="S281" s="394"/>
      <c r="T281" s="394"/>
      <c r="U281" s="394">
        <v>93050</v>
      </c>
      <c r="V281" s="394"/>
      <c r="W281" s="394"/>
      <c r="X281" s="379">
        <v>366216.66</v>
      </c>
      <c r="Y281" s="460">
        <f t="shared" si="13"/>
        <v>98808467.899999991</v>
      </c>
      <c r="Z281" s="395"/>
      <c r="AA281" s="395"/>
      <c r="AB281" s="395">
        <v>2975108</v>
      </c>
      <c r="AC281" s="395"/>
      <c r="AD281" s="395">
        <v>1812366</v>
      </c>
      <c r="AE281" s="395"/>
      <c r="AF281" s="395"/>
      <c r="AG281" s="395"/>
      <c r="AH281" s="395"/>
      <c r="AI281" s="395"/>
      <c r="AJ281" s="395"/>
      <c r="AK281" s="395"/>
      <c r="AL281" s="452"/>
      <c r="AM281" s="460">
        <f t="shared" si="14"/>
        <v>4787474</v>
      </c>
      <c r="AN281" s="395">
        <v>65</v>
      </c>
      <c r="AO281" s="398">
        <v>26180</v>
      </c>
      <c r="AP281" s="455">
        <v>-979478.85</v>
      </c>
      <c r="AQ281" s="465"/>
      <c r="AR281" s="465">
        <v>-118292.14</v>
      </c>
      <c r="AS281" s="470">
        <v>1.5</v>
      </c>
      <c r="AT281" s="516"/>
      <c r="AU281" s="516"/>
      <c r="AV281" s="516"/>
      <c r="AW281" s="516"/>
      <c r="AX281" s="516"/>
      <c r="AY281" s="516"/>
      <c r="AZ281" s="523"/>
      <c r="BA281" s="523"/>
      <c r="BB281" s="523"/>
      <c r="BC281" s="523"/>
      <c r="BD281" s="523"/>
      <c r="BE281" s="523"/>
      <c r="BF281" s="523"/>
      <c r="BG281" s="523"/>
    </row>
    <row r="282" spans="1:59" x14ac:dyDescent="0.25">
      <c r="A282" s="338">
        <v>5888</v>
      </c>
      <c r="B282" s="486" t="s">
        <v>510</v>
      </c>
      <c r="C282" s="390">
        <v>15796998.060000001</v>
      </c>
      <c r="D282" s="390">
        <v>3834766.96</v>
      </c>
      <c r="E282" s="388"/>
      <c r="F282" s="390">
        <v>0</v>
      </c>
      <c r="G282" s="390">
        <v>371061.15</v>
      </c>
      <c r="H282" s="390">
        <v>49222.3</v>
      </c>
      <c r="I282" s="390">
        <v>318286.65000000002</v>
      </c>
      <c r="J282" s="390">
        <v>307136.8</v>
      </c>
      <c r="K282" s="390">
        <v>79417.5</v>
      </c>
      <c r="L282" s="390">
        <v>1846263.25</v>
      </c>
      <c r="M282" s="331">
        <f t="shared" si="12"/>
        <v>22603152.669999998</v>
      </c>
      <c r="N282" s="394">
        <v>190374.5</v>
      </c>
      <c r="O282" s="394">
        <v>4698.6000000000004</v>
      </c>
      <c r="P282" s="394">
        <v>1379677.55</v>
      </c>
      <c r="Q282" s="394">
        <v>46542.17</v>
      </c>
      <c r="R282" s="394">
        <v>585396.15</v>
      </c>
      <c r="S282" s="394"/>
      <c r="T282" s="394"/>
      <c r="U282" s="394">
        <v>35650</v>
      </c>
      <c r="V282" s="394"/>
      <c r="W282" s="394"/>
      <c r="X282" s="379">
        <v>50411.69</v>
      </c>
      <c r="Y282" s="460">
        <f t="shared" si="13"/>
        <v>24895903.330000002</v>
      </c>
      <c r="Z282" s="395">
        <v>68374</v>
      </c>
      <c r="AA282" s="395"/>
      <c r="AB282" s="395">
        <v>743845.05</v>
      </c>
      <c r="AC282" s="395">
        <v>1069162.3700000001</v>
      </c>
      <c r="AD282" s="395">
        <v>403645.75</v>
      </c>
      <c r="AE282" s="395">
        <v>62373.5</v>
      </c>
      <c r="AF282" s="395"/>
      <c r="AG282" s="395"/>
      <c r="AH282" s="395">
        <v>45926</v>
      </c>
      <c r="AI282" s="395"/>
      <c r="AJ282" s="395"/>
      <c r="AK282" s="395"/>
      <c r="AL282" s="452"/>
      <c r="AM282" s="460">
        <f t="shared" si="14"/>
        <v>2393326.67</v>
      </c>
      <c r="AN282" s="395">
        <v>68.5</v>
      </c>
      <c r="AO282" s="398">
        <v>5522</v>
      </c>
      <c r="AP282" s="455">
        <v>-59918.26</v>
      </c>
      <c r="AQ282" s="465"/>
      <c r="AR282" s="465">
        <v>-29801</v>
      </c>
      <c r="AS282" s="470">
        <v>1.2</v>
      </c>
      <c r="AT282" s="516"/>
      <c r="AU282" s="516"/>
      <c r="AV282" s="516"/>
      <c r="AW282" s="516"/>
      <c r="AX282" s="516"/>
      <c r="AY282" s="516"/>
      <c r="AZ282" s="523"/>
      <c r="BA282" s="523"/>
      <c r="BB282" s="523"/>
      <c r="BC282" s="523"/>
      <c r="BD282" s="523"/>
      <c r="BE282" s="523"/>
      <c r="BF282" s="523"/>
      <c r="BG282" s="523"/>
    </row>
    <row r="283" spans="1:59" x14ac:dyDescent="0.25">
      <c r="A283" s="338">
        <v>5889</v>
      </c>
      <c r="B283" s="486" t="s">
        <v>52</v>
      </c>
      <c r="C283" s="390">
        <v>28877988.780000001</v>
      </c>
      <c r="D283" s="390">
        <v>5931076</v>
      </c>
      <c r="E283" s="388"/>
      <c r="F283" s="390">
        <v>0</v>
      </c>
      <c r="G283" s="390">
        <v>4371006.4000000004</v>
      </c>
      <c r="H283" s="390">
        <v>21240.5</v>
      </c>
      <c r="I283" s="390">
        <v>496028.45</v>
      </c>
      <c r="J283" s="390">
        <v>567329.85</v>
      </c>
      <c r="K283" s="390">
        <v>211743.9</v>
      </c>
      <c r="L283" s="390">
        <v>2987312.4</v>
      </c>
      <c r="M283" s="331">
        <f t="shared" si="12"/>
        <v>43463726.280000001</v>
      </c>
      <c r="N283" s="394">
        <v>213995.45</v>
      </c>
      <c r="O283" s="394">
        <v>700990.6</v>
      </c>
      <c r="P283" s="394">
        <v>1610117.1</v>
      </c>
      <c r="Q283" s="394">
        <v>136325.79999999999</v>
      </c>
      <c r="R283" s="394">
        <v>968601.5</v>
      </c>
      <c r="S283" s="394"/>
      <c r="T283" s="394"/>
      <c r="U283" s="394">
        <v>45300</v>
      </c>
      <c r="V283" s="394"/>
      <c r="W283" s="394">
        <v>288154.38</v>
      </c>
      <c r="X283" s="379">
        <v>526836.32999999996</v>
      </c>
      <c r="Y283" s="460">
        <f t="shared" si="13"/>
        <v>47954047.440000005</v>
      </c>
      <c r="Z283" s="395"/>
      <c r="AA283" s="395"/>
      <c r="AB283" s="395">
        <v>832820.5</v>
      </c>
      <c r="AC283" s="395">
        <v>1846856.94</v>
      </c>
      <c r="AD283" s="395">
        <v>1117797.48</v>
      </c>
      <c r="AE283" s="395">
        <v>275345.90000000002</v>
      </c>
      <c r="AF283" s="395"/>
      <c r="AG283" s="395"/>
      <c r="AH283" s="395"/>
      <c r="AI283" s="395">
        <v>217172.3</v>
      </c>
      <c r="AJ283" s="395"/>
      <c r="AK283" s="395"/>
      <c r="AL283" s="452"/>
      <c r="AM283" s="460">
        <f t="shared" si="14"/>
        <v>4289993.12</v>
      </c>
      <c r="AN283" s="395">
        <v>64</v>
      </c>
      <c r="AO283" s="398">
        <v>12088</v>
      </c>
      <c r="AP283" s="455">
        <v>-279655.38</v>
      </c>
      <c r="AQ283" s="465"/>
      <c r="AR283" s="465">
        <v>-87734.82</v>
      </c>
      <c r="AS283" s="470">
        <v>1.2</v>
      </c>
      <c r="AT283" s="516"/>
      <c r="AU283" s="516"/>
      <c r="AV283" s="516"/>
      <c r="AW283" s="516"/>
      <c r="AX283" s="516"/>
      <c r="AY283" s="516"/>
      <c r="AZ283" s="523"/>
      <c r="BA283" s="523"/>
      <c r="BB283" s="523"/>
      <c r="BC283" s="523"/>
      <c r="BD283" s="523"/>
      <c r="BE283" s="523"/>
      <c r="BF283" s="523"/>
      <c r="BG283" s="523"/>
    </row>
    <row r="284" spans="1:59" x14ac:dyDescent="0.25">
      <c r="A284" s="338">
        <v>5890</v>
      </c>
      <c r="B284" s="485" t="s">
        <v>53</v>
      </c>
      <c r="C284" s="390">
        <v>36593192.490000002</v>
      </c>
      <c r="D284" s="390">
        <v>4894427.3600000003</v>
      </c>
      <c r="E284" s="388"/>
      <c r="F284" s="390">
        <v>0</v>
      </c>
      <c r="G284" s="390">
        <v>11758942.699999999</v>
      </c>
      <c r="H284" s="390">
        <v>1039132.1</v>
      </c>
      <c r="I284" s="390">
        <v>301640.81</v>
      </c>
      <c r="J284" s="390">
        <v>3962548.39</v>
      </c>
      <c r="K284" s="390">
        <v>749667.7</v>
      </c>
      <c r="L284" s="390">
        <v>5674001.8399999999</v>
      </c>
      <c r="M284" s="331">
        <f t="shared" si="12"/>
        <v>64973553.390000001</v>
      </c>
      <c r="N284" s="394">
        <v>928887.1</v>
      </c>
      <c r="O284" s="394">
        <v>2559081.2000000002</v>
      </c>
      <c r="P284" s="394">
        <v>1570397.45</v>
      </c>
      <c r="Q284" s="394">
        <v>146582.91</v>
      </c>
      <c r="R284" s="394">
        <v>2095879.35</v>
      </c>
      <c r="S284" s="394"/>
      <c r="T284" s="394"/>
      <c r="U284" s="394">
        <v>54900</v>
      </c>
      <c r="V284" s="394"/>
      <c r="W284" s="394"/>
      <c r="X284" s="379">
        <v>1535089.19</v>
      </c>
      <c r="Y284" s="460">
        <f t="shared" si="13"/>
        <v>73864370.589999989</v>
      </c>
      <c r="Z284" s="395"/>
      <c r="AA284" s="395"/>
      <c r="AB284" s="395">
        <v>898662.34</v>
      </c>
      <c r="AC284" s="395"/>
      <c r="AD284" s="395">
        <v>1625710.59</v>
      </c>
      <c r="AE284" s="395"/>
      <c r="AF284" s="395"/>
      <c r="AG284" s="395"/>
      <c r="AH284" s="395"/>
      <c r="AI284" s="395">
        <v>654640.80000000005</v>
      </c>
      <c r="AJ284" s="395"/>
      <c r="AK284" s="395"/>
      <c r="AL284" s="452">
        <v>277111.65000000002</v>
      </c>
      <c r="AM284" s="460">
        <f t="shared" si="14"/>
        <v>3456125.3800000004</v>
      </c>
      <c r="AN284" s="395">
        <v>74.5</v>
      </c>
      <c r="AO284" s="398">
        <v>19780</v>
      </c>
      <c r="AP284" s="455">
        <v>-463900.91</v>
      </c>
      <c r="AQ284" s="465"/>
      <c r="AR284" s="465">
        <v>-34364.050000000003</v>
      </c>
      <c r="AS284" s="470">
        <v>1.5</v>
      </c>
      <c r="AT284" s="516"/>
      <c r="AU284" s="516"/>
      <c r="AV284" s="516"/>
      <c r="AW284" s="516"/>
      <c r="AX284" s="516"/>
      <c r="AY284" s="516"/>
      <c r="AZ284" s="523"/>
      <c r="BA284" s="523"/>
      <c r="BB284" s="523"/>
      <c r="BC284" s="523"/>
      <c r="BD284" s="523"/>
      <c r="BE284" s="523"/>
      <c r="BF284" s="523"/>
      <c r="BG284" s="523"/>
    </row>
    <row r="285" spans="1:59" x14ac:dyDescent="0.25">
      <c r="A285" s="338">
        <v>5891</v>
      </c>
      <c r="B285" s="486" t="s">
        <v>54</v>
      </c>
      <c r="C285" s="390">
        <v>2132943.9500000002</v>
      </c>
      <c r="D285" s="390">
        <v>571965.80000000005</v>
      </c>
      <c r="E285" s="388"/>
      <c r="F285" s="390">
        <v>0</v>
      </c>
      <c r="G285" s="390">
        <v>23606.2</v>
      </c>
      <c r="H285" s="390">
        <v>8117.3</v>
      </c>
      <c r="I285" s="390">
        <v>33065.75</v>
      </c>
      <c r="J285" s="390">
        <v>60261.36</v>
      </c>
      <c r="K285" s="390">
        <v>13791.35</v>
      </c>
      <c r="L285" s="390">
        <v>447474.05</v>
      </c>
      <c r="M285" s="331">
        <f t="shared" si="12"/>
        <v>3291225.76</v>
      </c>
      <c r="N285" s="394">
        <v>413.25</v>
      </c>
      <c r="O285" s="394">
        <v>192719</v>
      </c>
      <c r="P285" s="394">
        <v>82503.95</v>
      </c>
      <c r="Q285" s="394">
        <v>25585.96</v>
      </c>
      <c r="R285" s="394">
        <v>39283.199999999997</v>
      </c>
      <c r="S285" s="394"/>
      <c r="T285" s="394"/>
      <c r="U285" s="394">
        <v>4650</v>
      </c>
      <c r="V285" s="394">
        <v>120431</v>
      </c>
      <c r="W285" s="394"/>
      <c r="X285" s="379">
        <v>3805.13</v>
      </c>
      <c r="Y285" s="460">
        <f t="shared" si="13"/>
        <v>3760617.25</v>
      </c>
      <c r="Z285" s="395">
        <v>9728.75</v>
      </c>
      <c r="AA285" s="395"/>
      <c r="AB285" s="395">
        <v>53358.1</v>
      </c>
      <c r="AC285" s="395"/>
      <c r="AD285" s="395">
        <v>94346.6</v>
      </c>
      <c r="AE285" s="395"/>
      <c r="AF285" s="395"/>
      <c r="AG285" s="395"/>
      <c r="AH285" s="395"/>
      <c r="AI285" s="395">
        <v>25515.05</v>
      </c>
      <c r="AJ285" s="395"/>
      <c r="AK285" s="395"/>
      <c r="AL285" s="452">
        <v>7290</v>
      </c>
      <c r="AM285" s="460">
        <f t="shared" si="14"/>
        <v>190238.5</v>
      </c>
      <c r="AN285" s="395">
        <v>69.5</v>
      </c>
      <c r="AO285" s="398">
        <v>956</v>
      </c>
      <c r="AP285" s="455">
        <v>-113319.94</v>
      </c>
      <c r="AQ285" s="465"/>
      <c r="AR285" s="465">
        <v>-3587.09</v>
      </c>
      <c r="AS285" s="470">
        <v>1.5</v>
      </c>
      <c r="AT285" s="516"/>
      <c r="AU285" s="516"/>
      <c r="AV285" s="516"/>
      <c r="AW285" s="516"/>
      <c r="AX285" s="516"/>
      <c r="AY285" s="516"/>
      <c r="AZ285" s="523"/>
      <c r="BA285" s="523"/>
      <c r="BB285" s="523"/>
      <c r="BC285" s="523"/>
      <c r="BD285" s="523"/>
      <c r="BE285" s="523"/>
      <c r="BF285" s="523"/>
      <c r="BG285" s="523"/>
    </row>
    <row r="286" spans="1:59" x14ac:dyDescent="0.25">
      <c r="A286" s="338">
        <v>5902</v>
      </c>
      <c r="B286" s="485" t="s">
        <v>55</v>
      </c>
      <c r="C286" s="390">
        <v>680372.81</v>
      </c>
      <c r="D286" s="390">
        <v>75931.8</v>
      </c>
      <c r="E286" s="388"/>
      <c r="F286" s="390">
        <v>0</v>
      </c>
      <c r="G286" s="390">
        <v>3990.91</v>
      </c>
      <c r="H286" s="390">
        <v>166.95</v>
      </c>
      <c r="I286" s="390">
        <v>0</v>
      </c>
      <c r="J286" s="390">
        <v>2866.92</v>
      </c>
      <c r="K286" s="390">
        <v>0</v>
      </c>
      <c r="L286" s="390">
        <v>56555.93</v>
      </c>
      <c r="M286" s="331">
        <f t="shared" si="12"/>
        <v>819885.32000000018</v>
      </c>
      <c r="N286" s="394">
        <v>0</v>
      </c>
      <c r="O286" s="394">
        <v>78113.899999999994</v>
      </c>
      <c r="P286" s="394">
        <v>59304.9</v>
      </c>
      <c r="Q286" s="394">
        <v>0</v>
      </c>
      <c r="R286" s="394">
        <v>31121.5</v>
      </c>
      <c r="S286" s="394"/>
      <c r="T286" s="394">
        <v>50</v>
      </c>
      <c r="U286" s="394">
        <v>3630</v>
      </c>
      <c r="V286" s="394"/>
      <c r="W286" s="394"/>
      <c r="X286" s="379">
        <v>476.12</v>
      </c>
      <c r="Y286" s="460">
        <f t="shared" si="13"/>
        <v>992581.74000000022</v>
      </c>
      <c r="Z286" s="395">
        <v>2880</v>
      </c>
      <c r="AA286" s="395"/>
      <c r="AB286" s="395">
        <v>71775.7</v>
      </c>
      <c r="AC286" s="395"/>
      <c r="AD286" s="395">
        <v>24684.65</v>
      </c>
      <c r="AE286" s="395">
        <v>4366.5</v>
      </c>
      <c r="AF286" s="395"/>
      <c r="AG286" s="395"/>
      <c r="AH286" s="395"/>
      <c r="AI286" s="395"/>
      <c r="AJ286" s="395"/>
      <c r="AK286" s="395"/>
      <c r="AL286" s="452"/>
      <c r="AM286" s="460">
        <f t="shared" si="14"/>
        <v>103706.85</v>
      </c>
      <c r="AN286" s="395">
        <v>70</v>
      </c>
      <c r="AO286" s="398">
        <v>396</v>
      </c>
      <c r="AP286" s="455">
        <v>-9.7200000000000006</v>
      </c>
      <c r="AQ286" s="465"/>
      <c r="AR286" s="465">
        <v>0</v>
      </c>
      <c r="AS286" s="470">
        <v>1</v>
      </c>
      <c r="AT286" s="516"/>
      <c r="AU286" s="516"/>
      <c r="AV286" s="516"/>
      <c r="AW286" s="516"/>
      <c r="AX286" s="516"/>
      <c r="AY286" s="516"/>
      <c r="AZ286" s="523"/>
      <c r="BA286" s="523"/>
      <c r="BB286" s="523"/>
      <c r="BC286" s="523"/>
      <c r="BD286" s="523"/>
      <c r="BE286" s="523"/>
      <c r="BF286" s="523"/>
      <c r="BG286" s="523"/>
    </row>
    <row r="287" spans="1:59" x14ac:dyDescent="0.25">
      <c r="A287" s="338">
        <v>5903</v>
      </c>
      <c r="B287" s="485" t="s">
        <v>56</v>
      </c>
      <c r="C287" s="390">
        <v>290269.96999999997</v>
      </c>
      <c r="D287" s="390">
        <v>35810.870000000003</v>
      </c>
      <c r="E287" s="388"/>
      <c r="F287" s="390">
        <v>0</v>
      </c>
      <c r="G287" s="390">
        <v>-4241.55</v>
      </c>
      <c r="H287" s="390">
        <v>297.14999999999998</v>
      </c>
      <c r="I287" s="390">
        <v>0</v>
      </c>
      <c r="J287" s="390">
        <v>4873.83</v>
      </c>
      <c r="K287" s="390">
        <v>0</v>
      </c>
      <c r="L287" s="390">
        <v>25651</v>
      </c>
      <c r="M287" s="331">
        <f t="shared" si="12"/>
        <v>352661.27</v>
      </c>
      <c r="N287" s="394">
        <v>24639.1</v>
      </c>
      <c r="O287" s="394">
        <v>0</v>
      </c>
      <c r="P287" s="394">
        <v>2591.9499999999998</v>
      </c>
      <c r="Q287" s="394">
        <v>0</v>
      </c>
      <c r="R287" s="394">
        <v>4523.55</v>
      </c>
      <c r="S287" s="394"/>
      <c r="T287" s="394"/>
      <c r="U287" s="394">
        <v>1120</v>
      </c>
      <c r="V287" s="394"/>
      <c r="W287" s="394"/>
      <c r="X287" s="379">
        <v>-473.12</v>
      </c>
      <c r="Y287" s="460">
        <f t="shared" si="13"/>
        <v>385062.75</v>
      </c>
      <c r="Z287" s="395"/>
      <c r="AA287" s="395"/>
      <c r="AB287" s="395">
        <v>16185</v>
      </c>
      <c r="AC287" s="395"/>
      <c r="AD287" s="395">
        <v>10927</v>
      </c>
      <c r="AE287" s="395"/>
      <c r="AF287" s="395"/>
      <c r="AG287" s="395"/>
      <c r="AH287" s="395"/>
      <c r="AI287" s="395"/>
      <c r="AJ287" s="395"/>
      <c r="AK287" s="395"/>
      <c r="AL287" s="452"/>
      <c r="AM287" s="460">
        <f t="shared" si="14"/>
        <v>27112</v>
      </c>
      <c r="AN287" s="395">
        <v>72</v>
      </c>
      <c r="AO287" s="398">
        <v>230</v>
      </c>
      <c r="AP287" s="455">
        <v>-1937.45</v>
      </c>
      <c r="AQ287" s="465"/>
      <c r="AR287" s="465">
        <v>-4.63</v>
      </c>
      <c r="AS287" s="470">
        <v>0.7</v>
      </c>
      <c r="AT287" s="516"/>
      <c r="AU287" s="516"/>
      <c r="AV287" s="516"/>
      <c r="AW287" s="516"/>
      <c r="AX287" s="516"/>
      <c r="AY287" s="516"/>
      <c r="AZ287" s="523"/>
      <c r="BA287" s="523"/>
      <c r="BB287" s="523"/>
      <c r="BC287" s="523"/>
      <c r="BD287" s="523"/>
      <c r="BE287" s="523"/>
      <c r="BF287" s="523"/>
      <c r="BG287" s="523"/>
    </row>
    <row r="288" spans="1:59" x14ac:dyDescent="0.25">
      <c r="A288" s="338">
        <v>5904</v>
      </c>
      <c r="B288" s="485" t="s">
        <v>57</v>
      </c>
      <c r="C288" s="390">
        <v>1169285.06</v>
      </c>
      <c r="D288" s="390">
        <v>151914.60999999999</v>
      </c>
      <c r="E288" s="388"/>
      <c r="F288" s="390">
        <v>0</v>
      </c>
      <c r="G288" s="390">
        <v>2906.4</v>
      </c>
      <c r="H288" s="390">
        <v>602.95000000000005</v>
      </c>
      <c r="I288" s="390">
        <v>0</v>
      </c>
      <c r="J288" s="390">
        <v>17456.939999999999</v>
      </c>
      <c r="K288" s="390">
        <v>3864.65</v>
      </c>
      <c r="L288" s="390">
        <v>95964.1</v>
      </c>
      <c r="M288" s="331">
        <f t="shared" si="12"/>
        <v>1441994.7099999997</v>
      </c>
      <c r="N288" s="394">
        <v>34103.599999999999</v>
      </c>
      <c r="O288" s="394">
        <v>0</v>
      </c>
      <c r="P288" s="394">
        <v>50985</v>
      </c>
      <c r="Q288" s="394">
        <v>441.06</v>
      </c>
      <c r="R288" s="394">
        <v>21469.3</v>
      </c>
      <c r="S288" s="394"/>
      <c r="T288" s="394">
        <v>297.25</v>
      </c>
      <c r="U288" s="394">
        <v>3750</v>
      </c>
      <c r="V288" s="394"/>
      <c r="W288" s="394"/>
      <c r="X288" s="379">
        <v>420.94</v>
      </c>
      <c r="Y288" s="460">
        <f t="shared" si="13"/>
        <v>1553461.8599999999</v>
      </c>
      <c r="Z288" s="395">
        <v>3960</v>
      </c>
      <c r="AA288" s="395"/>
      <c r="AB288" s="395">
        <v>129340.6</v>
      </c>
      <c r="AC288" s="395"/>
      <c r="AD288" s="395">
        <v>55977.9</v>
      </c>
      <c r="AE288" s="395">
        <v>4110</v>
      </c>
      <c r="AF288" s="395"/>
      <c r="AG288" s="395"/>
      <c r="AH288" s="395">
        <v>1319</v>
      </c>
      <c r="AI288" s="395">
        <v>19676.099999999999</v>
      </c>
      <c r="AJ288" s="395"/>
      <c r="AK288" s="395"/>
      <c r="AL288" s="452"/>
      <c r="AM288" s="460">
        <f t="shared" si="14"/>
        <v>214383.6</v>
      </c>
      <c r="AN288" s="395">
        <v>66</v>
      </c>
      <c r="AO288" s="398">
        <v>559</v>
      </c>
      <c r="AP288" s="455">
        <v>-10795.87</v>
      </c>
      <c r="AQ288" s="465"/>
      <c r="AR288" s="465">
        <v>-253.12</v>
      </c>
      <c r="AS288" s="470">
        <v>1</v>
      </c>
      <c r="AT288" s="516"/>
      <c r="AU288" s="516"/>
      <c r="AV288" s="516"/>
      <c r="AW288" s="516"/>
      <c r="AX288" s="516"/>
      <c r="AY288" s="516"/>
      <c r="AZ288" s="523"/>
      <c r="BA288" s="523"/>
      <c r="BB288" s="523"/>
      <c r="BC288" s="523"/>
      <c r="BD288" s="523"/>
      <c r="BE288" s="523"/>
      <c r="BF288" s="523"/>
      <c r="BG288" s="523"/>
    </row>
    <row r="289" spans="1:59" x14ac:dyDescent="0.25">
      <c r="A289" s="338">
        <v>5905</v>
      </c>
      <c r="B289" s="485" t="s">
        <v>58</v>
      </c>
      <c r="C289" s="390">
        <v>1142195.71</v>
      </c>
      <c r="D289" s="390">
        <v>126078.03</v>
      </c>
      <c r="E289" s="388"/>
      <c r="F289" s="390">
        <v>0</v>
      </c>
      <c r="G289" s="390">
        <v>120352.9</v>
      </c>
      <c r="H289" s="390">
        <v>8414.7999999999993</v>
      </c>
      <c r="I289" s="390">
        <v>0</v>
      </c>
      <c r="J289" s="390">
        <v>31182.99</v>
      </c>
      <c r="K289" s="390">
        <v>-3012.45</v>
      </c>
      <c r="L289" s="390">
        <v>103440.55</v>
      </c>
      <c r="M289" s="331">
        <f t="shared" si="12"/>
        <v>1528652.53</v>
      </c>
      <c r="N289" s="394">
        <v>1903.55</v>
      </c>
      <c r="O289" s="394">
        <v>0</v>
      </c>
      <c r="P289" s="394">
        <v>54574.85</v>
      </c>
      <c r="Q289" s="394">
        <v>-665.43</v>
      </c>
      <c r="R289" s="394">
        <v>87319.85</v>
      </c>
      <c r="S289" s="394"/>
      <c r="T289" s="394"/>
      <c r="U289" s="394">
        <v>0</v>
      </c>
      <c r="V289" s="394"/>
      <c r="W289" s="394"/>
      <c r="X289" s="379">
        <v>15445.28</v>
      </c>
      <c r="Y289" s="460">
        <f t="shared" si="13"/>
        <v>1687230.6300000004</v>
      </c>
      <c r="Z289" s="395"/>
      <c r="AA289" s="395">
        <v>12311.4</v>
      </c>
      <c r="AB289" s="395">
        <v>115850.1</v>
      </c>
      <c r="AC289" s="395"/>
      <c r="AD289" s="395">
        <v>26894.15</v>
      </c>
      <c r="AE289" s="395"/>
      <c r="AF289" s="395"/>
      <c r="AG289" s="395"/>
      <c r="AH289" s="395"/>
      <c r="AI289" s="395"/>
      <c r="AJ289" s="395"/>
      <c r="AK289" s="395"/>
      <c r="AL289" s="452"/>
      <c r="AM289" s="460">
        <f t="shared" si="14"/>
        <v>155055.65</v>
      </c>
      <c r="AN289" s="395">
        <v>71</v>
      </c>
      <c r="AO289" s="398">
        <v>696</v>
      </c>
      <c r="AP289" s="455">
        <v>-4598.74</v>
      </c>
      <c r="AQ289" s="465"/>
      <c r="AR289" s="465">
        <v>-24.88</v>
      </c>
      <c r="AS289" s="470">
        <v>1</v>
      </c>
      <c r="AT289" s="516"/>
      <c r="AU289" s="516"/>
      <c r="AV289" s="516"/>
      <c r="AW289" s="516"/>
      <c r="AX289" s="516"/>
      <c r="AY289" s="516"/>
      <c r="AZ289" s="523"/>
      <c r="BA289" s="523"/>
      <c r="BB289" s="523"/>
      <c r="BC289" s="523"/>
      <c r="BD289" s="523"/>
      <c r="BE289" s="523"/>
      <c r="BF289" s="523"/>
      <c r="BG289" s="523"/>
    </row>
    <row r="290" spans="1:59" x14ac:dyDescent="0.25">
      <c r="A290" s="338">
        <v>5907</v>
      </c>
      <c r="B290" s="485" t="s">
        <v>59</v>
      </c>
      <c r="C290" s="390">
        <v>645814.72</v>
      </c>
      <c r="D290" s="390">
        <v>57117.01</v>
      </c>
      <c r="E290" s="388"/>
      <c r="F290" s="390">
        <v>1950</v>
      </c>
      <c r="G290" s="390">
        <v>844.8</v>
      </c>
      <c r="H290" s="390">
        <v>-310.05</v>
      </c>
      <c r="I290" s="390">
        <v>0</v>
      </c>
      <c r="J290" s="390">
        <v>-1250.77</v>
      </c>
      <c r="K290" s="390">
        <v>520.70000000000005</v>
      </c>
      <c r="L290" s="390">
        <v>44658.25</v>
      </c>
      <c r="M290" s="331">
        <f t="shared" si="12"/>
        <v>749344.65999999992</v>
      </c>
      <c r="N290" s="394">
        <v>7607.85</v>
      </c>
      <c r="O290" s="394">
        <v>0</v>
      </c>
      <c r="P290" s="394">
        <v>14552.4</v>
      </c>
      <c r="Q290" s="394">
        <v>2826.42</v>
      </c>
      <c r="R290" s="394">
        <v>17180.400000000001</v>
      </c>
      <c r="S290" s="394"/>
      <c r="T290" s="394">
        <v>790</v>
      </c>
      <c r="U290" s="394">
        <v>2040</v>
      </c>
      <c r="V290" s="394"/>
      <c r="W290" s="394"/>
      <c r="X290" s="379">
        <v>64.14</v>
      </c>
      <c r="Y290" s="460">
        <f t="shared" si="13"/>
        <v>794405.87</v>
      </c>
      <c r="Z290" s="395"/>
      <c r="AA290" s="395"/>
      <c r="AB290" s="395">
        <v>7626</v>
      </c>
      <c r="AC290" s="395"/>
      <c r="AD290" s="395">
        <v>11189.55</v>
      </c>
      <c r="AE290" s="395"/>
      <c r="AF290" s="395"/>
      <c r="AG290" s="395"/>
      <c r="AH290" s="395"/>
      <c r="AI290" s="395"/>
      <c r="AJ290" s="395"/>
      <c r="AK290" s="395"/>
      <c r="AL290" s="452"/>
      <c r="AM290" s="460">
        <f t="shared" si="14"/>
        <v>18815.55</v>
      </c>
      <c r="AN290" s="395">
        <v>75</v>
      </c>
      <c r="AO290" s="398">
        <v>324</v>
      </c>
      <c r="AP290" s="455">
        <v>-10393.469999999999</v>
      </c>
      <c r="AQ290" s="465"/>
      <c r="AR290" s="465">
        <v>-13.33</v>
      </c>
      <c r="AS290" s="470">
        <v>1</v>
      </c>
      <c r="AT290" s="516"/>
      <c r="AU290" s="516"/>
      <c r="AV290" s="516"/>
      <c r="AW290" s="516"/>
      <c r="AX290" s="516"/>
      <c r="AY290" s="516"/>
      <c r="AZ290" s="523"/>
      <c r="BA290" s="523"/>
      <c r="BB290" s="523"/>
      <c r="BC290" s="523"/>
      <c r="BD290" s="523"/>
      <c r="BE290" s="523"/>
      <c r="BF290" s="523"/>
      <c r="BG290" s="523"/>
    </row>
    <row r="291" spans="1:59" x14ac:dyDescent="0.25">
      <c r="A291" s="338">
        <v>5908</v>
      </c>
      <c r="B291" s="485" t="s">
        <v>60</v>
      </c>
      <c r="C291" s="390">
        <v>438227.64</v>
      </c>
      <c r="D291" s="390">
        <v>41689.279999999999</v>
      </c>
      <c r="E291" s="388"/>
      <c r="F291" s="390">
        <v>0</v>
      </c>
      <c r="G291" s="390">
        <v>107.25</v>
      </c>
      <c r="H291" s="390">
        <v>399.95</v>
      </c>
      <c r="I291" s="390">
        <v>0</v>
      </c>
      <c r="J291" s="390">
        <v>12982.5</v>
      </c>
      <c r="K291" s="390">
        <v>92.95</v>
      </c>
      <c r="L291" s="390">
        <v>21328.25</v>
      </c>
      <c r="M291" s="331">
        <f t="shared" si="12"/>
        <v>514827.82000000007</v>
      </c>
      <c r="N291" s="394">
        <v>4476.1000000000004</v>
      </c>
      <c r="O291" s="394">
        <v>0</v>
      </c>
      <c r="P291" s="394">
        <v>5995</v>
      </c>
      <c r="Q291" s="394">
        <v>0</v>
      </c>
      <c r="R291" s="394">
        <v>2762.55</v>
      </c>
      <c r="S291" s="394"/>
      <c r="T291" s="394"/>
      <c r="U291" s="394">
        <v>1584</v>
      </c>
      <c r="V291" s="394"/>
      <c r="W291" s="394"/>
      <c r="X291" s="379">
        <v>60.84</v>
      </c>
      <c r="Y291" s="460">
        <f t="shared" si="13"/>
        <v>529706.31000000006</v>
      </c>
      <c r="Z291" s="395">
        <v>28000</v>
      </c>
      <c r="AA291" s="395"/>
      <c r="AB291" s="395">
        <v>40368</v>
      </c>
      <c r="AC291" s="395"/>
      <c r="AD291" s="395">
        <v>5901.25</v>
      </c>
      <c r="AE291" s="395">
        <v>2035</v>
      </c>
      <c r="AF291" s="395"/>
      <c r="AG291" s="395"/>
      <c r="AH291" s="395"/>
      <c r="AI291" s="395"/>
      <c r="AJ291" s="395"/>
      <c r="AK291" s="395"/>
      <c r="AL291" s="452"/>
      <c r="AM291" s="460">
        <f t="shared" si="14"/>
        <v>76304.25</v>
      </c>
      <c r="AN291" s="395">
        <v>79</v>
      </c>
      <c r="AO291" s="398">
        <v>144</v>
      </c>
      <c r="AP291" s="455">
        <v>-1088.49</v>
      </c>
      <c r="AQ291" s="465"/>
      <c r="AR291" s="465">
        <v>-103.75</v>
      </c>
      <c r="AS291" s="470">
        <v>1</v>
      </c>
      <c r="AT291" s="516"/>
      <c r="AU291" s="516"/>
      <c r="AV291" s="516"/>
      <c r="AW291" s="516"/>
      <c r="AX291" s="516"/>
      <c r="AY291" s="516"/>
      <c r="AZ291" s="523"/>
      <c r="BA291" s="523"/>
      <c r="BB291" s="523"/>
      <c r="BC291" s="523"/>
      <c r="BD291" s="523"/>
      <c r="BE291" s="523"/>
      <c r="BF291" s="523"/>
      <c r="BG291" s="523"/>
    </row>
    <row r="292" spans="1:59" x14ac:dyDescent="0.25">
      <c r="A292" s="338">
        <v>5909</v>
      </c>
      <c r="B292" s="485" t="s">
        <v>61</v>
      </c>
      <c r="C292" s="390">
        <v>2031141.72</v>
      </c>
      <c r="D292" s="390">
        <v>393465.19</v>
      </c>
      <c r="E292" s="388"/>
      <c r="F292" s="390">
        <v>0</v>
      </c>
      <c r="G292" s="390">
        <v>17077.900000000001</v>
      </c>
      <c r="H292" s="390">
        <v>2169.1</v>
      </c>
      <c r="I292" s="390">
        <v>0</v>
      </c>
      <c r="J292" s="390">
        <v>25616.45</v>
      </c>
      <c r="K292" s="390">
        <v>-2571.0500000000002</v>
      </c>
      <c r="L292" s="390">
        <v>163073</v>
      </c>
      <c r="M292" s="331">
        <f t="shared" si="12"/>
        <v>2629972.3100000005</v>
      </c>
      <c r="N292" s="394">
        <v>8854.75</v>
      </c>
      <c r="O292" s="394">
        <v>2966.4</v>
      </c>
      <c r="P292" s="394">
        <v>45029.45</v>
      </c>
      <c r="Q292" s="394">
        <v>724.05</v>
      </c>
      <c r="R292" s="394">
        <v>42814.05</v>
      </c>
      <c r="S292" s="394"/>
      <c r="T292" s="394">
        <v>632.70000000000005</v>
      </c>
      <c r="U292" s="394">
        <v>928.2</v>
      </c>
      <c r="V292" s="394">
        <v>2000</v>
      </c>
      <c r="W292" s="394"/>
      <c r="X292" s="379">
        <v>2308.62</v>
      </c>
      <c r="Y292" s="460">
        <f t="shared" si="13"/>
        <v>2736230.5300000007</v>
      </c>
      <c r="Z292" s="395">
        <v>11463.87</v>
      </c>
      <c r="AA292" s="395"/>
      <c r="AB292" s="395">
        <v>97544.24</v>
      </c>
      <c r="AC292" s="395">
        <v>26241.5</v>
      </c>
      <c r="AD292" s="395">
        <v>45011.1</v>
      </c>
      <c r="AE292" s="395">
        <v>10945.28</v>
      </c>
      <c r="AF292" s="395"/>
      <c r="AG292" s="395"/>
      <c r="AH292" s="395">
        <v>74761.5</v>
      </c>
      <c r="AI292" s="395"/>
      <c r="AJ292" s="395"/>
      <c r="AK292" s="395"/>
      <c r="AL292" s="452"/>
      <c r="AM292" s="460">
        <f t="shared" si="14"/>
        <v>265967.49</v>
      </c>
      <c r="AN292" s="395">
        <v>67</v>
      </c>
      <c r="AO292" s="398">
        <v>741</v>
      </c>
      <c r="AP292" s="455">
        <v>-2037.97</v>
      </c>
      <c r="AQ292" s="465"/>
      <c r="AR292" s="465">
        <v>-606.21</v>
      </c>
      <c r="AS292" s="470">
        <v>1</v>
      </c>
      <c r="AT292" s="516"/>
      <c r="AU292" s="516"/>
      <c r="AV292" s="516"/>
      <c r="AW292" s="516"/>
      <c r="AX292" s="516"/>
      <c r="AY292" s="516"/>
      <c r="AZ292" s="523"/>
      <c r="BA292" s="523"/>
      <c r="BB292" s="523"/>
      <c r="BC292" s="523"/>
      <c r="BD292" s="523"/>
      <c r="BE292" s="523"/>
      <c r="BF292" s="523"/>
      <c r="BG292" s="523"/>
    </row>
    <row r="293" spans="1:59" x14ac:dyDescent="0.25">
      <c r="A293" s="338">
        <v>5910</v>
      </c>
      <c r="B293" s="485" t="s">
        <v>62</v>
      </c>
      <c r="C293" s="390">
        <v>633913.11</v>
      </c>
      <c r="D293" s="390">
        <v>68095.48</v>
      </c>
      <c r="E293" s="388"/>
      <c r="F293" s="390">
        <v>2290</v>
      </c>
      <c r="G293" s="390">
        <v>4515.6000000000004</v>
      </c>
      <c r="H293" s="390">
        <v>118.05</v>
      </c>
      <c r="I293" s="390">
        <v>0</v>
      </c>
      <c r="J293" s="390">
        <v>7757.32</v>
      </c>
      <c r="K293" s="390">
        <v>0</v>
      </c>
      <c r="L293" s="390">
        <v>56520</v>
      </c>
      <c r="M293" s="331">
        <f t="shared" si="12"/>
        <v>773209.55999999994</v>
      </c>
      <c r="N293" s="394">
        <v>0</v>
      </c>
      <c r="O293" s="394">
        <v>9.8000000000000007</v>
      </c>
      <c r="P293" s="394">
        <v>25300</v>
      </c>
      <c r="Q293" s="394">
        <v>0</v>
      </c>
      <c r="R293" s="394">
        <v>-35616.050000000003</v>
      </c>
      <c r="S293" s="394"/>
      <c r="T293" s="394">
        <v>80</v>
      </c>
      <c r="U293" s="394">
        <v>3850</v>
      </c>
      <c r="V293" s="394"/>
      <c r="W293" s="394"/>
      <c r="X293" s="379">
        <v>555.79</v>
      </c>
      <c r="Y293" s="460">
        <f t="shared" si="13"/>
        <v>767389.1</v>
      </c>
      <c r="Z293" s="395">
        <v>56165</v>
      </c>
      <c r="AA293" s="395"/>
      <c r="AB293" s="395">
        <v>27766.5</v>
      </c>
      <c r="AC293" s="395"/>
      <c r="AD293" s="395">
        <v>20765.45</v>
      </c>
      <c r="AE293" s="395">
        <v>13500</v>
      </c>
      <c r="AF293" s="395"/>
      <c r="AG293" s="395"/>
      <c r="AH293" s="395"/>
      <c r="AI293" s="395"/>
      <c r="AJ293" s="395"/>
      <c r="AK293" s="395"/>
      <c r="AL293" s="452"/>
      <c r="AM293" s="460">
        <f t="shared" si="14"/>
        <v>118196.95</v>
      </c>
      <c r="AN293" s="395">
        <v>77</v>
      </c>
      <c r="AO293" s="398">
        <v>393</v>
      </c>
      <c r="AP293" s="455">
        <v>-5598.18</v>
      </c>
      <c r="AQ293" s="465"/>
      <c r="AR293" s="465">
        <v>-15.01</v>
      </c>
      <c r="AS293" s="470">
        <v>1</v>
      </c>
      <c r="AT293" s="516"/>
      <c r="AU293" s="516"/>
      <c r="AV293" s="516"/>
      <c r="AW293" s="516"/>
      <c r="AX293" s="516"/>
      <c r="AY293" s="516"/>
      <c r="AZ293" s="523"/>
      <c r="BA293" s="523"/>
      <c r="BB293" s="523"/>
      <c r="BC293" s="523"/>
      <c r="BD293" s="523"/>
      <c r="BE293" s="523"/>
      <c r="BF293" s="523"/>
      <c r="BG293" s="523"/>
    </row>
    <row r="294" spans="1:59" x14ac:dyDescent="0.25">
      <c r="A294" s="338">
        <v>5911</v>
      </c>
      <c r="B294" s="485" t="s">
        <v>63</v>
      </c>
      <c r="C294" s="390">
        <v>451703.82</v>
      </c>
      <c r="D294" s="390">
        <v>45378.8</v>
      </c>
      <c r="E294" s="388"/>
      <c r="F294" s="390">
        <v>1450</v>
      </c>
      <c r="G294" s="390">
        <v>1604.05</v>
      </c>
      <c r="H294" s="390">
        <v>102.85</v>
      </c>
      <c r="I294" s="390">
        <v>0</v>
      </c>
      <c r="J294" s="390">
        <v>1137.6199999999999</v>
      </c>
      <c r="K294" s="390">
        <v>830.3</v>
      </c>
      <c r="L294" s="390">
        <v>33892.5</v>
      </c>
      <c r="M294" s="331">
        <f t="shared" si="12"/>
        <v>536099.93999999994</v>
      </c>
      <c r="N294" s="394">
        <v>1274</v>
      </c>
      <c r="O294" s="394">
        <v>1237.2</v>
      </c>
      <c r="P294" s="394">
        <v>0</v>
      </c>
      <c r="Q294" s="394">
        <v>0</v>
      </c>
      <c r="R294" s="394">
        <v>0</v>
      </c>
      <c r="S294" s="394"/>
      <c r="T294" s="394"/>
      <c r="U294" s="394">
        <v>879.15</v>
      </c>
      <c r="V294" s="394"/>
      <c r="W294" s="394"/>
      <c r="X294" s="379">
        <v>204.74</v>
      </c>
      <c r="Y294" s="460">
        <f t="shared" si="13"/>
        <v>539695.02999999991</v>
      </c>
      <c r="Z294" s="395"/>
      <c r="AA294" s="395"/>
      <c r="AB294" s="395">
        <v>35619.199999999997</v>
      </c>
      <c r="AC294" s="395"/>
      <c r="AD294" s="395">
        <v>12144.1</v>
      </c>
      <c r="AE294" s="395"/>
      <c r="AF294" s="395"/>
      <c r="AG294" s="395"/>
      <c r="AH294" s="395"/>
      <c r="AI294" s="395"/>
      <c r="AJ294" s="395"/>
      <c r="AK294" s="395"/>
      <c r="AL294" s="452"/>
      <c r="AM294" s="460">
        <f t="shared" si="14"/>
        <v>47763.299999999996</v>
      </c>
      <c r="AN294" s="395">
        <v>77</v>
      </c>
      <c r="AO294" s="398">
        <v>234</v>
      </c>
      <c r="AP294" s="455">
        <v>-99.75</v>
      </c>
      <c r="AQ294" s="465"/>
      <c r="AR294" s="465">
        <v>-1865.97</v>
      </c>
      <c r="AS294" s="470">
        <v>1</v>
      </c>
      <c r="AT294" s="516"/>
      <c r="AU294" s="516"/>
      <c r="AV294" s="516"/>
      <c r="AW294" s="516"/>
      <c r="AX294" s="516"/>
      <c r="AY294" s="516"/>
      <c r="AZ294" s="523"/>
      <c r="BA294" s="523"/>
      <c r="BB294" s="523"/>
      <c r="BC294" s="523"/>
      <c r="BD294" s="523"/>
      <c r="BE294" s="523"/>
      <c r="BF294" s="523"/>
      <c r="BG294" s="523"/>
    </row>
    <row r="295" spans="1:59" x14ac:dyDescent="0.25">
      <c r="A295" s="338">
        <v>5912</v>
      </c>
      <c r="B295" s="485" t="s">
        <v>64</v>
      </c>
      <c r="C295" s="390">
        <v>259454.18</v>
      </c>
      <c r="D295" s="390">
        <v>29070.1</v>
      </c>
      <c r="E295" s="388"/>
      <c r="F295" s="390">
        <v>890</v>
      </c>
      <c r="G295" s="390">
        <v>9191.2000000000007</v>
      </c>
      <c r="H295" s="390">
        <v>187</v>
      </c>
      <c r="I295" s="390">
        <v>0</v>
      </c>
      <c r="J295" s="390">
        <v>9417.1</v>
      </c>
      <c r="K295" s="390">
        <v>0</v>
      </c>
      <c r="L295" s="390">
        <v>21041.3</v>
      </c>
      <c r="M295" s="331">
        <f t="shared" si="12"/>
        <v>329250.87999999995</v>
      </c>
      <c r="N295" s="394">
        <v>2837.6</v>
      </c>
      <c r="O295" s="394">
        <v>0</v>
      </c>
      <c r="P295" s="394">
        <v>14300</v>
      </c>
      <c r="Q295" s="394">
        <v>0</v>
      </c>
      <c r="R295" s="394">
        <v>6755.3</v>
      </c>
      <c r="S295" s="394"/>
      <c r="T295" s="394"/>
      <c r="U295" s="394">
        <v>1400</v>
      </c>
      <c r="V295" s="394"/>
      <c r="W295" s="394"/>
      <c r="X295" s="379">
        <v>1124.8900000000001</v>
      </c>
      <c r="Y295" s="460">
        <f t="shared" si="13"/>
        <v>355668.66999999993</v>
      </c>
      <c r="Z295" s="395"/>
      <c r="AA295" s="395"/>
      <c r="AB295" s="395">
        <v>19549.5</v>
      </c>
      <c r="AC295" s="395"/>
      <c r="AD295" s="395">
        <v>9104.2000000000007</v>
      </c>
      <c r="AE295" s="395">
        <v>5423.3</v>
      </c>
      <c r="AF295" s="395"/>
      <c r="AG295" s="395"/>
      <c r="AH295" s="395"/>
      <c r="AI295" s="395"/>
      <c r="AJ295" s="395"/>
      <c r="AK295" s="395"/>
      <c r="AL295" s="452"/>
      <c r="AM295" s="460">
        <f t="shared" si="14"/>
        <v>34077</v>
      </c>
      <c r="AN295" s="395">
        <v>81</v>
      </c>
      <c r="AO295" s="398">
        <v>158</v>
      </c>
      <c r="AP295" s="455">
        <v>-654.65</v>
      </c>
      <c r="AQ295" s="465"/>
      <c r="AR295" s="465">
        <v>0</v>
      </c>
      <c r="AS295" s="470">
        <v>1</v>
      </c>
      <c r="AT295" s="516"/>
      <c r="AU295" s="516"/>
      <c r="AV295" s="516"/>
      <c r="AW295" s="516"/>
      <c r="AX295" s="516"/>
      <c r="AY295" s="516"/>
      <c r="AZ295" s="523"/>
      <c r="BA295" s="523"/>
      <c r="BB295" s="523"/>
      <c r="BC295" s="523"/>
      <c r="BD295" s="523"/>
      <c r="BE295" s="523"/>
      <c r="BF295" s="523"/>
      <c r="BG295" s="523"/>
    </row>
    <row r="296" spans="1:59" x14ac:dyDescent="0.25">
      <c r="A296" s="338">
        <v>5913</v>
      </c>
      <c r="B296" s="485" t="s">
        <v>65</v>
      </c>
      <c r="C296" s="390">
        <v>1203492.3799999999</v>
      </c>
      <c r="D296" s="390">
        <v>123166.94</v>
      </c>
      <c r="E296" s="388"/>
      <c r="F296" s="390">
        <v>0</v>
      </c>
      <c r="G296" s="390">
        <v>11187.35</v>
      </c>
      <c r="H296" s="390">
        <v>282.14999999999998</v>
      </c>
      <c r="I296" s="390">
        <v>0</v>
      </c>
      <c r="J296" s="390">
        <v>12856.2</v>
      </c>
      <c r="K296" s="390">
        <v>-258.35000000000002</v>
      </c>
      <c r="L296" s="390">
        <v>119379.2</v>
      </c>
      <c r="M296" s="331">
        <f t="shared" si="12"/>
        <v>1470105.8699999996</v>
      </c>
      <c r="N296" s="394">
        <v>30586.9</v>
      </c>
      <c r="O296" s="394">
        <v>0</v>
      </c>
      <c r="P296" s="394">
        <v>43192.7</v>
      </c>
      <c r="Q296" s="394">
        <v>1533.53</v>
      </c>
      <c r="R296" s="394">
        <v>30580</v>
      </c>
      <c r="S296" s="394"/>
      <c r="T296" s="394">
        <v>428.75</v>
      </c>
      <c r="U296" s="394">
        <v>5700.5</v>
      </c>
      <c r="V296" s="394"/>
      <c r="W296" s="394"/>
      <c r="X296" s="379">
        <v>1375.73</v>
      </c>
      <c r="Y296" s="460">
        <f t="shared" si="13"/>
        <v>1583503.9799999995</v>
      </c>
      <c r="Z296" s="395">
        <v>1325</v>
      </c>
      <c r="AA296" s="395"/>
      <c r="AB296" s="395">
        <v>72787</v>
      </c>
      <c r="AC296" s="395"/>
      <c r="AD296" s="395">
        <v>37169.5</v>
      </c>
      <c r="AE296" s="395">
        <v>34441</v>
      </c>
      <c r="AF296" s="395"/>
      <c r="AG296" s="395"/>
      <c r="AH296" s="395">
        <v>414</v>
      </c>
      <c r="AI296" s="395">
        <v>17417.55</v>
      </c>
      <c r="AJ296" s="395"/>
      <c r="AK296" s="395"/>
      <c r="AL296" s="452"/>
      <c r="AM296" s="460">
        <f t="shared" si="14"/>
        <v>163554.04999999999</v>
      </c>
      <c r="AN296" s="395">
        <v>73</v>
      </c>
      <c r="AO296" s="398">
        <v>829</v>
      </c>
      <c r="AP296" s="455">
        <v>-20736.669999999998</v>
      </c>
      <c r="AQ296" s="465"/>
      <c r="AR296" s="465">
        <v>-977.98</v>
      </c>
      <c r="AS296" s="470">
        <v>1</v>
      </c>
      <c r="AT296" s="516"/>
      <c r="AU296" s="516"/>
      <c r="AV296" s="516"/>
      <c r="AW296" s="516"/>
      <c r="AX296" s="516"/>
      <c r="AY296" s="516"/>
      <c r="AZ296" s="523"/>
      <c r="BA296" s="523"/>
      <c r="BB296" s="523"/>
      <c r="BC296" s="523"/>
      <c r="BD296" s="523"/>
      <c r="BE296" s="523"/>
      <c r="BF296" s="523"/>
      <c r="BG296" s="523"/>
    </row>
    <row r="297" spans="1:59" x14ac:dyDescent="0.25">
      <c r="A297" s="338">
        <v>5914</v>
      </c>
      <c r="B297" s="485" t="s">
        <v>66</v>
      </c>
      <c r="C297" s="390">
        <v>653562</v>
      </c>
      <c r="D297" s="390">
        <v>34044.410000000003</v>
      </c>
      <c r="E297" s="388"/>
      <c r="F297" s="390">
        <v>2090</v>
      </c>
      <c r="G297" s="390">
        <v>21746.35</v>
      </c>
      <c r="H297" s="390">
        <v>3796.95</v>
      </c>
      <c r="I297" s="390">
        <v>0</v>
      </c>
      <c r="J297" s="390">
        <v>9723.82</v>
      </c>
      <c r="K297" s="390">
        <v>7718.95</v>
      </c>
      <c r="L297" s="390">
        <v>57671.15</v>
      </c>
      <c r="M297" s="331">
        <f t="shared" si="12"/>
        <v>790353.62999999989</v>
      </c>
      <c r="N297" s="394">
        <v>4770.75</v>
      </c>
      <c r="O297" s="394">
        <v>0</v>
      </c>
      <c r="P297" s="394">
        <v>30904.5</v>
      </c>
      <c r="Q297" s="394">
        <v>0</v>
      </c>
      <c r="R297" s="394">
        <v>14806.6</v>
      </c>
      <c r="S297" s="394"/>
      <c r="T297" s="394">
        <v>310</v>
      </c>
      <c r="U297" s="394">
        <v>1180</v>
      </c>
      <c r="V297" s="394"/>
      <c r="W297" s="394"/>
      <c r="X297" s="379">
        <v>3063.84</v>
      </c>
      <c r="Y297" s="460">
        <f t="shared" si="13"/>
        <v>845389.31999999983</v>
      </c>
      <c r="Z297" s="395">
        <v>4772</v>
      </c>
      <c r="AA297" s="395"/>
      <c r="AB297" s="395">
        <v>66557.75</v>
      </c>
      <c r="AC297" s="395"/>
      <c r="AD297" s="395">
        <v>32460.65</v>
      </c>
      <c r="AE297" s="395"/>
      <c r="AF297" s="395"/>
      <c r="AG297" s="395"/>
      <c r="AH297" s="395"/>
      <c r="AI297" s="395"/>
      <c r="AJ297" s="395"/>
      <c r="AK297" s="395"/>
      <c r="AL297" s="452"/>
      <c r="AM297" s="460">
        <f t="shared" si="14"/>
        <v>103790.39999999999</v>
      </c>
      <c r="AN297" s="395">
        <v>73.5</v>
      </c>
      <c r="AO297" s="398">
        <v>388</v>
      </c>
      <c r="AP297" s="455">
        <v>-9754.3700000000008</v>
      </c>
      <c r="AQ297" s="465"/>
      <c r="AR297" s="465">
        <v>-0.59</v>
      </c>
      <c r="AS297" s="470">
        <v>1</v>
      </c>
      <c r="AT297" s="516"/>
      <c r="AU297" s="516"/>
      <c r="AV297" s="516"/>
      <c r="AW297" s="516"/>
      <c r="AX297" s="516"/>
      <c r="AY297" s="516"/>
      <c r="AZ297" s="523"/>
      <c r="BA297" s="523"/>
      <c r="BB297" s="523"/>
      <c r="BC297" s="523"/>
      <c r="BD297" s="523"/>
      <c r="BE297" s="523"/>
      <c r="BF297" s="523"/>
      <c r="BG297" s="523"/>
    </row>
    <row r="298" spans="1:59" x14ac:dyDescent="0.25">
      <c r="A298" s="338">
        <v>5919</v>
      </c>
      <c r="B298" s="485" t="s">
        <v>392</v>
      </c>
      <c r="C298" s="390">
        <v>1091336.24</v>
      </c>
      <c r="D298" s="390">
        <v>270444.49</v>
      </c>
      <c r="E298" s="388"/>
      <c r="F298" s="390">
        <v>3550</v>
      </c>
      <c r="G298" s="390">
        <v>55352.6</v>
      </c>
      <c r="H298" s="390">
        <v>1685.85</v>
      </c>
      <c r="I298" s="390">
        <v>0</v>
      </c>
      <c r="J298" s="390">
        <v>21563.51</v>
      </c>
      <c r="K298" s="390">
        <v>9312.4500000000007</v>
      </c>
      <c r="L298" s="390">
        <v>137901.95000000001</v>
      </c>
      <c r="M298" s="331">
        <f t="shared" si="12"/>
        <v>1591147.09</v>
      </c>
      <c r="N298" s="394">
        <v>11500.6</v>
      </c>
      <c r="O298" s="394">
        <v>100085.8</v>
      </c>
      <c r="P298" s="394">
        <v>110471.95</v>
      </c>
      <c r="Q298" s="394">
        <v>0</v>
      </c>
      <c r="R298" s="394">
        <v>55582.5</v>
      </c>
      <c r="S298" s="394">
        <v>250</v>
      </c>
      <c r="T298" s="394">
        <v>694.5</v>
      </c>
      <c r="U298" s="394">
        <v>3550</v>
      </c>
      <c r="V298" s="394"/>
      <c r="W298" s="394"/>
      <c r="X298" s="379">
        <v>6841.58</v>
      </c>
      <c r="Y298" s="460">
        <f t="shared" si="13"/>
        <v>1880124.0200000003</v>
      </c>
      <c r="Z298" s="395">
        <v>11654.35</v>
      </c>
      <c r="AA298" s="395"/>
      <c r="AB298" s="395">
        <v>159789.4</v>
      </c>
      <c r="AC298" s="395"/>
      <c r="AD298" s="395">
        <v>59491.199999999997</v>
      </c>
      <c r="AE298" s="395">
        <v>11281.15</v>
      </c>
      <c r="AF298" s="395"/>
      <c r="AG298" s="395"/>
      <c r="AH298" s="395">
        <v>1686</v>
      </c>
      <c r="AI298" s="395"/>
      <c r="AJ298" s="395"/>
      <c r="AK298" s="395"/>
      <c r="AL298" s="452"/>
      <c r="AM298" s="460">
        <f t="shared" si="14"/>
        <v>243902.1</v>
      </c>
      <c r="AN298" s="395">
        <v>72</v>
      </c>
      <c r="AO298" s="398">
        <v>651</v>
      </c>
      <c r="AP298" s="455">
        <v>-22225.9</v>
      </c>
      <c r="AQ298" s="465"/>
      <c r="AR298" s="465">
        <v>-56.05</v>
      </c>
      <c r="AS298" s="470">
        <v>1.2</v>
      </c>
      <c r="AT298" s="516"/>
      <c r="AU298" s="516"/>
      <c r="AV298" s="516"/>
      <c r="AW298" s="516"/>
      <c r="AX298" s="516"/>
      <c r="AY298" s="516"/>
      <c r="AZ298" s="523"/>
      <c r="BA298" s="523"/>
      <c r="BB298" s="523"/>
      <c r="BC298" s="523"/>
      <c r="BD298" s="523"/>
      <c r="BE298" s="523"/>
      <c r="BF298" s="523"/>
      <c r="BG298" s="523"/>
    </row>
    <row r="299" spans="1:59" x14ac:dyDescent="0.25">
      <c r="A299" s="338">
        <v>5921</v>
      </c>
      <c r="B299" s="485" t="s">
        <v>393</v>
      </c>
      <c r="C299" s="390">
        <v>376073.69</v>
      </c>
      <c r="D299" s="390">
        <v>52508.05</v>
      </c>
      <c r="E299" s="388"/>
      <c r="F299" s="390">
        <v>0</v>
      </c>
      <c r="G299" s="390">
        <v>-4707.55</v>
      </c>
      <c r="H299" s="390">
        <v>1338.9</v>
      </c>
      <c r="I299" s="390">
        <v>0</v>
      </c>
      <c r="J299" s="390">
        <v>7243.61</v>
      </c>
      <c r="K299" s="390">
        <v>0</v>
      </c>
      <c r="L299" s="390">
        <v>33713.25</v>
      </c>
      <c r="M299" s="331">
        <f t="shared" si="12"/>
        <v>466169.95</v>
      </c>
      <c r="N299" s="394">
        <v>1548.45</v>
      </c>
      <c r="O299" s="394">
        <v>6074.9</v>
      </c>
      <c r="P299" s="394">
        <v>16006.1</v>
      </c>
      <c r="Q299" s="394">
        <v>0</v>
      </c>
      <c r="R299" s="394">
        <v>882.55</v>
      </c>
      <c r="S299" s="394"/>
      <c r="T299" s="394">
        <v>350</v>
      </c>
      <c r="U299" s="394">
        <v>1552.5</v>
      </c>
      <c r="V299" s="394"/>
      <c r="W299" s="394"/>
      <c r="X299" s="379">
        <v>-404.06</v>
      </c>
      <c r="Y299" s="460">
        <f t="shared" si="13"/>
        <v>492180.39</v>
      </c>
      <c r="Z299" s="395">
        <v>9600</v>
      </c>
      <c r="AA299" s="395"/>
      <c r="AB299" s="395">
        <v>43530</v>
      </c>
      <c r="AC299" s="395"/>
      <c r="AD299" s="395">
        <v>8656.9</v>
      </c>
      <c r="AE299" s="395"/>
      <c r="AF299" s="395"/>
      <c r="AG299" s="395"/>
      <c r="AH299" s="395"/>
      <c r="AI299" s="395"/>
      <c r="AJ299" s="395"/>
      <c r="AK299" s="395"/>
      <c r="AL299" s="452"/>
      <c r="AM299" s="460">
        <f t="shared" si="14"/>
        <v>61786.9</v>
      </c>
      <c r="AN299" s="395">
        <v>81</v>
      </c>
      <c r="AO299" s="398">
        <v>252</v>
      </c>
      <c r="AP299" s="455">
        <v>-5989.48</v>
      </c>
      <c r="AQ299" s="465"/>
      <c r="AR299" s="465">
        <v>-29.05</v>
      </c>
      <c r="AS299" s="470">
        <v>1</v>
      </c>
      <c r="AT299" s="516"/>
      <c r="AU299" s="516"/>
      <c r="AV299" s="516"/>
      <c r="AW299" s="516"/>
      <c r="AX299" s="516"/>
      <c r="AY299" s="516"/>
      <c r="AZ299" s="523"/>
      <c r="BA299" s="523"/>
      <c r="BB299" s="523"/>
      <c r="BC299" s="523"/>
      <c r="BD299" s="523"/>
      <c r="BE299" s="523"/>
      <c r="BF299" s="523"/>
      <c r="BG299" s="523"/>
    </row>
    <row r="300" spans="1:59" x14ac:dyDescent="0.25">
      <c r="A300" s="338">
        <v>5922</v>
      </c>
      <c r="B300" s="485" t="s">
        <v>272</v>
      </c>
      <c r="C300" s="390">
        <v>1175357.67</v>
      </c>
      <c r="D300" s="390">
        <v>177661.9</v>
      </c>
      <c r="E300" s="388"/>
      <c r="F300" s="390">
        <v>0</v>
      </c>
      <c r="G300" s="390">
        <v>394569.7</v>
      </c>
      <c r="H300" s="390">
        <v>11621.1</v>
      </c>
      <c r="I300" s="390">
        <v>0</v>
      </c>
      <c r="J300" s="390">
        <v>58040.38</v>
      </c>
      <c r="K300" s="390">
        <v>-444.65000000000902</v>
      </c>
      <c r="L300" s="390">
        <v>259028.05</v>
      </c>
      <c r="M300" s="331">
        <f t="shared" si="12"/>
        <v>2075834.15</v>
      </c>
      <c r="N300" s="394">
        <v>275454.95</v>
      </c>
      <c r="O300" s="394">
        <v>-6233.6</v>
      </c>
      <c r="P300" s="394">
        <v>97702.85</v>
      </c>
      <c r="Q300" s="394">
        <v>1375.5</v>
      </c>
      <c r="R300" s="394">
        <v>33978.300000000003</v>
      </c>
      <c r="S300" s="394">
        <v>3875</v>
      </c>
      <c r="T300" s="394">
        <v>81835.3</v>
      </c>
      <c r="U300" s="394">
        <v>1560</v>
      </c>
      <c r="V300" s="394"/>
      <c r="W300" s="394"/>
      <c r="X300" s="379">
        <v>48721.32</v>
      </c>
      <c r="Y300" s="460">
        <f t="shared" si="13"/>
        <v>2614103.7699999996</v>
      </c>
      <c r="Z300" s="395">
        <v>12710.6</v>
      </c>
      <c r="AA300" s="395"/>
      <c r="AB300" s="395">
        <v>179138.15</v>
      </c>
      <c r="AC300" s="395"/>
      <c r="AD300" s="395">
        <v>133888.75</v>
      </c>
      <c r="AE300" s="395">
        <v>1560.95</v>
      </c>
      <c r="AF300" s="395"/>
      <c r="AG300" s="395"/>
      <c r="AH300" s="395">
        <v>72</v>
      </c>
      <c r="AI300" s="395">
        <v>90006.35</v>
      </c>
      <c r="AJ300" s="395"/>
      <c r="AK300" s="395"/>
      <c r="AL300" s="452"/>
      <c r="AM300" s="460">
        <f t="shared" si="14"/>
        <v>417376.80000000005</v>
      </c>
      <c r="AN300" s="395">
        <v>63.5</v>
      </c>
      <c r="AO300" s="398">
        <v>737</v>
      </c>
      <c r="AP300" s="455">
        <v>-73955.02</v>
      </c>
      <c r="AQ300" s="465"/>
      <c r="AR300" s="465">
        <v>-506.68</v>
      </c>
      <c r="AS300" s="470">
        <v>0.8</v>
      </c>
      <c r="AT300" s="516"/>
      <c r="AU300" s="516"/>
      <c r="AV300" s="516"/>
      <c r="AW300" s="516"/>
      <c r="AX300" s="516"/>
      <c r="AY300" s="516"/>
      <c r="AZ300" s="523"/>
      <c r="BA300" s="523"/>
      <c r="BB300" s="523"/>
      <c r="BC300" s="523"/>
      <c r="BD300" s="523"/>
      <c r="BE300" s="523"/>
      <c r="BF300" s="523"/>
      <c r="BG300" s="523"/>
    </row>
    <row r="301" spans="1:59" x14ac:dyDescent="0.25">
      <c r="A301" s="338">
        <v>5923</v>
      </c>
      <c r="B301" s="485" t="s">
        <v>273</v>
      </c>
      <c r="C301" s="390">
        <v>318747.53000000003</v>
      </c>
      <c r="D301" s="390">
        <v>18226.830000000002</v>
      </c>
      <c r="E301" s="388"/>
      <c r="F301" s="390">
        <v>0</v>
      </c>
      <c r="G301" s="390">
        <v>2196.6999999999998</v>
      </c>
      <c r="H301" s="390">
        <v>1026.5999999999999</v>
      </c>
      <c r="I301" s="390">
        <v>0</v>
      </c>
      <c r="J301" s="390">
        <v>26224.33</v>
      </c>
      <c r="K301" s="390">
        <v>0</v>
      </c>
      <c r="L301" s="390">
        <v>25830.400000000001</v>
      </c>
      <c r="M301" s="331">
        <f t="shared" si="12"/>
        <v>392252.39000000007</v>
      </c>
      <c r="N301" s="394">
        <v>19955.7</v>
      </c>
      <c r="O301" s="394">
        <v>10</v>
      </c>
      <c r="P301" s="394">
        <v>6036.25</v>
      </c>
      <c r="Q301" s="394">
        <v>0</v>
      </c>
      <c r="R301" s="394">
        <v>14162.6</v>
      </c>
      <c r="S301" s="394"/>
      <c r="T301" s="394"/>
      <c r="U301" s="394">
        <v>2617.5</v>
      </c>
      <c r="V301" s="394"/>
      <c r="W301" s="394"/>
      <c r="X301" s="379">
        <v>386.62</v>
      </c>
      <c r="Y301" s="460">
        <f t="shared" si="13"/>
        <v>435421.06000000006</v>
      </c>
      <c r="Z301" s="395"/>
      <c r="AA301" s="395"/>
      <c r="AB301" s="395">
        <v>52096.5</v>
      </c>
      <c r="AC301" s="395"/>
      <c r="AD301" s="395">
        <v>13558.1</v>
      </c>
      <c r="AE301" s="395"/>
      <c r="AF301" s="395"/>
      <c r="AG301" s="395"/>
      <c r="AH301" s="395"/>
      <c r="AI301" s="395"/>
      <c r="AJ301" s="395"/>
      <c r="AK301" s="395"/>
      <c r="AL301" s="452"/>
      <c r="AM301" s="460">
        <f t="shared" si="14"/>
        <v>65654.600000000006</v>
      </c>
      <c r="AN301" s="395">
        <v>81</v>
      </c>
      <c r="AO301" s="398">
        <v>201</v>
      </c>
      <c r="AP301" s="455">
        <v>-3900.52</v>
      </c>
      <c r="AQ301" s="465"/>
      <c r="AR301" s="465">
        <v>0</v>
      </c>
      <c r="AS301" s="470">
        <v>1</v>
      </c>
      <c r="AT301" s="516"/>
      <c r="AU301" s="516"/>
      <c r="AV301" s="516"/>
      <c r="AW301" s="516"/>
      <c r="AX301" s="516"/>
      <c r="AY301" s="516"/>
      <c r="AZ301" s="523"/>
      <c r="BA301" s="523"/>
      <c r="BB301" s="523"/>
      <c r="BC301" s="523"/>
      <c r="BD301" s="523"/>
      <c r="BE301" s="523"/>
      <c r="BF301" s="523"/>
      <c r="BG301" s="523"/>
    </row>
    <row r="302" spans="1:59" x14ac:dyDescent="0.25">
      <c r="A302" s="338">
        <v>5924</v>
      </c>
      <c r="B302" s="485" t="s">
        <v>274</v>
      </c>
      <c r="C302" s="390">
        <v>755331.63</v>
      </c>
      <c r="D302" s="390">
        <v>77955.509999999995</v>
      </c>
      <c r="E302" s="388"/>
      <c r="F302" s="390">
        <v>0</v>
      </c>
      <c r="G302" s="390">
        <v>32631.1</v>
      </c>
      <c r="H302" s="390">
        <v>182.1</v>
      </c>
      <c r="I302" s="390">
        <v>0</v>
      </c>
      <c r="J302" s="390">
        <v>2483.7199999999998</v>
      </c>
      <c r="K302" s="390">
        <v>0</v>
      </c>
      <c r="L302" s="390">
        <v>58527</v>
      </c>
      <c r="M302" s="331">
        <f t="shared" si="12"/>
        <v>927111.05999999994</v>
      </c>
      <c r="N302" s="394">
        <v>16319.85</v>
      </c>
      <c r="O302" s="394">
        <v>7385</v>
      </c>
      <c r="P302" s="394">
        <v>71747.649999999994</v>
      </c>
      <c r="Q302" s="394">
        <v>0</v>
      </c>
      <c r="R302" s="394">
        <v>89990.55</v>
      </c>
      <c r="S302" s="394">
        <v>350</v>
      </c>
      <c r="T302" s="394"/>
      <c r="U302" s="394">
        <v>3091.65</v>
      </c>
      <c r="V302" s="394"/>
      <c r="W302" s="394"/>
      <c r="X302" s="379">
        <v>3935.84</v>
      </c>
      <c r="Y302" s="460">
        <f t="shared" si="13"/>
        <v>1119931.5999999999</v>
      </c>
      <c r="Z302" s="395">
        <v>-17369</v>
      </c>
      <c r="AA302" s="395"/>
      <c r="AB302" s="395">
        <v>-8884.5</v>
      </c>
      <c r="AC302" s="395"/>
      <c r="AD302" s="395">
        <v>15108.2</v>
      </c>
      <c r="AE302" s="395">
        <v>-12765.1</v>
      </c>
      <c r="AF302" s="395"/>
      <c r="AG302" s="395"/>
      <c r="AH302" s="395">
        <v>2656</v>
      </c>
      <c r="AI302" s="395"/>
      <c r="AJ302" s="395"/>
      <c r="AK302" s="395"/>
      <c r="AL302" s="452"/>
      <c r="AM302" s="460">
        <f t="shared" si="14"/>
        <v>-21254.400000000001</v>
      </c>
      <c r="AN302" s="395">
        <v>74</v>
      </c>
      <c r="AO302" s="398">
        <v>343</v>
      </c>
      <c r="AP302" s="455">
        <v>-4091.03</v>
      </c>
      <c r="AQ302" s="465"/>
      <c r="AR302" s="465">
        <v>-74.400000000000006</v>
      </c>
      <c r="AS302" s="470">
        <v>1</v>
      </c>
      <c r="AT302" s="516"/>
      <c r="AU302" s="516"/>
      <c r="AV302" s="516"/>
      <c r="AW302" s="516"/>
      <c r="AX302" s="516"/>
      <c r="AY302" s="516"/>
      <c r="AZ302" s="523"/>
      <c r="BA302" s="523"/>
      <c r="BB302" s="523"/>
      <c r="BC302" s="523"/>
      <c r="BD302" s="523"/>
      <c r="BE302" s="523"/>
      <c r="BF302" s="523"/>
      <c r="BG302" s="523"/>
    </row>
    <row r="303" spans="1:59" x14ac:dyDescent="0.25">
      <c r="A303" s="338">
        <v>5925</v>
      </c>
      <c r="B303" s="485" t="s">
        <v>397</v>
      </c>
      <c r="C303" s="390">
        <v>419520.89</v>
      </c>
      <c r="D303" s="390">
        <v>17382.150000000001</v>
      </c>
      <c r="E303" s="388"/>
      <c r="F303" s="390">
        <v>1230</v>
      </c>
      <c r="G303" s="390">
        <v>-4018.55</v>
      </c>
      <c r="H303" s="390">
        <v>253.75</v>
      </c>
      <c r="I303" s="390">
        <v>0</v>
      </c>
      <c r="J303" s="390">
        <v>10449.290000000001</v>
      </c>
      <c r="K303" s="390">
        <v>0</v>
      </c>
      <c r="L303" s="390">
        <v>31788.1</v>
      </c>
      <c r="M303" s="331">
        <f t="shared" si="12"/>
        <v>476605.63</v>
      </c>
      <c r="N303" s="394">
        <v>7684.4</v>
      </c>
      <c r="O303" s="394">
        <v>112427.7</v>
      </c>
      <c r="P303" s="394">
        <v>15290</v>
      </c>
      <c r="Q303" s="394">
        <v>0</v>
      </c>
      <c r="R303" s="394">
        <v>4637.55</v>
      </c>
      <c r="S303" s="394"/>
      <c r="T303" s="394">
        <v>100</v>
      </c>
      <c r="U303" s="394">
        <v>2440</v>
      </c>
      <c r="V303" s="394"/>
      <c r="W303" s="394"/>
      <c r="X303" s="379">
        <v>-451.58</v>
      </c>
      <c r="Y303" s="460">
        <f t="shared" si="13"/>
        <v>618733.70000000007</v>
      </c>
      <c r="Z303" s="395"/>
      <c r="AA303" s="395">
        <v>700</v>
      </c>
      <c r="AB303" s="395">
        <v>40583.5</v>
      </c>
      <c r="AC303" s="395"/>
      <c r="AD303" s="395">
        <v>13985.6</v>
      </c>
      <c r="AE303" s="395">
        <v>1320</v>
      </c>
      <c r="AF303" s="395">
        <v>182.15</v>
      </c>
      <c r="AG303" s="395"/>
      <c r="AH303" s="395"/>
      <c r="AI303" s="395"/>
      <c r="AJ303" s="395"/>
      <c r="AK303" s="395"/>
      <c r="AL303" s="452"/>
      <c r="AM303" s="460">
        <f t="shared" si="14"/>
        <v>56771.25</v>
      </c>
      <c r="AN303" s="395">
        <v>79</v>
      </c>
      <c r="AO303" s="398">
        <v>201</v>
      </c>
      <c r="AP303" s="455">
        <v>-11676.58</v>
      </c>
      <c r="AQ303" s="465"/>
      <c r="AR303" s="465">
        <v>0</v>
      </c>
      <c r="AS303" s="470">
        <v>1</v>
      </c>
      <c r="AT303" s="516"/>
      <c r="AU303" s="516"/>
      <c r="AV303" s="516"/>
      <c r="AW303" s="516"/>
      <c r="AX303" s="516"/>
      <c r="AY303" s="516"/>
      <c r="AZ303" s="523"/>
      <c r="BA303" s="523"/>
      <c r="BB303" s="523"/>
      <c r="BC303" s="523"/>
      <c r="BD303" s="523"/>
      <c r="BE303" s="523"/>
      <c r="BF303" s="523"/>
      <c r="BG303" s="523"/>
    </row>
    <row r="304" spans="1:59" x14ac:dyDescent="0.25">
      <c r="A304" s="338">
        <v>5926</v>
      </c>
      <c r="B304" s="485" t="s">
        <v>398</v>
      </c>
      <c r="C304" s="390">
        <v>1545734.26</v>
      </c>
      <c r="D304" s="390">
        <v>252513.13</v>
      </c>
      <c r="E304" s="388"/>
      <c r="F304" s="390">
        <v>0</v>
      </c>
      <c r="G304" s="390">
        <v>5409.6499999999896</v>
      </c>
      <c r="H304" s="390">
        <v>-128.30000000000001</v>
      </c>
      <c r="I304" s="390">
        <v>0</v>
      </c>
      <c r="J304" s="390">
        <v>22139.54</v>
      </c>
      <c r="K304" s="390">
        <v>0</v>
      </c>
      <c r="L304" s="467">
        <v>122933.4</v>
      </c>
      <c r="M304" s="331">
        <f t="shared" si="12"/>
        <v>1948601.68</v>
      </c>
      <c r="N304" s="394">
        <v>11494.6</v>
      </c>
      <c r="O304" s="394">
        <v>19099.900000000001</v>
      </c>
      <c r="P304" s="394">
        <v>100571.3</v>
      </c>
      <c r="Q304" s="394">
        <v>4972.66</v>
      </c>
      <c r="R304" s="394">
        <v>51321.7</v>
      </c>
      <c r="S304" s="394">
        <v>870.7</v>
      </c>
      <c r="T304" s="394"/>
      <c r="U304" s="394">
        <v>4300</v>
      </c>
      <c r="V304" s="394"/>
      <c r="W304" s="394"/>
      <c r="X304" s="379">
        <v>633.48</v>
      </c>
      <c r="Y304" s="460">
        <f t="shared" si="13"/>
        <v>2141866.02</v>
      </c>
      <c r="Z304" s="395">
        <v>31600</v>
      </c>
      <c r="AA304" s="395"/>
      <c r="AB304" s="395">
        <v>70522.649999999994</v>
      </c>
      <c r="AC304" s="395"/>
      <c r="AD304" s="395">
        <v>45480.6</v>
      </c>
      <c r="AE304" s="395">
        <v>32900</v>
      </c>
      <c r="AF304" s="395">
        <v>5413.65</v>
      </c>
      <c r="AG304" s="395"/>
      <c r="AH304" s="395"/>
      <c r="AI304" s="395">
        <v>20222.400000000001</v>
      </c>
      <c r="AJ304" s="395"/>
      <c r="AK304" s="395"/>
      <c r="AL304" s="452"/>
      <c r="AM304" s="460">
        <f t="shared" si="14"/>
        <v>206139.3</v>
      </c>
      <c r="AN304" s="395">
        <v>71</v>
      </c>
      <c r="AO304" s="398">
        <v>803</v>
      </c>
      <c r="AP304" s="455">
        <v>-11331.52</v>
      </c>
      <c r="AQ304" s="465"/>
      <c r="AR304" s="465">
        <v>-90.08</v>
      </c>
      <c r="AS304" s="470">
        <v>1</v>
      </c>
      <c r="AT304" s="516"/>
      <c r="AU304" s="516"/>
      <c r="AV304" s="516"/>
      <c r="AW304" s="516"/>
      <c r="AX304" s="516"/>
      <c r="AY304" s="516"/>
      <c r="AZ304" s="523"/>
      <c r="BA304" s="523"/>
      <c r="BB304" s="523"/>
      <c r="BC304" s="523"/>
      <c r="BD304" s="523"/>
      <c r="BE304" s="523"/>
      <c r="BF304" s="523"/>
      <c r="BG304" s="523"/>
    </row>
    <row r="305" spans="1:67" x14ac:dyDescent="0.25">
      <c r="A305" s="338">
        <v>5928</v>
      </c>
      <c r="B305" s="485" t="s">
        <v>399</v>
      </c>
      <c r="C305" s="390">
        <v>299784.45</v>
      </c>
      <c r="D305" s="390">
        <v>52813.62</v>
      </c>
      <c r="E305" s="388"/>
      <c r="F305" s="390">
        <v>0</v>
      </c>
      <c r="G305" s="390">
        <v>3182.7</v>
      </c>
      <c r="H305" s="390">
        <v>45.5</v>
      </c>
      <c r="I305" s="390">
        <v>0</v>
      </c>
      <c r="J305" s="390">
        <v>25596.57</v>
      </c>
      <c r="K305" s="390">
        <v>0</v>
      </c>
      <c r="L305" s="390">
        <v>22647</v>
      </c>
      <c r="M305" s="331">
        <f t="shared" si="12"/>
        <v>404069.84</v>
      </c>
      <c r="N305" s="394">
        <v>5029.1499999999996</v>
      </c>
      <c r="O305" s="394">
        <v>-22567.3</v>
      </c>
      <c r="P305" s="394">
        <v>12822.7</v>
      </c>
      <c r="Q305" s="394">
        <v>-1.82</v>
      </c>
      <c r="R305" s="394">
        <v>14703.3</v>
      </c>
      <c r="S305" s="394"/>
      <c r="T305" s="394"/>
      <c r="U305" s="394">
        <v>1440</v>
      </c>
      <c r="V305" s="394"/>
      <c r="W305" s="394"/>
      <c r="X305" s="379">
        <v>387.21</v>
      </c>
      <c r="Y305" s="460">
        <f t="shared" si="13"/>
        <v>415883.08000000007</v>
      </c>
      <c r="Z305" s="395">
        <v>3000</v>
      </c>
      <c r="AA305" s="395"/>
      <c r="AB305" s="395">
        <v>34808.400000000001</v>
      </c>
      <c r="AC305" s="395"/>
      <c r="AD305" s="395">
        <v>9435.9</v>
      </c>
      <c r="AE305" s="395">
        <v>1000</v>
      </c>
      <c r="AF305" s="395"/>
      <c r="AG305" s="395"/>
      <c r="AH305" s="395"/>
      <c r="AI305" s="395"/>
      <c r="AJ305" s="395"/>
      <c r="AK305" s="395"/>
      <c r="AL305" s="452"/>
      <c r="AM305" s="460">
        <f t="shared" si="14"/>
        <v>48244.3</v>
      </c>
      <c r="AN305" s="395">
        <v>71.5</v>
      </c>
      <c r="AO305" s="398">
        <v>204</v>
      </c>
      <c r="AP305" s="455">
        <v>-6650.09</v>
      </c>
      <c r="AQ305" s="465"/>
      <c r="AR305" s="465">
        <v>-21.61</v>
      </c>
      <c r="AS305" s="470">
        <v>1</v>
      </c>
      <c r="AT305" s="516"/>
      <c r="AU305" s="516"/>
      <c r="AV305" s="516"/>
      <c r="AW305" s="516"/>
      <c r="AX305" s="516"/>
      <c r="AY305" s="516"/>
      <c r="AZ305" s="523"/>
      <c r="BA305" s="523"/>
      <c r="BB305" s="523"/>
      <c r="BC305" s="523"/>
      <c r="BD305" s="523"/>
      <c r="BE305" s="523"/>
      <c r="BF305" s="523"/>
      <c r="BG305" s="523"/>
    </row>
    <row r="306" spans="1:67" x14ac:dyDescent="0.25">
      <c r="A306" s="338">
        <v>5929</v>
      </c>
      <c r="B306" s="485" t="s">
        <v>400</v>
      </c>
      <c r="C306" s="390">
        <v>1106902.06</v>
      </c>
      <c r="D306" s="390">
        <v>99030.74</v>
      </c>
      <c r="E306" s="388"/>
      <c r="F306" s="390">
        <v>0</v>
      </c>
      <c r="G306" s="390">
        <v>30281.7</v>
      </c>
      <c r="H306" s="390">
        <v>90</v>
      </c>
      <c r="I306" s="390">
        <v>41100.15</v>
      </c>
      <c r="J306" s="390">
        <v>14288.28</v>
      </c>
      <c r="K306" s="390">
        <v>0</v>
      </c>
      <c r="L306" s="390">
        <v>91059.25</v>
      </c>
      <c r="M306" s="331">
        <f t="shared" si="12"/>
        <v>1382752.18</v>
      </c>
      <c r="N306" s="394">
        <v>10330.75</v>
      </c>
      <c r="O306" s="394">
        <v>0</v>
      </c>
      <c r="P306" s="394">
        <v>54620.5</v>
      </c>
      <c r="Q306" s="394">
        <v>0</v>
      </c>
      <c r="R306" s="394">
        <v>35210</v>
      </c>
      <c r="S306" s="394"/>
      <c r="T306" s="394">
        <v>537.20000000000005</v>
      </c>
      <c r="U306" s="394">
        <v>2370</v>
      </c>
      <c r="V306" s="394"/>
      <c r="W306" s="394"/>
      <c r="X306" s="379">
        <v>3642.99</v>
      </c>
      <c r="Y306" s="460">
        <f t="shared" si="13"/>
        <v>1489463.6199999999</v>
      </c>
      <c r="Z306" s="395">
        <v>6975</v>
      </c>
      <c r="AA306" s="395"/>
      <c r="AB306" s="395">
        <v>199179.45</v>
      </c>
      <c r="AC306" s="395"/>
      <c r="AD306" s="395">
        <v>70561.2</v>
      </c>
      <c r="AE306" s="395"/>
      <c r="AF306" s="395"/>
      <c r="AG306" s="395"/>
      <c r="AH306" s="395"/>
      <c r="AI306" s="395">
        <v>12211.8</v>
      </c>
      <c r="AJ306" s="395"/>
      <c r="AK306" s="395"/>
      <c r="AL306" s="452"/>
      <c r="AM306" s="460">
        <f t="shared" si="14"/>
        <v>288927.45</v>
      </c>
      <c r="AN306" s="395">
        <v>70</v>
      </c>
      <c r="AO306" s="398">
        <v>656</v>
      </c>
      <c r="AP306" s="455">
        <v>-21227.27</v>
      </c>
      <c r="AQ306" s="465"/>
      <c r="AR306" s="465">
        <v>-14.49</v>
      </c>
      <c r="AS306" s="470">
        <v>0.8</v>
      </c>
      <c r="AT306" s="516"/>
      <c r="AU306" s="516"/>
      <c r="AV306" s="516"/>
      <c r="AW306" s="516"/>
      <c r="AX306" s="516"/>
      <c r="AY306" s="516"/>
      <c r="AZ306" s="523"/>
      <c r="BA306" s="523"/>
      <c r="BB306" s="523"/>
      <c r="BC306" s="523"/>
      <c r="BD306" s="523"/>
      <c r="BE306" s="523"/>
      <c r="BF306" s="523"/>
      <c r="BG306" s="523"/>
    </row>
    <row r="307" spans="1:67" x14ac:dyDescent="0.25">
      <c r="A307" s="338">
        <v>5930</v>
      </c>
      <c r="B307" s="485" t="s">
        <v>401</v>
      </c>
      <c r="C307" s="390">
        <v>346088.66</v>
      </c>
      <c r="D307" s="390">
        <v>36966.019999999997</v>
      </c>
      <c r="E307" s="388"/>
      <c r="F307" s="390">
        <v>1180</v>
      </c>
      <c r="G307" s="390">
        <v>4488.8</v>
      </c>
      <c r="H307" s="390">
        <v>81</v>
      </c>
      <c r="I307" s="390">
        <v>0</v>
      </c>
      <c r="J307" s="390">
        <v>9254.5</v>
      </c>
      <c r="K307" s="390">
        <v>228.6</v>
      </c>
      <c r="L307" s="390">
        <v>29960.15</v>
      </c>
      <c r="M307" s="331">
        <f t="shared" si="12"/>
        <v>428247.73</v>
      </c>
      <c r="N307" s="394">
        <v>3787.4</v>
      </c>
      <c r="O307" s="394">
        <v>4.9000000000000004</v>
      </c>
      <c r="P307" s="394">
        <v>2762.35</v>
      </c>
      <c r="Q307" s="394">
        <v>0</v>
      </c>
      <c r="R307" s="394">
        <v>0</v>
      </c>
      <c r="S307" s="394"/>
      <c r="T307" s="394"/>
      <c r="U307" s="394">
        <v>600</v>
      </c>
      <c r="V307" s="394"/>
      <c r="W307" s="394"/>
      <c r="X307" s="379">
        <v>548.13</v>
      </c>
      <c r="Y307" s="460">
        <f t="shared" si="13"/>
        <v>435950.51</v>
      </c>
      <c r="Z307" s="395"/>
      <c r="AA307" s="395"/>
      <c r="AB307" s="395">
        <v>24979.599999999999</v>
      </c>
      <c r="AC307" s="395"/>
      <c r="AD307" s="395">
        <v>8315.7999999999993</v>
      </c>
      <c r="AE307" s="395">
        <v>2715.15</v>
      </c>
      <c r="AF307" s="395"/>
      <c r="AG307" s="395"/>
      <c r="AH307" s="395"/>
      <c r="AI307" s="395"/>
      <c r="AJ307" s="395"/>
      <c r="AK307" s="395"/>
      <c r="AL307" s="452"/>
      <c r="AM307" s="460">
        <f t="shared" si="14"/>
        <v>36010.549999999996</v>
      </c>
      <c r="AN307" s="395">
        <v>72</v>
      </c>
      <c r="AO307" s="398">
        <v>204</v>
      </c>
      <c r="AP307" s="455">
        <v>-13416.71</v>
      </c>
      <c r="AQ307" s="465"/>
      <c r="AR307" s="465">
        <v>0</v>
      </c>
      <c r="AS307" s="470">
        <v>1</v>
      </c>
      <c r="AT307" s="516"/>
      <c r="AU307" s="516"/>
      <c r="AV307" s="516"/>
      <c r="AW307" s="516"/>
      <c r="AX307" s="516"/>
      <c r="AY307" s="516"/>
      <c r="AZ307" s="523"/>
      <c r="BA307" s="523"/>
      <c r="BB307" s="523"/>
      <c r="BC307" s="523"/>
      <c r="BD307" s="523"/>
      <c r="BE307" s="523"/>
      <c r="BF307" s="523"/>
      <c r="BG307" s="523"/>
    </row>
    <row r="308" spans="1:67" x14ac:dyDescent="0.25">
      <c r="A308" s="338">
        <v>5931</v>
      </c>
      <c r="B308" s="485" t="s">
        <v>402</v>
      </c>
      <c r="C308" s="390">
        <v>913796.2</v>
      </c>
      <c r="D308" s="390">
        <v>120948.33</v>
      </c>
      <c r="E308" s="388"/>
      <c r="F308" s="390">
        <v>0</v>
      </c>
      <c r="G308" s="390">
        <v>16709.650000000001</v>
      </c>
      <c r="H308" s="390">
        <v>980.2</v>
      </c>
      <c r="I308" s="390">
        <v>0</v>
      </c>
      <c r="J308" s="390">
        <v>19888.89</v>
      </c>
      <c r="K308" s="390">
        <v>644.4</v>
      </c>
      <c r="L308" s="390">
        <v>78865.8</v>
      </c>
      <c r="M308" s="331">
        <f t="shared" si="12"/>
        <v>1151833.4699999997</v>
      </c>
      <c r="N308" s="394">
        <v>24166.85</v>
      </c>
      <c r="O308" s="394">
        <v>0</v>
      </c>
      <c r="P308" s="394">
        <v>38500</v>
      </c>
      <c r="Q308" s="394">
        <v>4418.49</v>
      </c>
      <c r="R308" s="394">
        <v>42587.45</v>
      </c>
      <c r="S308" s="394"/>
      <c r="T308" s="394">
        <v>197.25</v>
      </c>
      <c r="U308" s="394">
        <v>3850</v>
      </c>
      <c r="V308" s="394"/>
      <c r="W308" s="394"/>
      <c r="X308" s="379">
        <v>2121.84</v>
      </c>
      <c r="Y308" s="460">
        <f t="shared" si="13"/>
        <v>1267675.3499999999</v>
      </c>
      <c r="Z308" s="395">
        <v>24000</v>
      </c>
      <c r="AA308" s="395"/>
      <c r="AB308" s="395">
        <v>74873.8</v>
      </c>
      <c r="AC308" s="395"/>
      <c r="AD308" s="395">
        <v>40174.5</v>
      </c>
      <c r="AE308" s="395">
        <v>15595.2</v>
      </c>
      <c r="AF308" s="395"/>
      <c r="AG308" s="395"/>
      <c r="AH308" s="395">
        <v>150</v>
      </c>
      <c r="AI308" s="395">
        <v>12660.35</v>
      </c>
      <c r="AJ308" s="395"/>
      <c r="AK308" s="395"/>
      <c r="AL308" s="452"/>
      <c r="AM308" s="460">
        <f t="shared" si="14"/>
        <v>167453.85</v>
      </c>
      <c r="AN308" s="395">
        <v>75</v>
      </c>
      <c r="AO308" s="398">
        <v>485</v>
      </c>
      <c r="AP308" s="455">
        <v>-4549.88</v>
      </c>
      <c r="AQ308" s="465"/>
      <c r="AR308" s="465">
        <v>-53.69</v>
      </c>
      <c r="AS308" s="470">
        <v>1</v>
      </c>
      <c r="AT308" s="516"/>
      <c r="AU308" s="516"/>
      <c r="AV308" s="516"/>
      <c r="AW308" s="516"/>
      <c r="AX308" s="516"/>
      <c r="AY308" s="516"/>
      <c r="AZ308" s="523"/>
      <c r="BA308" s="523"/>
      <c r="BB308" s="523"/>
      <c r="BC308" s="523"/>
      <c r="BD308" s="523"/>
      <c r="BE308" s="523"/>
      <c r="BF308" s="523"/>
      <c r="BG308" s="523"/>
    </row>
    <row r="309" spans="1:67" x14ac:dyDescent="0.25">
      <c r="A309" s="338">
        <v>5932</v>
      </c>
      <c r="B309" s="485" t="s">
        <v>275</v>
      </c>
      <c r="C309" s="390">
        <v>390485.92</v>
      </c>
      <c r="D309" s="390">
        <v>48108.9</v>
      </c>
      <c r="E309" s="388"/>
      <c r="F309" s="390">
        <v>1380</v>
      </c>
      <c r="G309" s="390">
        <v>-224.45</v>
      </c>
      <c r="H309" s="390">
        <v>665.65</v>
      </c>
      <c r="I309" s="390">
        <v>38299.85</v>
      </c>
      <c r="J309" s="390">
        <v>907.44</v>
      </c>
      <c r="K309" s="390">
        <v>819.5</v>
      </c>
      <c r="L309" s="390">
        <v>33076.699999999997</v>
      </c>
      <c r="M309" s="331">
        <f t="shared" si="12"/>
        <v>513519.51</v>
      </c>
      <c r="N309" s="394">
        <v>0</v>
      </c>
      <c r="O309" s="394">
        <v>0</v>
      </c>
      <c r="P309" s="394">
        <v>0</v>
      </c>
      <c r="Q309" s="394">
        <v>14393.89</v>
      </c>
      <c r="R309" s="394">
        <v>0</v>
      </c>
      <c r="S309" s="394"/>
      <c r="T309" s="394">
        <v>150</v>
      </c>
      <c r="U309" s="394">
        <v>1700</v>
      </c>
      <c r="V309" s="394"/>
      <c r="W309" s="394"/>
      <c r="X309" s="379">
        <v>52.92</v>
      </c>
      <c r="Y309" s="460">
        <f t="shared" si="13"/>
        <v>529816.32000000007</v>
      </c>
      <c r="Z309" s="395">
        <v>375</v>
      </c>
      <c r="AA309" s="395"/>
      <c r="AB309" s="395">
        <v>14833.2</v>
      </c>
      <c r="AC309" s="395"/>
      <c r="AD309" s="395">
        <v>13512.25</v>
      </c>
      <c r="AE309" s="395">
        <v>-2226.3000000000002</v>
      </c>
      <c r="AF309" s="395"/>
      <c r="AG309" s="395"/>
      <c r="AH309" s="395"/>
      <c r="AI309" s="395"/>
      <c r="AJ309" s="395"/>
      <c r="AK309" s="395"/>
      <c r="AL309" s="452"/>
      <c r="AM309" s="460">
        <f t="shared" si="14"/>
        <v>26494.15</v>
      </c>
      <c r="AN309" s="395">
        <v>75</v>
      </c>
      <c r="AO309" s="398">
        <v>238</v>
      </c>
      <c r="AP309" s="455">
        <v>-16511.14</v>
      </c>
      <c r="AQ309" s="465"/>
      <c r="AR309" s="465">
        <v>0</v>
      </c>
      <c r="AS309" s="470">
        <v>1</v>
      </c>
      <c r="AT309" s="516"/>
      <c r="AU309" s="516"/>
      <c r="AV309" s="516"/>
      <c r="AW309" s="516"/>
      <c r="AX309" s="516"/>
      <c r="AY309" s="516"/>
      <c r="AZ309" s="523"/>
      <c r="BA309" s="523"/>
      <c r="BB309" s="523"/>
      <c r="BC309" s="523"/>
      <c r="BD309" s="523"/>
      <c r="BE309" s="523"/>
      <c r="BF309" s="523"/>
      <c r="BG309" s="523"/>
    </row>
    <row r="310" spans="1:67" x14ac:dyDescent="0.25">
      <c r="A310" s="338">
        <v>5933</v>
      </c>
      <c r="B310" s="485" t="s">
        <v>395</v>
      </c>
      <c r="C310" s="390">
        <v>1257232.6399999999</v>
      </c>
      <c r="D310" s="390">
        <v>145825.01999999999</v>
      </c>
      <c r="E310" s="388"/>
      <c r="F310" s="390">
        <v>0</v>
      </c>
      <c r="G310" s="390">
        <v>28538.15</v>
      </c>
      <c r="H310" s="390">
        <v>427.75</v>
      </c>
      <c r="I310" s="390">
        <v>0</v>
      </c>
      <c r="J310" s="390">
        <v>15517.38</v>
      </c>
      <c r="K310" s="390">
        <v>2972.55</v>
      </c>
      <c r="L310" s="390">
        <v>119486.85</v>
      </c>
      <c r="M310" s="331">
        <f t="shared" si="12"/>
        <v>1570000.3399999999</v>
      </c>
      <c r="N310" s="394">
        <v>17913.95</v>
      </c>
      <c r="O310" s="394">
        <v>10361.5</v>
      </c>
      <c r="P310" s="394">
        <v>32743.5</v>
      </c>
      <c r="Q310" s="394">
        <v>28810.02</v>
      </c>
      <c r="R310" s="394">
        <v>19802.150000000001</v>
      </c>
      <c r="S310" s="394"/>
      <c r="T310" s="394">
        <v>4139.6000000000004</v>
      </c>
      <c r="U310" s="394">
        <v>4160</v>
      </c>
      <c r="V310" s="394"/>
      <c r="W310" s="394"/>
      <c r="X310" s="379">
        <v>3474.37</v>
      </c>
      <c r="Y310" s="460">
        <f t="shared" si="13"/>
        <v>1691405.43</v>
      </c>
      <c r="Z310" s="395">
        <v>1087</v>
      </c>
      <c r="AA310" s="395"/>
      <c r="AB310" s="395">
        <v>83408.899999999994</v>
      </c>
      <c r="AC310" s="395"/>
      <c r="AD310" s="395">
        <v>32988.75</v>
      </c>
      <c r="AE310" s="395">
        <v>3432.7</v>
      </c>
      <c r="AF310" s="395"/>
      <c r="AG310" s="395"/>
      <c r="AH310" s="395"/>
      <c r="AI310" s="395"/>
      <c r="AJ310" s="395"/>
      <c r="AK310" s="395"/>
      <c r="AL310" s="452"/>
      <c r="AM310" s="460">
        <f t="shared" si="14"/>
        <v>120917.34999999999</v>
      </c>
      <c r="AN310" s="395">
        <v>70.5</v>
      </c>
      <c r="AO310" s="398">
        <v>714</v>
      </c>
      <c r="AP310" s="455">
        <v>-6607.18</v>
      </c>
      <c r="AQ310" s="465"/>
      <c r="AR310" s="465">
        <v>-4324.91</v>
      </c>
      <c r="AS310" s="470">
        <v>1</v>
      </c>
      <c r="AT310" s="516"/>
      <c r="AU310" s="516"/>
      <c r="AV310" s="516"/>
      <c r="AW310" s="516"/>
      <c r="AX310" s="516"/>
      <c r="AY310" s="516"/>
      <c r="AZ310" s="523"/>
      <c r="BA310" s="523"/>
      <c r="BB310" s="523"/>
      <c r="BC310" s="523"/>
      <c r="BD310" s="523"/>
      <c r="BE310" s="523"/>
      <c r="BF310" s="523"/>
      <c r="BG310" s="523"/>
    </row>
    <row r="311" spans="1:67" x14ac:dyDescent="0.25">
      <c r="A311" s="338">
        <v>5934</v>
      </c>
      <c r="B311" s="485" t="s">
        <v>396</v>
      </c>
      <c r="C311" s="390">
        <v>501688.86</v>
      </c>
      <c r="D311" s="390">
        <v>54633.58</v>
      </c>
      <c r="E311" s="388"/>
      <c r="F311" s="390">
        <v>1420</v>
      </c>
      <c r="G311" s="390">
        <v>-256.39999999999998</v>
      </c>
      <c r="H311" s="390">
        <v>85.6</v>
      </c>
      <c r="I311" s="390">
        <v>0</v>
      </c>
      <c r="J311" s="390">
        <v>13513.16</v>
      </c>
      <c r="K311" s="390">
        <v>55.5</v>
      </c>
      <c r="L311" s="390">
        <v>28017.5</v>
      </c>
      <c r="M311" s="331">
        <f t="shared" si="12"/>
        <v>599157.79999999993</v>
      </c>
      <c r="N311" s="394">
        <v>5644.55</v>
      </c>
      <c r="O311" s="394">
        <v>0</v>
      </c>
      <c r="P311" s="394">
        <v>17975.900000000001</v>
      </c>
      <c r="Q311" s="394">
        <v>0</v>
      </c>
      <c r="R311" s="394">
        <v>14383.95</v>
      </c>
      <c r="S311" s="394"/>
      <c r="T311" s="394"/>
      <c r="U311" s="394">
        <v>900</v>
      </c>
      <c r="V311" s="394"/>
      <c r="W311" s="394"/>
      <c r="X311" s="379">
        <v>-20.49</v>
      </c>
      <c r="Y311" s="460">
        <f t="shared" si="13"/>
        <v>638041.71</v>
      </c>
      <c r="Z311" s="395">
        <v>4000</v>
      </c>
      <c r="AA311" s="395"/>
      <c r="AB311" s="395">
        <v>29216.75</v>
      </c>
      <c r="AC311" s="395"/>
      <c r="AD311" s="395">
        <v>11335</v>
      </c>
      <c r="AE311" s="395">
        <v>1661</v>
      </c>
      <c r="AF311" s="395"/>
      <c r="AG311" s="395"/>
      <c r="AH311" s="395"/>
      <c r="AI311" s="395"/>
      <c r="AJ311" s="395"/>
      <c r="AK311" s="395"/>
      <c r="AL311" s="452"/>
      <c r="AM311" s="460">
        <f t="shared" si="14"/>
        <v>46212.75</v>
      </c>
      <c r="AN311" s="395">
        <v>79</v>
      </c>
      <c r="AO311" s="398">
        <v>241</v>
      </c>
      <c r="AP311" s="455">
        <v>-524.38</v>
      </c>
      <c r="AQ311" s="465"/>
      <c r="AR311" s="465">
        <v>0</v>
      </c>
      <c r="AS311" s="470">
        <v>1</v>
      </c>
      <c r="AT311" s="516"/>
      <c r="AU311" s="516"/>
      <c r="AV311" s="516"/>
      <c r="AW311" s="516"/>
      <c r="AX311" s="516"/>
      <c r="AY311" s="516"/>
      <c r="AZ311" s="523"/>
      <c r="BA311" s="523"/>
      <c r="BB311" s="523"/>
      <c r="BC311" s="523"/>
      <c r="BD311" s="523"/>
      <c r="BE311" s="523"/>
      <c r="BF311" s="523"/>
      <c r="BG311" s="523"/>
    </row>
    <row r="312" spans="1:67" x14ac:dyDescent="0.25">
      <c r="A312" s="338">
        <v>5935</v>
      </c>
      <c r="B312" s="485" t="s">
        <v>298</v>
      </c>
      <c r="C312" s="390">
        <v>175127.23</v>
      </c>
      <c r="D312" s="390">
        <v>39650.93</v>
      </c>
      <c r="E312" s="388"/>
      <c r="F312" s="390">
        <v>0</v>
      </c>
      <c r="G312" s="390">
        <v>-432.35</v>
      </c>
      <c r="H312" s="390">
        <v>868</v>
      </c>
      <c r="I312" s="390">
        <v>0</v>
      </c>
      <c r="J312" s="390">
        <v>1705.98</v>
      </c>
      <c r="K312" s="390">
        <v>0</v>
      </c>
      <c r="L312" s="390">
        <v>19639</v>
      </c>
      <c r="M312" s="331">
        <f t="shared" si="12"/>
        <v>236558.79</v>
      </c>
      <c r="N312" s="394">
        <v>0</v>
      </c>
      <c r="O312" s="394">
        <v>0</v>
      </c>
      <c r="P312" s="394">
        <v>17844</v>
      </c>
      <c r="Q312" s="394">
        <v>0</v>
      </c>
      <c r="R312" s="394">
        <v>10999.25</v>
      </c>
      <c r="S312" s="394"/>
      <c r="T312" s="394"/>
      <c r="U312" s="394">
        <v>100</v>
      </c>
      <c r="V312" s="394"/>
      <c r="W312" s="394"/>
      <c r="X312" s="379">
        <v>52.25</v>
      </c>
      <c r="Y312" s="460">
        <f t="shared" si="13"/>
        <v>265554.29000000004</v>
      </c>
      <c r="Z312" s="395">
        <v>9809.5</v>
      </c>
      <c r="AA312" s="395">
        <v>1270</v>
      </c>
      <c r="AB312" s="395">
        <v>16650</v>
      </c>
      <c r="AC312" s="395"/>
      <c r="AD312" s="395">
        <v>7125</v>
      </c>
      <c r="AE312" s="395">
        <v>9825</v>
      </c>
      <c r="AF312" s="395">
        <v>5250</v>
      </c>
      <c r="AG312" s="395"/>
      <c r="AH312" s="395"/>
      <c r="AI312" s="395"/>
      <c r="AJ312" s="395"/>
      <c r="AK312" s="395"/>
      <c r="AL312" s="452"/>
      <c r="AM312" s="460">
        <f t="shared" si="14"/>
        <v>49929.5</v>
      </c>
      <c r="AN312" s="395">
        <v>60</v>
      </c>
      <c r="AO312" s="398">
        <v>101</v>
      </c>
      <c r="AP312" s="455">
        <v>-28.68</v>
      </c>
      <c r="AQ312" s="465"/>
      <c r="AR312" s="465">
        <v>-889.13</v>
      </c>
      <c r="AS312" s="470">
        <v>1</v>
      </c>
      <c r="AT312" s="516"/>
      <c r="AU312" s="516"/>
      <c r="AV312" s="516"/>
      <c r="AW312" s="516"/>
      <c r="AX312" s="516"/>
      <c r="AY312" s="516"/>
      <c r="AZ312" s="523"/>
      <c r="BA312" s="523"/>
      <c r="BB312" s="523"/>
      <c r="BC312" s="523"/>
      <c r="BD312" s="523"/>
      <c r="BE312" s="523"/>
      <c r="BF312" s="523"/>
      <c r="BG312" s="523"/>
    </row>
    <row r="313" spans="1:67" x14ac:dyDescent="0.25">
      <c r="A313" s="338">
        <v>5937</v>
      </c>
      <c r="B313" s="485" t="s">
        <v>276</v>
      </c>
      <c r="C313" s="390">
        <v>172031.26</v>
      </c>
      <c r="D313" s="390">
        <v>31313.35</v>
      </c>
      <c r="E313" s="388"/>
      <c r="F313" s="390">
        <v>0</v>
      </c>
      <c r="G313" s="390">
        <v>5470</v>
      </c>
      <c r="H313" s="390">
        <v>160</v>
      </c>
      <c r="I313" s="390">
        <v>0</v>
      </c>
      <c r="J313" s="390">
        <v>1313.24</v>
      </c>
      <c r="K313" s="390">
        <v>0</v>
      </c>
      <c r="L313" s="390">
        <v>11202.25</v>
      </c>
      <c r="M313" s="331">
        <f t="shared" si="12"/>
        <v>221490.1</v>
      </c>
      <c r="N313" s="394">
        <v>0</v>
      </c>
      <c r="O313" s="394">
        <v>0</v>
      </c>
      <c r="P313" s="394">
        <v>5446.25</v>
      </c>
      <c r="Q313" s="394">
        <v>0</v>
      </c>
      <c r="R313" s="394">
        <v>10627.5</v>
      </c>
      <c r="S313" s="394"/>
      <c r="T313" s="394"/>
      <c r="U313" s="394">
        <v>1175</v>
      </c>
      <c r="V313" s="394"/>
      <c r="W313" s="394"/>
      <c r="X313" s="379">
        <v>675.3</v>
      </c>
      <c r="Y313" s="460">
        <f t="shared" si="13"/>
        <v>239414.15</v>
      </c>
      <c r="Z313" s="395"/>
      <c r="AA313" s="395"/>
      <c r="AB313" s="395">
        <v>14175</v>
      </c>
      <c r="AC313" s="395"/>
      <c r="AD313" s="395">
        <v>5771</v>
      </c>
      <c r="AE313" s="395"/>
      <c r="AF313" s="395"/>
      <c r="AG313" s="395"/>
      <c r="AH313" s="395"/>
      <c r="AI313" s="395"/>
      <c r="AJ313" s="395"/>
      <c r="AK313" s="395"/>
      <c r="AL313" s="452"/>
      <c r="AM313" s="460">
        <f t="shared" si="14"/>
        <v>19946</v>
      </c>
      <c r="AN313" s="395">
        <v>70</v>
      </c>
      <c r="AO313" s="398">
        <v>138</v>
      </c>
      <c r="AP313" s="455">
        <v>-3791.05</v>
      </c>
      <c r="AQ313" s="465"/>
      <c r="AR313" s="465">
        <v>-36.61</v>
      </c>
      <c r="AS313" s="470">
        <v>0.7</v>
      </c>
      <c r="AT313" s="516"/>
      <c r="AU313" s="516"/>
      <c r="AV313" s="516"/>
      <c r="AW313" s="516"/>
      <c r="AX313" s="516"/>
      <c r="AY313" s="516"/>
      <c r="AZ313" s="523"/>
      <c r="BA313" s="523"/>
      <c r="BB313" s="523"/>
      <c r="BC313" s="523"/>
      <c r="BD313" s="523"/>
      <c r="BE313" s="523"/>
      <c r="BF313" s="523"/>
      <c r="BG313" s="523"/>
    </row>
    <row r="314" spans="1:67" x14ac:dyDescent="0.25">
      <c r="A314" s="338">
        <v>5938</v>
      </c>
      <c r="B314" s="485" t="s">
        <v>150</v>
      </c>
      <c r="C314" s="390">
        <v>43215065.729999997</v>
      </c>
      <c r="D314" s="390">
        <v>4681840.97</v>
      </c>
      <c r="E314" s="388"/>
      <c r="F314" s="390">
        <v>0</v>
      </c>
      <c r="G314" s="390">
        <v>4911534.2</v>
      </c>
      <c r="H314" s="390">
        <v>789701.95</v>
      </c>
      <c r="I314" s="390">
        <v>36575.35</v>
      </c>
      <c r="J314" s="390">
        <v>1609583.91</v>
      </c>
      <c r="K314" s="390">
        <v>590078.35</v>
      </c>
      <c r="L314" s="390">
        <v>4385542.5999999996</v>
      </c>
      <c r="M314" s="331">
        <f t="shared" si="12"/>
        <v>60219923.060000002</v>
      </c>
      <c r="N314" s="394">
        <v>4750911.95</v>
      </c>
      <c r="O314" s="394">
        <v>1060319.1000000001</v>
      </c>
      <c r="P314" s="394">
        <v>1647037.75</v>
      </c>
      <c r="Q314" s="394">
        <v>254442.56</v>
      </c>
      <c r="R314" s="394">
        <v>1227824.3999999999</v>
      </c>
      <c r="S314" s="394"/>
      <c r="T314" s="394"/>
      <c r="U314" s="394">
        <v>59115</v>
      </c>
      <c r="V314" s="394"/>
      <c r="W314" s="394"/>
      <c r="X314" s="379">
        <v>683845.51</v>
      </c>
      <c r="Y314" s="460">
        <f t="shared" si="13"/>
        <v>69903419.330000028</v>
      </c>
      <c r="Z314" s="395">
        <v>298802</v>
      </c>
      <c r="AA314" s="395"/>
      <c r="AB314" s="395">
        <v>4773672</v>
      </c>
      <c r="AC314" s="395">
        <v>1198173</v>
      </c>
      <c r="AD314" s="395">
        <v>2140472</v>
      </c>
      <c r="AE314" s="395">
        <v>604323</v>
      </c>
      <c r="AF314" s="395"/>
      <c r="AG314" s="395"/>
      <c r="AH314" s="395">
        <v>185658</v>
      </c>
      <c r="AI314" s="395">
        <v>832685</v>
      </c>
      <c r="AJ314" s="395">
        <v>773204</v>
      </c>
      <c r="AK314" s="395">
        <v>713721</v>
      </c>
      <c r="AL314" s="452"/>
      <c r="AM314" s="460">
        <f t="shared" si="14"/>
        <v>11520710</v>
      </c>
      <c r="AN314" s="395">
        <v>75</v>
      </c>
      <c r="AO314" s="398">
        <v>29981</v>
      </c>
      <c r="AP314" s="455">
        <v>-1373361.28</v>
      </c>
      <c r="AQ314" s="465"/>
      <c r="AR314" s="465">
        <v>-43494.7</v>
      </c>
      <c r="AS314" s="470">
        <v>1</v>
      </c>
      <c r="AT314" s="516"/>
      <c r="AU314" s="516"/>
      <c r="AV314" s="516"/>
      <c r="AW314" s="516"/>
      <c r="AX314" s="516"/>
      <c r="AY314" s="516"/>
      <c r="AZ314" s="523"/>
      <c r="BA314" s="523"/>
      <c r="BB314" s="523"/>
      <c r="BC314" s="523"/>
      <c r="BD314" s="523"/>
      <c r="BE314" s="523"/>
      <c r="BF314" s="523"/>
      <c r="BG314" s="523"/>
    </row>
    <row r="315" spans="1:67" x14ac:dyDescent="0.25">
      <c r="A315" s="338">
        <v>5939</v>
      </c>
      <c r="B315" s="485" t="s">
        <v>149</v>
      </c>
      <c r="C315" s="390">
        <v>5197311.1100000003</v>
      </c>
      <c r="D315" s="390">
        <v>616319.37</v>
      </c>
      <c r="E315" s="388"/>
      <c r="F315" s="390">
        <v>0</v>
      </c>
      <c r="G315" s="390">
        <v>196191.05</v>
      </c>
      <c r="H315" s="390">
        <v>4834.8999999999996</v>
      </c>
      <c r="I315" s="390">
        <v>0</v>
      </c>
      <c r="J315" s="390">
        <v>104381.6</v>
      </c>
      <c r="K315" s="390">
        <v>-1086.4000000000001</v>
      </c>
      <c r="L315" s="390">
        <v>572998.35</v>
      </c>
      <c r="M315" s="331">
        <f t="shared" si="12"/>
        <v>6690949.9799999995</v>
      </c>
      <c r="N315" s="394">
        <v>170935.7</v>
      </c>
      <c r="O315" s="394">
        <v>124886.7</v>
      </c>
      <c r="P315" s="394">
        <v>388020.45</v>
      </c>
      <c r="Q315" s="394">
        <v>18715.98</v>
      </c>
      <c r="R315" s="394">
        <v>104220.35</v>
      </c>
      <c r="S315" s="394">
        <v>9827.25</v>
      </c>
      <c r="T315" s="394"/>
      <c r="U315" s="394">
        <v>20300</v>
      </c>
      <c r="V315" s="394"/>
      <c r="W315" s="394"/>
      <c r="X315" s="379">
        <v>24112.44</v>
      </c>
      <c r="Y315" s="460">
        <f t="shared" si="13"/>
        <v>7551968.8500000006</v>
      </c>
      <c r="Z315" s="397">
        <v>10632</v>
      </c>
      <c r="AA315" s="397"/>
      <c r="AB315" s="397">
        <v>739021.2</v>
      </c>
      <c r="AC315" s="397"/>
      <c r="AD315" s="397">
        <v>269259.2</v>
      </c>
      <c r="AE315" s="397">
        <v>33957.35</v>
      </c>
      <c r="AF315" s="397"/>
      <c r="AG315" s="397"/>
      <c r="AH315" s="397">
        <v>11078.9</v>
      </c>
      <c r="AI315" s="397">
        <v>83406.399999999994</v>
      </c>
      <c r="AJ315" s="397"/>
      <c r="AK315" s="397"/>
      <c r="AL315" s="451"/>
      <c r="AM315" s="460">
        <f t="shared" si="14"/>
        <v>1147355.0499999998</v>
      </c>
      <c r="AN315" s="397">
        <v>71.5</v>
      </c>
      <c r="AO315" s="400">
        <v>3467</v>
      </c>
      <c r="AP315" s="455">
        <v>-91229.45</v>
      </c>
      <c r="AQ315" s="465"/>
      <c r="AR315" s="468">
        <v>-910.88</v>
      </c>
      <c r="AS315" s="471">
        <v>1</v>
      </c>
      <c r="AT315" s="516"/>
      <c r="AU315" s="516"/>
      <c r="AV315" s="516"/>
      <c r="AW315" s="516"/>
      <c r="AX315" s="516"/>
      <c r="AY315" s="516"/>
      <c r="AZ315" s="523"/>
      <c r="BA315" s="523"/>
      <c r="BB315" s="523"/>
      <c r="BC315" s="523"/>
      <c r="BD315" s="523"/>
      <c r="BE315" s="523"/>
      <c r="BF315" s="523"/>
      <c r="BG315" s="523"/>
    </row>
    <row r="316" spans="1:67" x14ac:dyDescent="0.25">
      <c r="A316" s="340"/>
      <c r="B316" s="359">
        <f>COUNTA(B7:B315)</f>
        <v>309</v>
      </c>
      <c r="C316" s="387">
        <f>SUM(C7:C315)</f>
        <v>1681548027.8200002</v>
      </c>
      <c r="D316" s="387">
        <f t="shared" ref="D316:F316" si="15">SUM(D7:D315)</f>
        <v>301528763.92999989</v>
      </c>
      <c r="E316" s="387">
        <f t="shared" si="15"/>
        <v>0</v>
      </c>
      <c r="F316" s="387">
        <f t="shared" si="15"/>
        <v>107141.9</v>
      </c>
      <c r="G316" s="389">
        <f t="shared" ref="G316:J316" si="16">SUM(G7:G315)</f>
        <v>296351690.13</v>
      </c>
      <c r="H316" s="389">
        <f t="shared" si="16"/>
        <v>35220030.050000012</v>
      </c>
      <c r="I316" s="389">
        <f t="shared" si="16"/>
        <v>42860556.82000003</v>
      </c>
      <c r="J316" s="389">
        <f t="shared" si="16"/>
        <v>75388874.820000008</v>
      </c>
      <c r="K316" s="389">
        <f t="shared" ref="K316" si="17">SUM(K7:K315)</f>
        <v>20340412.849999998</v>
      </c>
      <c r="L316" s="389">
        <f t="shared" ref="L316" si="18">SUM(L7:L315)</f>
        <v>217099896.50000021</v>
      </c>
      <c r="M316" s="391">
        <f t="shared" ref="M316" si="19">SUM(M7:M315)</f>
        <v>2670445394.8199997</v>
      </c>
      <c r="N316" s="389">
        <f t="shared" ref="N316:X316" si="20">SUM(N7:N315)</f>
        <v>80161278.050000027</v>
      </c>
      <c r="O316" s="19">
        <f t="shared" si="20"/>
        <v>100667665.32000001</v>
      </c>
      <c r="P316" s="19">
        <f t="shared" si="20"/>
        <v>99028053.100000054</v>
      </c>
      <c r="Q316" s="19">
        <f t="shared" si="20"/>
        <v>7090747.5699999984</v>
      </c>
      <c r="R316" s="19">
        <f t="shared" si="20"/>
        <v>76510288.049999982</v>
      </c>
      <c r="S316" s="456">
        <f t="shared" si="20"/>
        <v>601235.69999999995</v>
      </c>
      <c r="T316" s="456">
        <f t="shared" si="20"/>
        <v>836636.64999999991</v>
      </c>
      <c r="U316" s="456">
        <f t="shared" si="20"/>
        <v>3694547.05</v>
      </c>
      <c r="V316" s="456">
        <f t="shared" si="20"/>
        <v>2583881.5499999998</v>
      </c>
      <c r="W316" s="456">
        <f t="shared" si="20"/>
        <v>512897.58999999997</v>
      </c>
      <c r="X316" s="445">
        <f t="shared" si="20"/>
        <v>39766209.059999973</v>
      </c>
      <c r="Y316" s="391">
        <f t="shared" si="13"/>
        <v>3081898834.5100007</v>
      </c>
      <c r="Z316" s="447"/>
      <c r="AA316" s="447"/>
      <c r="AB316" s="447"/>
      <c r="AC316" s="447"/>
      <c r="AD316" s="447"/>
      <c r="AE316" s="447"/>
      <c r="AF316" s="447"/>
      <c r="AG316" s="447"/>
      <c r="AH316" s="447"/>
      <c r="AI316" s="447"/>
      <c r="AJ316" s="447"/>
      <c r="AK316" s="447"/>
      <c r="AL316" s="468"/>
      <c r="AM316" s="454">
        <f t="shared" si="14"/>
        <v>0</v>
      </c>
      <c r="AN316" s="462"/>
      <c r="AO316" s="18">
        <f>SUM(AO7:AO315)</f>
        <v>815300</v>
      </c>
      <c r="AP316" s="19">
        <f t="shared" ref="AP316:AR316" si="21">SUM(AP7:AP315)</f>
        <v>-34569034.339999989</v>
      </c>
      <c r="AQ316" s="19">
        <f t="shared" si="21"/>
        <v>-15616.9</v>
      </c>
      <c r="AR316" s="458">
        <f t="shared" si="21"/>
        <v>-4437286.6099999994</v>
      </c>
      <c r="AS316" s="458"/>
      <c r="AT316" s="461"/>
      <c r="AU316" s="461"/>
      <c r="AV316" s="461"/>
      <c r="AW316" s="461"/>
      <c r="AX316" s="461"/>
      <c r="AY316" s="461"/>
    </row>
    <row r="317" spans="1:67" x14ac:dyDescent="0.25">
      <c r="A317" s="337"/>
      <c r="I317" s="370"/>
      <c r="J317" s="370"/>
      <c r="K317" s="370"/>
      <c r="L317" s="370"/>
      <c r="M317" s="370"/>
      <c r="N317" s="370"/>
      <c r="O317" s="370"/>
      <c r="P317" s="370"/>
      <c r="Q317" s="370"/>
      <c r="R317" s="370"/>
      <c r="X317" s="467"/>
      <c r="AM317" s="459"/>
    </row>
    <row r="318" spans="1:67" s="455" customFormat="1" x14ac:dyDescent="0.25">
      <c r="A318" s="337"/>
      <c r="C318" s="461"/>
      <c r="D318" s="461"/>
      <c r="E318" s="461"/>
      <c r="F318" s="461"/>
      <c r="G318" s="461"/>
      <c r="H318" s="461"/>
      <c r="I318" s="461"/>
      <c r="J318" s="461"/>
      <c r="K318" s="461"/>
      <c r="X318" s="467"/>
      <c r="AM318" s="459"/>
      <c r="BO318" s="6"/>
    </row>
    <row r="319" spans="1:67" x14ac:dyDescent="0.25">
      <c r="AM319" s="461"/>
    </row>
  </sheetData>
  <protectedRanges>
    <protectedRange sqref="A7:B315 C316:M316 N7:W315 AN7:AR315" name="Plage1"/>
    <protectedRange sqref="E8:E170 X317:X318 E172:E271 C7:L7 X7:X315 F8:F315 I8:L303 G8:H272 E277:E315 C8:D315 G273:G274 H274 G276:H315 I305:L315 I304:K304" name="Plage1_1"/>
    <protectedRange sqref="E171" name="Plage1_3"/>
    <protectedRange sqref="L304" name="Plage1_1_1"/>
  </protectedRanges>
  <mergeCells count="45">
    <mergeCell ref="AG4:AG5"/>
    <mergeCell ref="AM4:AM5"/>
    <mergeCell ref="AL4:AL6"/>
    <mergeCell ref="AH4:AH5"/>
    <mergeCell ref="AI4:AI6"/>
    <mergeCell ref="AJ4:AJ6"/>
    <mergeCell ref="AK4:AK6"/>
    <mergeCell ref="Z4:Z5"/>
    <mergeCell ref="AA4:AA5"/>
    <mergeCell ref="AD4:AD5"/>
    <mergeCell ref="AE4:AE5"/>
    <mergeCell ref="AF4:AF5"/>
    <mergeCell ref="AB4:AB5"/>
    <mergeCell ref="AC4:AC5"/>
    <mergeCell ref="AS4:AS6"/>
    <mergeCell ref="AO4:AO5"/>
    <mergeCell ref="AP4:AP6"/>
    <mergeCell ref="AR4:AR6"/>
    <mergeCell ref="AQ4:AQ6"/>
    <mergeCell ref="AN4:AN5"/>
    <mergeCell ref="A4:A6"/>
    <mergeCell ref="B4:B6"/>
    <mergeCell ref="Q4:Q6"/>
    <mergeCell ref="L4:L5"/>
    <mergeCell ref="G4:G5"/>
    <mergeCell ref="H4:H5"/>
    <mergeCell ref="I4:I5"/>
    <mergeCell ref="J4:J5"/>
    <mergeCell ref="C4:C5"/>
    <mergeCell ref="D4:D5"/>
    <mergeCell ref="E4:E5"/>
    <mergeCell ref="N4:N5"/>
    <mergeCell ref="Y4:Y5"/>
    <mergeCell ref="O4:O5"/>
    <mergeCell ref="F4:F5"/>
    <mergeCell ref="K4:K5"/>
    <mergeCell ref="M4:M5"/>
    <mergeCell ref="P4:P5"/>
    <mergeCell ref="R4:R5"/>
    <mergeCell ref="X4:X5"/>
    <mergeCell ref="T4:T5"/>
    <mergeCell ref="U4:U5"/>
    <mergeCell ref="V4:V5"/>
    <mergeCell ref="W4:W5"/>
    <mergeCell ref="S4:S6"/>
  </mergeCells>
  <phoneticPr fontId="21" type="noConversion"/>
  <pageMargins left="0.19685039370078741" right="0.39370078740157483" top="0.98425196850393704" bottom="0.98425196850393704" header="0.51181102362204722" footer="0.51181102362204722"/>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5">
    <tabColor rgb="FF00B050"/>
  </sheetPr>
  <dimension ref="A1:AA326"/>
  <sheetViews>
    <sheetView zoomScaleNormal="100" workbookViewId="0">
      <pane ySplit="6" topLeftCell="A7" activePane="bottomLeft" state="frozen"/>
      <selection activeCell="X73" sqref="X73"/>
      <selection pane="bottomLeft" activeCell="U133" sqref="U133"/>
    </sheetView>
  </sheetViews>
  <sheetFormatPr baseColWidth="10" defaultColWidth="8.625" defaultRowHeight="15" x14ac:dyDescent="0.25"/>
  <cols>
    <col min="1" max="1" width="7.625" style="4" customWidth="1"/>
    <col min="2" max="2" width="20.375" style="13" bestFit="1" customWidth="1"/>
    <col min="3" max="3" width="15.875" style="13" bestFit="1" customWidth="1"/>
    <col min="4" max="4" width="12.125" style="6" bestFit="1" customWidth="1"/>
    <col min="5" max="5" width="9.125" style="13" bestFit="1" customWidth="1"/>
    <col min="6" max="6" width="13.375" style="6" bestFit="1" customWidth="1"/>
    <col min="7" max="7" width="18.375" style="13" bestFit="1" customWidth="1"/>
    <col min="8" max="8" width="10" style="6" bestFit="1" customWidth="1"/>
    <col min="9" max="9" width="10.125" style="13" bestFit="1" customWidth="1"/>
    <col min="10" max="10" width="16" style="13" bestFit="1" customWidth="1"/>
    <col min="11" max="12" width="12.25" style="13" bestFit="1" customWidth="1"/>
    <col min="13" max="13" width="13.375" style="13" bestFit="1" customWidth="1"/>
    <col min="14" max="14" width="15.875" style="13" bestFit="1" customWidth="1"/>
    <col min="15" max="15" width="13" style="13" bestFit="1" customWidth="1"/>
    <col min="16" max="16" width="13.125" style="13" bestFit="1" customWidth="1"/>
    <col min="17" max="17" width="8.625" style="13" customWidth="1"/>
    <col min="18" max="18" width="14.375" style="13" bestFit="1" customWidth="1"/>
    <col min="19" max="19" width="12.125" style="15" bestFit="1" customWidth="1"/>
    <col min="20" max="20" width="14.375" style="15" bestFit="1" customWidth="1"/>
    <col min="21" max="21" width="12.125" style="13" customWidth="1"/>
    <col min="22" max="22" width="13.5" style="13" bestFit="1" customWidth="1"/>
    <col min="23" max="24" width="12.25" style="13" bestFit="1" customWidth="1"/>
    <col min="25" max="25" width="15.5" style="13" customWidth="1"/>
    <col min="26" max="26" width="12.5" style="13" bestFit="1" customWidth="1"/>
    <col min="27" max="27" width="8.625" style="13" customWidth="1"/>
    <col min="28" max="16384" width="8.625" style="13"/>
  </cols>
  <sheetData>
    <row r="1" spans="1:27" ht="21" x14ac:dyDescent="0.35">
      <c r="A1" s="25" t="s">
        <v>448</v>
      </c>
      <c r="B1" s="26"/>
      <c r="C1" s="26"/>
      <c r="E1" s="28"/>
      <c r="G1" s="4"/>
      <c r="H1" s="5"/>
      <c r="I1" s="4"/>
      <c r="J1" s="4"/>
      <c r="K1" s="4"/>
      <c r="L1" s="4"/>
    </row>
    <row r="2" spans="1:27" ht="21" x14ac:dyDescent="0.35">
      <c r="A2" s="25">
        <f>Paramètres!B5</f>
        <v>2020</v>
      </c>
      <c r="C2" s="25"/>
      <c r="E2" s="28"/>
      <c r="G2" s="29"/>
      <c r="H2" s="5"/>
      <c r="I2" s="4"/>
      <c r="J2" s="4"/>
      <c r="K2" s="4"/>
      <c r="L2" s="4"/>
    </row>
    <row r="3" spans="1:27" x14ac:dyDescent="0.25">
      <c r="A3" s="3"/>
      <c r="B3" s="4"/>
      <c r="C3" s="4"/>
      <c r="E3" s="28"/>
      <c r="G3" s="4"/>
      <c r="H3" s="5"/>
      <c r="I3" s="4"/>
      <c r="J3" s="4"/>
      <c r="K3" s="4"/>
      <c r="L3" s="4"/>
      <c r="O3" s="27"/>
    </row>
    <row r="4" spans="1:27" s="16" customFormat="1" ht="38.1" customHeight="1" x14ac:dyDescent="0.2">
      <c r="A4" s="555" t="s">
        <v>46</v>
      </c>
      <c r="B4" s="558" t="s">
        <v>96</v>
      </c>
      <c r="C4" s="564" t="s">
        <v>250</v>
      </c>
      <c r="D4" s="561" t="s">
        <v>245</v>
      </c>
      <c r="E4" s="566" t="s">
        <v>246</v>
      </c>
      <c r="F4" s="561" t="s">
        <v>247</v>
      </c>
      <c r="G4" s="564" t="s">
        <v>248</v>
      </c>
      <c r="H4" s="561" t="s">
        <v>257</v>
      </c>
      <c r="I4" s="564" t="s">
        <v>258</v>
      </c>
      <c r="J4" s="564" t="s">
        <v>259</v>
      </c>
      <c r="K4" s="564" t="s">
        <v>380</v>
      </c>
      <c r="L4" s="564" t="s">
        <v>381</v>
      </c>
      <c r="M4" s="564" t="s">
        <v>382</v>
      </c>
      <c r="N4" s="561" t="s">
        <v>414</v>
      </c>
      <c r="O4" s="564" t="s">
        <v>48</v>
      </c>
      <c r="P4" s="564" t="s">
        <v>383</v>
      </c>
      <c r="Q4" s="566" t="s">
        <v>495</v>
      </c>
      <c r="R4" s="572" t="s">
        <v>469</v>
      </c>
      <c r="S4" s="531" t="s">
        <v>78</v>
      </c>
      <c r="T4" s="572" t="s">
        <v>339</v>
      </c>
      <c r="U4" s="572" t="s">
        <v>450</v>
      </c>
      <c r="V4" s="564" t="s">
        <v>195</v>
      </c>
      <c r="W4" s="564" t="s">
        <v>196</v>
      </c>
      <c r="X4" s="564" t="s">
        <v>197</v>
      </c>
      <c r="Y4" s="569" t="s">
        <v>423</v>
      </c>
      <c r="Z4" s="564" t="s">
        <v>194</v>
      </c>
      <c r="AA4" s="564" t="s">
        <v>303</v>
      </c>
    </row>
    <row r="5" spans="1:27" s="16" customFormat="1" ht="41.25" customHeight="1" x14ac:dyDescent="0.2">
      <c r="A5" s="556"/>
      <c r="B5" s="559"/>
      <c r="C5" s="565"/>
      <c r="D5" s="562"/>
      <c r="E5" s="567"/>
      <c r="F5" s="562"/>
      <c r="G5" s="565"/>
      <c r="H5" s="563"/>
      <c r="I5" s="565"/>
      <c r="J5" s="565"/>
      <c r="K5" s="565"/>
      <c r="L5" s="565"/>
      <c r="M5" s="565"/>
      <c r="N5" s="562"/>
      <c r="O5" s="575"/>
      <c r="P5" s="565"/>
      <c r="Q5" s="567"/>
      <c r="R5" s="573"/>
      <c r="S5" s="532"/>
      <c r="T5" s="573"/>
      <c r="U5" s="574"/>
      <c r="V5" s="565"/>
      <c r="W5" s="565"/>
      <c r="X5" s="565"/>
      <c r="Y5" s="570"/>
      <c r="Z5" s="565"/>
      <c r="AA5" s="565"/>
    </row>
    <row r="6" spans="1:27" ht="14.25" customHeight="1" x14ac:dyDescent="0.25">
      <c r="A6" s="557"/>
      <c r="B6" s="560"/>
      <c r="C6" s="39" t="s">
        <v>251</v>
      </c>
      <c r="D6" s="563"/>
      <c r="E6" s="568"/>
      <c r="F6" s="563"/>
      <c r="G6" s="39" t="s">
        <v>249</v>
      </c>
      <c r="H6" s="20" t="s">
        <v>79</v>
      </c>
      <c r="I6" s="21" t="s">
        <v>80</v>
      </c>
      <c r="J6" s="21" t="s">
        <v>81</v>
      </c>
      <c r="K6" s="39" t="s">
        <v>82</v>
      </c>
      <c r="L6" s="21" t="s">
        <v>83</v>
      </c>
      <c r="M6" s="21" t="s">
        <v>84</v>
      </c>
      <c r="N6" s="563"/>
      <c r="O6" s="565"/>
      <c r="P6" s="21" t="s">
        <v>85</v>
      </c>
      <c r="Q6" s="568"/>
      <c r="R6" s="574"/>
      <c r="S6" s="40">
        <f>Paramètres!B8</f>
        <v>2020</v>
      </c>
      <c r="T6" s="574"/>
      <c r="U6" s="199">
        <f>Paramètres!B5</f>
        <v>2020</v>
      </c>
      <c r="V6" s="21" t="s">
        <v>88</v>
      </c>
      <c r="W6" s="21" t="s">
        <v>89</v>
      </c>
      <c r="X6" s="21" t="s">
        <v>90</v>
      </c>
      <c r="Y6" s="571"/>
      <c r="Z6" s="39" t="s">
        <v>87</v>
      </c>
      <c r="AA6" s="23">
        <f>Paramètres!B7</f>
        <v>42734</v>
      </c>
    </row>
    <row r="7" spans="1:27" x14ac:dyDescent="0.25">
      <c r="A7" s="8">
        <f>'A) Base RI'!A7</f>
        <v>5401</v>
      </c>
      <c r="B7" s="32" t="str">
        <f>'A) Base RI'!B7</f>
        <v>Aigle</v>
      </c>
      <c r="C7" s="10">
        <f>'A) Base RI'!C7+'A) Base RI'!D7</f>
        <v>13855535.66</v>
      </c>
      <c r="D7" s="10">
        <f>'A) Base RI'!AP7</f>
        <v>-326033.98</v>
      </c>
      <c r="E7" s="31">
        <f>'A) Base RI'!AQ7</f>
        <v>0</v>
      </c>
      <c r="F7" s="31">
        <f>'A) Base RI'!AR7</f>
        <v>-20400.3</v>
      </c>
      <c r="G7" s="2">
        <f>SUM(C7:F7)</f>
        <v>13509101.379999999</v>
      </c>
      <c r="H7" s="10">
        <f>+'A) Base RI'!E7</f>
        <v>0</v>
      </c>
      <c r="I7" s="10">
        <f>+'A) Base RI'!F7</f>
        <v>0</v>
      </c>
      <c r="J7" s="10">
        <f>+'A) Base RI'!G7+'A) Base RI'!H7+'A) Base RI'!X7</f>
        <v>2593553.73</v>
      </c>
      <c r="K7" s="10">
        <f>+'A) Base RI'!I7</f>
        <v>11522.44</v>
      </c>
      <c r="L7" s="10">
        <f>+'A) Base RI'!J7</f>
        <v>604742.80000000005</v>
      </c>
      <c r="M7" s="10">
        <f>+'A) Base RI'!K7</f>
        <v>183083.15</v>
      </c>
      <c r="N7" s="10">
        <f>+'A) Base RI'!Q7</f>
        <v>100742.68</v>
      </c>
      <c r="O7" s="10">
        <f>(P7/Q7)*1</f>
        <v>1789024.7500000002</v>
      </c>
      <c r="P7" s="10">
        <f>+'A) Base RI'!L7</f>
        <v>2146829.7000000002</v>
      </c>
      <c r="Q7" s="34">
        <f>'A) Base RI'!AS7</f>
        <v>1.2</v>
      </c>
      <c r="R7" s="2">
        <f>SUM(G7:O7)</f>
        <v>18791770.93</v>
      </c>
      <c r="S7" s="33">
        <f>+'A) Base RI'!AN7</f>
        <v>66</v>
      </c>
      <c r="T7" s="2">
        <f>(G7+H7+J7+K7+L7+N7)</f>
        <v>16819663.030000001</v>
      </c>
      <c r="U7" s="2">
        <f>R7/S7</f>
        <v>284723.80196969694</v>
      </c>
      <c r="V7" s="10">
        <f>+'A) Base RI'!O7</f>
        <v>239381</v>
      </c>
      <c r="W7" s="10">
        <f>+'A) Base RI'!P7</f>
        <v>765608.15</v>
      </c>
      <c r="X7" s="10">
        <f>+'A) Base RI'!R7</f>
        <v>415357.65</v>
      </c>
      <c r="Y7" s="2">
        <f>SUM(V7:X7)</f>
        <v>1420346.8</v>
      </c>
      <c r="Z7" s="10">
        <f>+'A) Base RI'!N7</f>
        <v>1288148.8</v>
      </c>
      <c r="AA7" s="10">
        <f>'A) Base RI'!AO7</f>
        <v>10518</v>
      </c>
    </row>
    <row r="8" spans="1:27" x14ac:dyDescent="0.25">
      <c r="A8" s="8">
        <f>'A) Base RI'!A8</f>
        <v>5402</v>
      </c>
      <c r="B8" s="32" t="str">
        <f>'A) Base RI'!B8</f>
        <v>Bex</v>
      </c>
      <c r="C8" s="10">
        <f>'A) Base RI'!C8+'A) Base RI'!D8</f>
        <v>10039648.689999999</v>
      </c>
      <c r="D8" s="10">
        <f>'A) Base RI'!AP8</f>
        <v>-208361.81</v>
      </c>
      <c r="E8" s="398">
        <f>'A) Base RI'!AQ8</f>
        <v>0</v>
      </c>
      <c r="F8" s="398">
        <f>'A) Base RI'!AR8</f>
        <v>-2713.5</v>
      </c>
      <c r="G8" s="404">
        <f t="shared" ref="G8:G71" si="0">SUM(C8:F8)</f>
        <v>9828573.379999999</v>
      </c>
      <c r="H8" s="10">
        <f>+'A) Base RI'!E8</f>
        <v>0</v>
      </c>
      <c r="I8" s="10">
        <f>+'A) Base RI'!F8</f>
        <v>0</v>
      </c>
      <c r="J8" s="10">
        <f>+'A) Base RI'!G8+'A) Base RI'!H8+'A) Base RI'!X8</f>
        <v>1153393.71</v>
      </c>
      <c r="K8" s="10">
        <f>+'A) Base RI'!I8</f>
        <v>-55670.9</v>
      </c>
      <c r="L8" s="10">
        <f>+'A) Base RI'!J8</f>
        <v>311153.5</v>
      </c>
      <c r="M8" s="10">
        <f>+'A) Base RI'!K8</f>
        <v>124770.15</v>
      </c>
      <c r="N8" s="10">
        <f>+'A) Base RI'!Q8</f>
        <v>51767</v>
      </c>
      <c r="O8" s="10">
        <f t="shared" ref="O8:O71" si="1">(P8/Q8)*1</f>
        <v>1313416.6000000001</v>
      </c>
      <c r="P8" s="10">
        <f>+'A) Base RI'!L8</f>
        <v>1641770.75</v>
      </c>
      <c r="Q8" s="412">
        <f>'A) Base RI'!AS8</f>
        <v>1.25</v>
      </c>
      <c r="R8" s="404">
        <f t="shared" ref="R8:R71" si="2">SUM(G8:O8)</f>
        <v>12727403.439999999</v>
      </c>
      <c r="S8" s="457">
        <f>+'A) Base RI'!AN8</f>
        <v>71</v>
      </c>
      <c r="T8" s="404">
        <f t="shared" ref="T8:T71" si="3">(G8+H8+J8+K8+L8+N8)</f>
        <v>11289216.689999999</v>
      </c>
      <c r="U8" s="404">
        <f t="shared" ref="U8:U71" si="4">R8/S8</f>
        <v>179259.20338028169</v>
      </c>
      <c r="V8" s="10">
        <f>+'A) Base RI'!O8</f>
        <v>119032.9</v>
      </c>
      <c r="W8" s="10">
        <f>+'A) Base RI'!P8</f>
        <v>624842.19999999995</v>
      </c>
      <c r="X8" s="10">
        <f>+'A) Base RI'!R8</f>
        <v>329056.45</v>
      </c>
      <c r="Y8" s="404">
        <f t="shared" ref="Y8:Y71" si="5">SUM(V8:X8)</f>
        <v>1072931.55</v>
      </c>
      <c r="Z8" s="10">
        <f>+'A) Base RI'!N8</f>
        <v>273206.65000000002</v>
      </c>
      <c r="AA8" s="10">
        <f>'A) Base RI'!AO8</f>
        <v>7828</v>
      </c>
    </row>
    <row r="9" spans="1:27" x14ac:dyDescent="0.25">
      <c r="A9" s="8">
        <f>'A) Base RI'!A9</f>
        <v>5403</v>
      </c>
      <c r="B9" s="32" t="str">
        <f>'A) Base RI'!B9</f>
        <v>Chessel</v>
      </c>
      <c r="C9" s="10">
        <f>'A) Base RI'!C9+'A) Base RI'!D9</f>
        <v>722038.76</v>
      </c>
      <c r="D9" s="10">
        <f>'A) Base RI'!AP9</f>
        <v>-40025.58</v>
      </c>
      <c r="E9" s="398">
        <f>'A) Base RI'!AQ9</f>
        <v>0</v>
      </c>
      <c r="F9" s="398">
        <f>'A) Base RI'!AR9</f>
        <v>0</v>
      </c>
      <c r="G9" s="404">
        <f t="shared" si="0"/>
        <v>682013.18</v>
      </c>
      <c r="H9" s="10">
        <f>+'A) Base RI'!E9</f>
        <v>0</v>
      </c>
      <c r="I9" s="10">
        <f>+'A) Base RI'!F9</f>
        <v>0</v>
      </c>
      <c r="J9" s="10">
        <f>+'A) Base RI'!G9+'A) Base RI'!H9+'A) Base RI'!X9</f>
        <v>5668.16</v>
      </c>
      <c r="K9" s="10">
        <f>+'A) Base RI'!I9</f>
        <v>0</v>
      </c>
      <c r="L9" s="10">
        <f>+'A) Base RI'!J9</f>
        <v>21554.639999999999</v>
      </c>
      <c r="M9" s="10">
        <f>+'A) Base RI'!K9</f>
        <v>8424.7999999999993</v>
      </c>
      <c r="N9" s="10">
        <f>+'A) Base RI'!Q9</f>
        <v>0</v>
      </c>
      <c r="O9" s="10">
        <f t="shared" si="1"/>
        <v>81372</v>
      </c>
      <c r="P9" s="10">
        <f>+'A) Base RI'!L9</f>
        <v>81372</v>
      </c>
      <c r="Q9" s="412">
        <f>'A) Base RI'!AS9</f>
        <v>1</v>
      </c>
      <c r="R9" s="404">
        <f t="shared" si="2"/>
        <v>799032.78000000014</v>
      </c>
      <c r="S9" s="457">
        <f>+'A) Base RI'!AN9</f>
        <v>74</v>
      </c>
      <c r="T9" s="404">
        <f t="shared" si="3"/>
        <v>709235.9800000001</v>
      </c>
      <c r="U9" s="404">
        <f t="shared" si="4"/>
        <v>10797.740270270273</v>
      </c>
      <c r="V9" s="10">
        <f>+'A) Base RI'!O9</f>
        <v>0</v>
      </c>
      <c r="W9" s="10">
        <f>+'A) Base RI'!P9</f>
        <v>82687.350000000006</v>
      </c>
      <c r="X9" s="10">
        <f>+'A) Base RI'!R9</f>
        <v>29709.7</v>
      </c>
      <c r="Y9" s="404">
        <f t="shared" si="5"/>
        <v>112397.05</v>
      </c>
      <c r="Z9" s="10">
        <f>+'A) Base RI'!N9</f>
        <v>8460.15</v>
      </c>
      <c r="AA9" s="10">
        <f>'A) Base RI'!AO9</f>
        <v>444</v>
      </c>
    </row>
    <row r="10" spans="1:27" x14ac:dyDescent="0.25">
      <c r="A10" s="8">
        <f>'A) Base RI'!A10</f>
        <v>5404</v>
      </c>
      <c r="B10" s="32" t="str">
        <f>'A) Base RI'!B10</f>
        <v>Corbeyrier</v>
      </c>
      <c r="C10" s="10">
        <f>'A) Base RI'!C10+'A) Base RI'!D10</f>
        <v>737876.21000000008</v>
      </c>
      <c r="D10" s="10">
        <f>'A) Base RI'!AP10</f>
        <v>-1959.06</v>
      </c>
      <c r="E10" s="398">
        <f>'A) Base RI'!AQ10</f>
        <v>0</v>
      </c>
      <c r="F10" s="398">
        <f>'A) Base RI'!AR10</f>
        <v>-183.3</v>
      </c>
      <c r="G10" s="404">
        <f t="shared" si="0"/>
        <v>735733.85</v>
      </c>
      <c r="H10" s="10">
        <f>+'A) Base RI'!E10</f>
        <v>0</v>
      </c>
      <c r="I10" s="10">
        <f>+'A) Base RI'!F10</f>
        <v>0</v>
      </c>
      <c r="J10" s="10">
        <f>+'A) Base RI'!G10+'A) Base RI'!H10+'A) Base RI'!X10</f>
        <v>5401.22</v>
      </c>
      <c r="K10" s="10">
        <f>+'A) Base RI'!I10</f>
        <v>0</v>
      </c>
      <c r="L10" s="10">
        <f>+'A) Base RI'!J10</f>
        <v>1197.28</v>
      </c>
      <c r="M10" s="10">
        <f>+'A) Base RI'!K10</f>
        <v>5412.05</v>
      </c>
      <c r="N10" s="10">
        <f>+'A) Base RI'!Q10</f>
        <v>0</v>
      </c>
      <c r="O10" s="10">
        <f t="shared" si="1"/>
        <v>86078</v>
      </c>
      <c r="P10" s="10">
        <f>+'A) Base RI'!L10</f>
        <v>129117</v>
      </c>
      <c r="Q10" s="412">
        <f>'A) Base RI'!AS10</f>
        <v>1.5</v>
      </c>
      <c r="R10" s="404">
        <f t="shared" si="2"/>
        <v>833822.4</v>
      </c>
      <c r="S10" s="457">
        <f>+'A) Base RI'!AN10</f>
        <v>74</v>
      </c>
      <c r="T10" s="404">
        <f t="shared" si="3"/>
        <v>742332.35</v>
      </c>
      <c r="U10" s="404">
        <f t="shared" si="4"/>
        <v>11267.87027027027</v>
      </c>
      <c r="V10" s="10">
        <f>+'A) Base RI'!O10</f>
        <v>34998.699999999997</v>
      </c>
      <c r="W10" s="10">
        <f>+'A) Base RI'!P10</f>
        <v>33854.400000000001</v>
      </c>
      <c r="X10" s="10">
        <f>+'A) Base RI'!R10</f>
        <v>42010.2</v>
      </c>
      <c r="Y10" s="404">
        <f t="shared" si="5"/>
        <v>110863.3</v>
      </c>
      <c r="Z10" s="10">
        <f>+'A) Base RI'!N10</f>
        <v>16587</v>
      </c>
      <c r="AA10" s="10">
        <f>'A) Base RI'!AO10</f>
        <v>445</v>
      </c>
    </row>
    <row r="11" spans="1:27" x14ac:dyDescent="0.25">
      <c r="A11" s="8">
        <f>'A) Base RI'!A11</f>
        <v>5405</v>
      </c>
      <c r="B11" s="32" t="str">
        <f>'A) Base RI'!B11</f>
        <v>Gryon</v>
      </c>
      <c r="C11" s="10">
        <f>'A) Base RI'!C11+'A) Base RI'!D11</f>
        <v>4005892.2300000004</v>
      </c>
      <c r="D11" s="10">
        <f>'A) Base RI'!AP11</f>
        <v>-28222.07</v>
      </c>
      <c r="E11" s="398">
        <f>'A) Base RI'!AQ11</f>
        <v>0</v>
      </c>
      <c r="F11" s="398">
        <f>'A) Base RI'!AR11</f>
        <v>-1860.82</v>
      </c>
      <c r="G11" s="404">
        <f t="shared" si="0"/>
        <v>3975809.3400000008</v>
      </c>
      <c r="H11" s="10">
        <f>+'A) Base RI'!E11</f>
        <v>0</v>
      </c>
      <c r="I11" s="10">
        <f>+'A) Base RI'!F11</f>
        <v>0</v>
      </c>
      <c r="J11" s="10">
        <f>+'A) Base RI'!G11+'A) Base RI'!H11+'A) Base RI'!X11</f>
        <v>36542.410000000003</v>
      </c>
      <c r="K11" s="10">
        <f>+'A) Base RI'!I11</f>
        <v>319555.25</v>
      </c>
      <c r="L11" s="10">
        <f>+'A) Base RI'!J11</f>
        <v>138909.26999999999</v>
      </c>
      <c r="M11" s="10">
        <f>+'A) Base RI'!K11</f>
        <v>13374.65</v>
      </c>
      <c r="N11" s="10">
        <f>+'A) Base RI'!Q11</f>
        <v>3626.44</v>
      </c>
      <c r="O11" s="10">
        <f t="shared" si="1"/>
        <v>523838.5</v>
      </c>
      <c r="P11" s="10">
        <f>+'A) Base RI'!L11</f>
        <v>785757.75</v>
      </c>
      <c r="Q11" s="412">
        <f>'A) Base RI'!AS11</f>
        <v>1.5</v>
      </c>
      <c r="R11" s="404">
        <f t="shared" si="2"/>
        <v>5011655.8600000013</v>
      </c>
      <c r="S11" s="457">
        <f>+'A) Base RI'!AN11</f>
        <v>73.5</v>
      </c>
      <c r="T11" s="404">
        <f t="shared" si="3"/>
        <v>4474442.7100000009</v>
      </c>
      <c r="U11" s="404">
        <f t="shared" si="4"/>
        <v>68185.794013605453</v>
      </c>
      <c r="V11" s="10">
        <f>+'A) Base RI'!O11</f>
        <v>150845</v>
      </c>
      <c r="W11" s="10">
        <f>+'A) Base RI'!P11</f>
        <v>408678.5</v>
      </c>
      <c r="X11" s="10">
        <f>+'A) Base RI'!R11</f>
        <v>285741.75</v>
      </c>
      <c r="Y11" s="404">
        <f t="shared" si="5"/>
        <v>845265.25</v>
      </c>
      <c r="Z11" s="10">
        <f>+'A) Base RI'!N11</f>
        <v>463.15</v>
      </c>
      <c r="AA11" s="10">
        <f>'A) Base RI'!AO11</f>
        <v>1378</v>
      </c>
    </row>
    <row r="12" spans="1:27" x14ac:dyDescent="0.25">
      <c r="A12" s="8">
        <f>'A) Base RI'!A12</f>
        <v>5406</v>
      </c>
      <c r="B12" s="32" t="str">
        <f>'A) Base RI'!B12</f>
        <v>Lavey-Morcles</v>
      </c>
      <c r="C12" s="10">
        <f>'A) Base RI'!C12+'A) Base RI'!D12</f>
        <v>1303168.8500000001</v>
      </c>
      <c r="D12" s="10">
        <f>'A) Base RI'!AP12</f>
        <v>-15500.27</v>
      </c>
      <c r="E12" s="398">
        <f>'A) Base RI'!AQ12</f>
        <v>0</v>
      </c>
      <c r="F12" s="398">
        <f>'A) Base RI'!AR12</f>
        <v>-592.92999999999995</v>
      </c>
      <c r="G12" s="404">
        <f t="shared" si="0"/>
        <v>1287075.6500000001</v>
      </c>
      <c r="H12" s="10">
        <f>+'A) Base RI'!E12</f>
        <v>0</v>
      </c>
      <c r="I12" s="10">
        <f>+'A) Base RI'!F12</f>
        <v>0</v>
      </c>
      <c r="J12" s="10">
        <f>+'A) Base RI'!G12+'A) Base RI'!H12+'A) Base RI'!X12</f>
        <v>65101.95</v>
      </c>
      <c r="K12" s="10">
        <f>+'A) Base RI'!I12</f>
        <v>0</v>
      </c>
      <c r="L12" s="10">
        <f>+'A) Base RI'!J12</f>
        <v>48632.09</v>
      </c>
      <c r="M12" s="10">
        <f>+'A) Base RI'!K12</f>
        <v>9389.5499999999993</v>
      </c>
      <c r="N12" s="10">
        <f>+'A) Base RI'!Q12</f>
        <v>796.54</v>
      </c>
      <c r="O12" s="10">
        <f t="shared" si="1"/>
        <v>150746.19230769228</v>
      </c>
      <c r="P12" s="10">
        <f>+'A) Base RI'!L12</f>
        <v>195970.05</v>
      </c>
      <c r="Q12" s="412">
        <f>'A) Base RI'!AS12</f>
        <v>1.3</v>
      </c>
      <c r="R12" s="404">
        <f t="shared" si="2"/>
        <v>1561741.9723076925</v>
      </c>
      <c r="S12" s="457">
        <f>+'A) Base RI'!AN12</f>
        <v>71.5</v>
      </c>
      <c r="T12" s="404">
        <f t="shared" si="3"/>
        <v>1401606.2300000002</v>
      </c>
      <c r="U12" s="404">
        <f t="shared" si="4"/>
        <v>21842.545067240455</v>
      </c>
      <c r="V12" s="10">
        <f>+'A) Base RI'!O12</f>
        <v>73255.8</v>
      </c>
      <c r="W12" s="10">
        <f>+'A) Base RI'!P12</f>
        <v>75697.350000000006</v>
      </c>
      <c r="X12" s="10">
        <f>+'A) Base RI'!R12</f>
        <v>60384.6</v>
      </c>
      <c r="Y12" s="404">
        <f t="shared" si="5"/>
        <v>209337.75000000003</v>
      </c>
      <c r="Z12" s="10">
        <f>+'A) Base RI'!N12</f>
        <v>1891.95</v>
      </c>
      <c r="AA12" s="10">
        <f>'A) Base RI'!AO12</f>
        <v>944</v>
      </c>
    </row>
    <row r="13" spans="1:27" x14ac:dyDescent="0.25">
      <c r="A13" s="8">
        <f>'A) Base RI'!A13</f>
        <v>5407</v>
      </c>
      <c r="B13" s="32" t="str">
        <f>'A) Base RI'!B13</f>
        <v>Leysin</v>
      </c>
      <c r="C13" s="10">
        <f>'A) Base RI'!C13+'A) Base RI'!D13</f>
        <v>5329173.51</v>
      </c>
      <c r="D13" s="10">
        <f>'A) Base RI'!AP13</f>
        <v>-71820.56</v>
      </c>
      <c r="E13" s="398">
        <f>'A) Base RI'!AQ13</f>
        <v>0</v>
      </c>
      <c r="F13" s="398">
        <f>'A) Base RI'!AR13</f>
        <v>-6701.08</v>
      </c>
      <c r="G13" s="404">
        <f t="shared" si="0"/>
        <v>5250651.87</v>
      </c>
      <c r="H13" s="10">
        <f>+'A) Base RI'!E13</f>
        <v>0</v>
      </c>
      <c r="I13" s="10">
        <f>+'A) Base RI'!F13</f>
        <v>0</v>
      </c>
      <c r="J13" s="10">
        <f>+'A) Base RI'!G13+'A) Base RI'!H13+'A) Base RI'!X13</f>
        <v>296370.7</v>
      </c>
      <c r="K13" s="10">
        <f>+'A) Base RI'!I13</f>
        <v>155949.29999999999</v>
      </c>
      <c r="L13" s="10">
        <f>+'A) Base RI'!J13</f>
        <v>445408.01</v>
      </c>
      <c r="M13" s="10">
        <f>+'A) Base RI'!K13</f>
        <v>63329.7</v>
      </c>
      <c r="N13" s="10">
        <f>+'A) Base RI'!Q13</f>
        <v>39319.53</v>
      </c>
      <c r="O13" s="10">
        <f t="shared" si="1"/>
        <v>833102.56666666677</v>
      </c>
      <c r="P13" s="10">
        <f>+'A) Base RI'!L13</f>
        <v>1249653.8500000001</v>
      </c>
      <c r="Q13" s="412">
        <f>'A) Base RI'!AS13</f>
        <v>1.5</v>
      </c>
      <c r="R13" s="404">
        <f t="shared" si="2"/>
        <v>7084131.6766666668</v>
      </c>
      <c r="S13" s="457">
        <f>+'A) Base RI'!AN13</f>
        <v>78</v>
      </c>
      <c r="T13" s="404">
        <f t="shared" si="3"/>
        <v>6187699.4100000001</v>
      </c>
      <c r="U13" s="404">
        <f t="shared" si="4"/>
        <v>90822.200982905983</v>
      </c>
      <c r="V13" s="10">
        <f>+'A) Base RI'!O13</f>
        <v>157815.9</v>
      </c>
      <c r="W13" s="10">
        <f>+'A) Base RI'!P13</f>
        <v>404776.3</v>
      </c>
      <c r="X13" s="10">
        <f>+'A) Base RI'!R13</f>
        <v>187357.15</v>
      </c>
      <c r="Y13" s="404">
        <f t="shared" si="5"/>
        <v>749949.35</v>
      </c>
      <c r="Z13" s="10">
        <f>+'A) Base RI'!N13</f>
        <v>64008.35</v>
      </c>
      <c r="AA13" s="10">
        <f>'A) Base RI'!AO13</f>
        <v>3645</v>
      </c>
    </row>
    <row r="14" spans="1:27" x14ac:dyDescent="0.25">
      <c r="A14" s="8">
        <f>'A) Base RI'!A14</f>
        <v>5408</v>
      </c>
      <c r="B14" s="32" t="str">
        <f>'A) Base RI'!B14</f>
        <v>Noville</v>
      </c>
      <c r="C14" s="10">
        <f>'A) Base RI'!C14+'A) Base RI'!D14</f>
        <v>2313726.5299999998</v>
      </c>
      <c r="D14" s="10">
        <f>'A) Base RI'!AP14</f>
        <v>-11840.69</v>
      </c>
      <c r="E14" s="398">
        <f>'A) Base RI'!AQ14</f>
        <v>0</v>
      </c>
      <c r="F14" s="398">
        <f>'A) Base RI'!AR14</f>
        <v>-384.63</v>
      </c>
      <c r="G14" s="404">
        <f t="shared" si="0"/>
        <v>2301501.21</v>
      </c>
      <c r="H14" s="10">
        <f>+'A) Base RI'!E14</f>
        <v>0</v>
      </c>
      <c r="I14" s="10">
        <f>+'A) Base RI'!F14</f>
        <v>0</v>
      </c>
      <c r="J14" s="10">
        <f>+'A) Base RI'!G14+'A) Base RI'!H14+'A) Base RI'!X14</f>
        <v>698108.36</v>
      </c>
      <c r="K14" s="10">
        <f>+'A) Base RI'!I14</f>
        <v>0</v>
      </c>
      <c r="L14" s="10">
        <f>+'A) Base RI'!J14</f>
        <v>60551.19</v>
      </c>
      <c r="M14" s="10">
        <f>+'A) Base RI'!K14</f>
        <v>39431.800000000003</v>
      </c>
      <c r="N14" s="10">
        <f>+'A) Base RI'!Q14</f>
        <v>11987.28</v>
      </c>
      <c r="O14" s="10">
        <f t="shared" si="1"/>
        <v>329863.73333333334</v>
      </c>
      <c r="P14" s="10">
        <f>+'A) Base RI'!L14</f>
        <v>494795.6</v>
      </c>
      <c r="Q14" s="412">
        <f>'A) Base RI'!AS14</f>
        <v>1.5</v>
      </c>
      <c r="R14" s="404">
        <f t="shared" si="2"/>
        <v>3441443.5733333328</v>
      </c>
      <c r="S14" s="457">
        <f>+'A) Base RI'!AN14</f>
        <v>78.5</v>
      </c>
      <c r="T14" s="404">
        <f t="shared" si="3"/>
        <v>3072148.0399999996</v>
      </c>
      <c r="U14" s="404">
        <f t="shared" si="4"/>
        <v>43840.045520169842</v>
      </c>
      <c r="V14" s="10">
        <f>+'A) Base RI'!O14</f>
        <v>0</v>
      </c>
      <c r="W14" s="10">
        <f>+'A) Base RI'!P14</f>
        <v>123908.95</v>
      </c>
      <c r="X14" s="10">
        <f>+'A) Base RI'!R14</f>
        <v>61146.95</v>
      </c>
      <c r="Y14" s="404">
        <f t="shared" si="5"/>
        <v>185055.9</v>
      </c>
      <c r="Z14" s="10">
        <f>+'A) Base RI'!N14</f>
        <v>204831.45</v>
      </c>
      <c r="AA14" s="10">
        <f>'A) Base RI'!AO14</f>
        <v>1170</v>
      </c>
    </row>
    <row r="15" spans="1:27" x14ac:dyDescent="0.25">
      <c r="A15" s="8">
        <f>'A) Base RI'!A15</f>
        <v>5409</v>
      </c>
      <c r="B15" s="32" t="str">
        <f>'A) Base RI'!B15</f>
        <v>Ollon</v>
      </c>
      <c r="C15" s="10">
        <f>'A) Base RI'!C15+'A) Base RI'!D15</f>
        <v>19392542.399999999</v>
      </c>
      <c r="D15" s="10">
        <f>'A) Base RI'!AP15</f>
        <v>-120552.78</v>
      </c>
      <c r="E15" s="398">
        <f>'A) Base RI'!AQ15</f>
        <v>0</v>
      </c>
      <c r="F15" s="398">
        <f>'A) Base RI'!AR15</f>
        <v>-50041.19</v>
      </c>
      <c r="G15" s="404">
        <f t="shared" si="0"/>
        <v>19221948.429999996</v>
      </c>
      <c r="H15" s="10">
        <f>+'A) Base RI'!E15</f>
        <v>0</v>
      </c>
      <c r="I15" s="10">
        <f>+'A) Base RI'!F15</f>
        <v>0</v>
      </c>
      <c r="J15" s="10">
        <f>+'A) Base RI'!G15+'A) Base RI'!H15+'A) Base RI'!X15</f>
        <v>698413.88</v>
      </c>
      <c r="K15" s="10">
        <f>+'A) Base RI'!I15</f>
        <v>2558500.9900000002</v>
      </c>
      <c r="L15" s="10">
        <f>+'A) Base RI'!J15</f>
        <v>687004.7</v>
      </c>
      <c r="M15" s="10">
        <f>+'A) Base RI'!K15</f>
        <v>134495.5</v>
      </c>
      <c r="N15" s="10">
        <f>+'A) Base RI'!Q15</f>
        <v>15596.56</v>
      </c>
      <c r="O15" s="10">
        <f t="shared" si="1"/>
        <v>3148741.6538461535</v>
      </c>
      <c r="P15" s="10">
        <f>+'A) Base RI'!L15</f>
        <v>4093364.15</v>
      </c>
      <c r="Q15" s="412">
        <f>'A) Base RI'!AS15</f>
        <v>1.3</v>
      </c>
      <c r="R15" s="404">
        <f t="shared" si="2"/>
        <v>26464701.713846147</v>
      </c>
      <c r="S15" s="457">
        <f>+'A) Base RI'!AN15</f>
        <v>68</v>
      </c>
      <c r="T15" s="404">
        <f t="shared" si="3"/>
        <v>23181464.559999995</v>
      </c>
      <c r="U15" s="404">
        <f t="shared" si="4"/>
        <v>389186.78990950214</v>
      </c>
      <c r="V15" s="10">
        <f>+'A) Base RI'!O15</f>
        <v>688910.65</v>
      </c>
      <c r="W15" s="10">
        <f>+'A) Base RI'!P15</f>
        <v>1596824.45</v>
      </c>
      <c r="X15" s="10">
        <f>+'A) Base RI'!R15</f>
        <v>1165765.7</v>
      </c>
      <c r="Y15" s="404">
        <f t="shared" si="5"/>
        <v>3451500.8</v>
      </c>
      <c r="Z15" s="10">
        <f>+'A) Base RI'!N15</f>
        <v>75640.75</v>
      </c>
      <c r="AA15" s="10">
        <f>'A) Base RI'!AO15</f>
        <v>7634</v>
      </c>
    </row>
    <row r="16" spans="1:27" x14ac:dyDescent="0.25">
      <c r="A16" s="8">
        <f>'A) Base RI'!A16</f>
        <v>5410</v>
      </c>
      <c r="B16" s="32" t="str">
        <f>'A) Base RI'!B16</f>
        <v>Ormont-Dessous</v>
      </c>
      <c r="C16" s="10">
        <f>'A) Base RI'!C16+'A) Base RI'!D16</f>
        <v>2574854.6100000003</v>
      </c>
      <c r="D16" s="10">
        <f>'A) Base RI'!AP16</f>
        <v>-46117.599999999999</v>
      </c>
      <c r="E16" s="398">
        <f>'A) Base RI'!AQ16</f>
        <v>0</v>
      </c>
      <c r="F16" s="398">
        <f>'A) Base RI'!AR16</f>
        <v>-397.44</v>
      </c>
      <c r="G16" s="404">
        <f t="shared" si="0"/>
        <v>2528339.5700000003</v>
      </c>
      <c r="H16" s="10">
        <f>+'A) Base RI'!E16</f>
        <v>0</v>
      </c>
      <c r="I16" s="10">
        <f>+'A) Base RI'!F16</f>
        <v>0</v>
      </c>
      <c r="J16" s="10">
        <f>+'A) Base RI'!G16+'A) Base RI'!H16+'A) Base RI'!X16</f>
        <v>25267.010000000002</v>
      </c>
      <c r="K16" s="10">
        <f>+'A) Base RI'!I16</f>
        <v>0</v>
      </c>
      <c r="L16" s="10">
        <f>+'A) Base RI'!J16</f>
        <v>90778.81</v>
      </c>
      <c r="M16" s="10">
        <f>+'A) Base RI'!K16</f>
        <v>11095.15</v>
      </c>
      <c r="N16" s="10">
        <f>+'A) Base RI'!Q16</f>
        <v>4965.3</v>
      </c>
      <c r="O16" s="10">
        <f t="shared" si="1"/>
        <v>382790.1333333333</v>
      </c>
      <c r="P16" s="10">
        <f>+'A) Base RI'!L16</f>
        <v>574185.19999999995</v>
      </c>
      <c r="Q16" s="412">
        <f>'A) Base RI'!AS16</f>
        <v>1.5</v>
      </c>
      <c r="R16" s="404">
        <f t="shared" si="2"/>
        <v>3043235.9733333332</v>
      </c>
      <c r="S16" s="457">
        <f>+'A) Base RI'!AN16</f>
        <v>77</v>
      </c>
      <c r="T16" s="404">
        <f t="shared" si="3"/>
        <v>2649350.69</v>
      </c>
      <c r="U16" s="404">
        <f t="shared" si="4"/>
        <v>39522.545108225109</v>
      </c>
      <c r="V16" s="10">
        <f>+'A) Base RI'!O16</f>
        <v>223995</v>
      </c>
      <c r="W16" s="10">
        <f>+'A) Base RI'!P16</f>
        <v>117342.75</v>
      </c>
      <c r="X16" s="10">
        <f>+'A) Base RI'!R16</f>
        <v>93741.4</v>
      </c>
      <c r="Y16" s="404">
        <f t="shared" si="5"/>
        <v>435079.15</v>
      </c>
      <c r="Z16" s="10">
        <f>+'A) Base RI'!N16</f>
        <v>6858.4</v>
      </c>
      <c r="AA16" s="10">
        <f>'A) Base RI'!AO16</f>
        <v>1180</v>
      </c>
    </row>
    <row r="17" spans="1:27" x14ac:dyDescent="0.25">
      <c r="A17" s="8">
        <f>'A) Base RI'!A17</f>
        <v>5411</v>
      </c>
      <c r="B17" s="32" t="str">
        <f>'A) Base RI'!B17</f>
        <v>Ormont-Dessus</v>
      </c>
      <c r="C17" s="10">
        <f>'A) Base RI'!C17+'A) Base RI'!D17</f>
        <v>3957165.8</v>
      </c>
      <c r="D17" s="10">
        <f>'A) Base RI'!AP17</f>
        <v>-29780.3</v>
      </c>
      <c r="E17" s="398">
        <f>'A) Base RI'!AQ17</f>
        <v>0</v>
      </c>
      <c r="F17" s="398">
        <f>'A) Base RI'!AR17</f>
        <v>-2357.0100000000002</v>
      </c>
      <c r="G17" s="404">
        <f t="shared" si="0"/>
        <v>3925028.49</v>
      </c>
      <c r="H17" s="10">
        <f>+'A) Base RI'!E17</f>
        <v>0</v>
      </c>
      <c r="I17" s="10">
        <f>+'A) Base RI'!F17</f>
        <v>0</v>
      </c>
      <c r="J17" s="10">
        <f>+'A) Base RI'!G17+'A) Base RI'!H17+'A) Base RI'!X17</f>
        <v>112327.41999999998</v>
      </c>
      <c r="K17" s="10">
        <f>+'A) Base RI'!I17</f>
        <v>115498.45</v>
      </c>
      <c r="L17" s="10">
        <f>+'A) Base RI'!J17</f>
        <v>172898.25</v>
      </c>
      <c r="M17" s="10">
        <f>+'A) Base RI'!K17</f>
        <v>22562.15</v>
      </c>
      <c r="N17" s="10">
        <f>+'A) Base RI'!Q17</f>
        <v>11983.24</v>
      </c>
      <c r="O17" s="10">
        <f t="shared" si="1"/>
        <v>811455.29999999993</v>
      </c>
      <c r="P17" s="10">
        <f>+'A) Base RI'!L17</f>
        <v>1217182.95</v>
      </c>
      <c r="Q17" s="412">
        <f>'A) Base RI'!AS17</f>
        <v>1.5</v>
      </c>
      <c r="R17" s="404">
        <f t="shared" si="2"/>
        <v>5171753.3000000007</v>
      </c>
      <c r="S17" s="457">
        <f>+'A) Base RI'!AN17</f>
        <v>76</v>
      </c>
      <c r="T17" s="404">
        <f t="shared" si="3"/>
        <v>4337735.8500000006</v>
      </c>
      <c r="U17" s="404">
        <f t="shared" si="4"/>
        <v>68049.385526315804</v>
      </c>
      <c r="V17" s="10">
        <f>+'A) Base RI'!O17</f>
        <v>191122.9</v>
      </c>
      <c r="W17" s="10">
        <f>+'A) Base RI'!P17</f>
        <v>436124.45</v>
      </c>
      <c r="X17" s="10">
        <f>+'A) Base RI'!R17</f>
        <v>285985.05</v>
      </c>
      <c r="Y17" s="404">
        <f t="shared" si="5"/>
        <v>913232.39999999991</v>
      </c>
      <c r="Z17" s="10">
        <f>+'A) Base RI'!N17</f>
        <v>22248.05</v>
      </c>
      <c r="AA17" s="10">
        <f>'A) Base RI'!AO17</f>
        <v>1466</v>
      </c>
    </row>
    <row r="18" spans="1:27" x14ac:dyDescent="0.25">
      <c r="A18" s="8">
        <f>'A) Base RI'!A18</f>
        <v>5412</v>
      </c>
      <c r="B18" s="32" t="str">
        <f>'A) Base RI'!B18</f>
        <v>Rennaz</v>
      </c>
      <c r="C18" s="10">
        <f>'A) Base RI'!C18+'A) Base RI'!D18</f>
        <v>1229781.99</v>
      </c>
      <c r="D18" s="10">
        <f>'A) Base RI'!AP18</f>
        <v>-24854.75</v>
      </c>
      <c r="E18" s="398">
        <f>'A) Base RI'!AQ18</f>
        <v>0</v>
      </c>
      <c r="F18" s="398">
        <f>'A) Base RI'!AR18</f>
        <v>-120.95</v>
      </c>
      <c r="G18" s="404">
        <f t="shared" si="0"/>
        <v>1204806.29</v>
      </c>
      <c r="H18" s="10">
        <f>+'A) Base RI'!E18</f>
        <v>0</v>
      </c>
      <c r="I18" s="10">
        <f>+'A) Base RI'!F18</f>
        <v>0</v>
      </c>
      <c r="J18" s="10">
        <f>+'A) Base RI'!G18+'A) Base RI'!H18+'A) Base RI'!X18</f>
        <v>76303.490000000005</v>
      </c>
      <c r="K18" s="10">
        <f>+'A) Base RI'!I18</f>
        <v>0</v>
      </c>
      <c r="L18" s="10">
        <f>+'A) Base RI'!J18</f>
        <v>124988.42</v>
      </c>
      <c r="M18" s="10">
        <f>+'A) Base RI'!K18</f>
        <v>37931.25</v>
      </c>
      <c r="N18" s="10">
        <f>+'A) Base RI'!Q18</f>
        <v>10379.57</v>
      </c>
      <c r="O18" s="10">
        <f t="shared" si="1"/>
        <v>220516.4</v>
      </c>
      <c r="P18" s="10">
        <f>+'A) Base RI'!L18</f>
        <v>220516.4</v>
      </c>
      <c r="Q18" s="412">
        <f>'A) Base RI'!AS18</f>
        <v>1</v>
      </c>
      <c r="R18" s="404">
        <f t="shared" si="2"/>
        <v>1674925.42</v>
      </c>
      <c r="S18" s="457">
        <f>+'A) Base RI'!AN18</f>
        <v>69</v>
      </c>
      <c r="T18" s="404">
        <f t="shared" si="3"/>
        <v>1416477.77</v>
      </c>
      <c r="U18" s="404">
        <f t="shared" si="4"/>
        <v>24274.281449275361</v>
      </c>
      <c r="V18" s="10">
        <f>+'A) Base RI'!O18</f>
        <v>0</v>
      </c>
      <c r="W18" s="10">
        <f>+'A) Base RI'!P18</f>
        <v>390203</v>
      </c>
      <c r="X18" s="10">
        <f>+'A) Base RI'!R18</f>
        <v>61549.05</v>
      </c>
      <c r="Y18" s="404">
        <f t="shared" si="5"/>
        <v>451752.05</v>
      </c>
      <c r="Z18" s="10">
        <f>+'A) Base RI'!N18</f>
        <v>257000.25</v>
      </c>
      <c r="AA18" s="10">
        <f>'A) Base RI'!AO18</f>
        <v>889</v>
      </c>
    </row>
    <row r="19" spans="1:27" x14ac:dyDescent="0.25">
      <c r="A19" s="8">
        <f>'A) Base RI'!A19</f>
        <v>5413</v>
      </c>
      <c r="B19" s="32" t="str">
        <f>'A) Base RI'!B19</f>
        <v>Roche</v>
      </c>
      <c r="C19" s="10">
        <f>'A) Base RI'!C19+'A) Base RI'!D19</f>
        <v>2751726.2600000002</v>
      </c>
      <c r="D19" s="10">
        <f>'A) Base RI'!AP19</f>
        <v>-119303.93</v>
      </c>
      <c r="E19" s="398">
        <f>'A) Base RI'!AQ19</f>
        <v>0</v>
      </c>
      <c r="F19" s="398">
        <f>'A) Base RI'!AR19</f>
        <v>-322.97000000000003</v>
      </c>
      <c r="G19" s="404">
        <f t="shared" si="0"/>
        <v>2632099.36</v>
      </c>
      <c r="H19" s="10">
        <f>+'A) Base RI'!E19</f>
        <v>0</v>
      </c>
      <c r="I19" s="10">
        <f>+'A) Base RI'!F19</f>
        <v>0</v>
      </c>
      <c r="J19" s="10">
        <f>+'A) Base RI'!G19+'A) Base RI'!H19+'A) Base RI'!X19</f>
        <v>194739.05</v>
      </c>
      <c r="K19" s="10">
        <f>+'A) Base RI'!I19</f>
        <v>0</v>
      </c>
      <c r="L19" s="10">
        <f>+'A) Base RI'!J19</f>
        <v>69128.09</v>
      </c>
      <c r="M19" s="10">
        <f>+'A) Base RI'!K19</f>
        <v>33987.300000000003</v>
      </c>
      <c r="N19" s="10">
        <f>+'A) Base RI'!Q19</f>
        <v>35230.839999999997</v>
      </c>
      <c r="O19" s="10">
        <f t="shared" si="1"/>
        <v>299323.20833333331</v>
      </c>
      <c r="P19" s="10">
        <f>+'A) Base RI'!L19</f>
        <v>359187.85</v>
      </c>
      <c r="Q19" s="412">
        <f>'A) Base RI'!AS19</f>
        <v>1.2</v>
      </c>
      <c r="R19" s="404">
        <f t="shared" si="2"/>
        <v>3264507.8483333327</v>
      </c>
      <c r="S19" s="457">
        <f>+'A) Base RI'!AN19</f>
        <v>68</v>
      </c>
      <c r="T19" s="404">
        <f t="shared" si="3"/>
        <v>2931197.3399999994</v>
      </c>
      <c r="U19" s="404">
        <f t="shared" si="4"/>
        <v>48007.468357843129</v>
      </c>
      <c r="V19" s="10">
        <f>+'A) Base RI'!O19</f>
        <v>5414</v>
      </c>
      <c r="W19" s="10">
        <f>+'A) Base RI'!P19</f>
        <v>40660.800000000003</v>
      </c>
      <c r="X19" s="10">
        <f>+'A) Base RI'!R19</f>
        <v>234295.95</v>
      </c>
      <c r="Y19" s="404">
        <f t="shared" si="5"/>
        <v>280370.75</v>
      </c>
      <c r="Z19" s="10">
        <f>+'A) Base RI'!N19</f>
        <v>275376.59999999998</v>
      </c>
      <c r="AA19" s="10">
        <f>'A) Base RI'!AO19</f>
        <v>1868</v>
      </c>
    </row>
    <row r="20" spans="1:27" x14ac:dyDescent="0.25">
      <c r="A20" s="8">
        <f>'A) Base RI'!A20</f>
        <v>5414</v>
      </c>
      <c r="B20" s="32" t="str">
        <f>'A) Base RI'!B20</f>
        <v>Villeneuve</v>
      </c>
      <c r="C20" s="10">
        <f>'A) Base RI'!C20+'A) Base RI'!D20</f>
        <v>8786931.6699999999</v>
      </c>
      <c r="D20" s="10">
        <f>'A) Base RI'!AP20</f>
        <v>-525365.79</v>
      </c>
      <c r="E20" s="398">
        <f>'A) Base RI'!AQ20</f>
        <v>0</v>
      </c>
      <c r="F20" s="398">
        <f>'A) Base RI'!AR20</f>
        <v>-5477.89</v>
      </c>
      <c r="G20" s="404">
        <f t="shared" si="0"/>
        <v>8256087.9900000002</v>
      </c>
      <c r="H20" s="10">
        <f>+'A) Base RI'!E20</f>
        <v>0</v>
      </c>
      <c r="I20" s="10">
        <f>+'A) Base RI'!F20</f>
        <v>0</v>
      </c>
      <c r="J20" s="10">
        <f>+'A) Base RI'!G20+'A) Base RI'!H20+'A) Base RI'!X20</f>
        <v>551570.19999999995</v>
      </c>
      <c r="K20" s="10">
        <f>+'A) Base RI'!I20</f>
        <v>60504.7</v>
      </c>
      <c r="L20" s="10">
        <f>+'A) Base RI'!J20</f>
        <v>377905.1</v>
      </c>
      <c r="M20" s="10">
        <f>+'A) Base RI'!K20</f>
        <v>170265.60000000001</v>
      </c>
      <c r="N20" s="10">
        <f>+'A) Base RI'!Q20</f>
        <v>114730.6</v>
      </c>
      <c r="O20" s="10">
        <f t="shared" si="1"/>
        <v>1233070.3</v>
      </c>
      <c r="P20" s="10">
        <f>+'A) Base RI'!L20</f>
        <v>1233070.3</v>
      </c>
      <c r="Q20" s="412">
        <f>'A) Base RI'!AS20</f>
        <v>1</v>
      </c>
      <c r="R20" s="404">
        <f t="shared" si="2"/>
        <v>10764134.489999998</v>
      </c>
      <c r="S20" s="457">
        <f>+'A) Base RI'!AN20</f>
        <v>67.5</v>
      </c>
      <c r="T20" s="404">
        <f t="shared" si="3"/>
        <v>9360798.589999998</v>
      </c>
      <c r="U20" s="404">
        <f t="shared" si="4"/>
        <v>159468.65911111108</v>
      </c>
      <c r="V20" s="10">
        <f>+'A) Base RI'!O20</f>
        <v>125495</v>
      </c>
      <c r="W20" s="10">
        <f>+'A) Base RI'!P20</f>
        <v>395929.45</v>
      </c>
      <c r="X20" s="10">
        <f>+'A) Base RI'!R20</f>
        <v>291274.25</v>
      </c>
      <c r="Y20" s="404">
        <f t="shared" si="5"/>
        <v>812698.7</v>
      </c>
      <c r="Z20" s="10">
        <f>+'A) Base RI'!N20</f>
        <v>1579016.8</v>
      </c>
      <c r="AA20" s="10">
        <f>'A) Base RI'!AO20</f>
        <v>5837</v>
      </c>
    </row>
    <row r="21" spans="1:27" x14ac:dyDescent="0.25">
      <c r="A21" s="8">
        <f>'A) Base RI'!A21</f>
        <v>5415</v>
      </c>
      <c r="B21" s="32" t="str">
        <f>'A) Base RI'!B21</f>
        <v>Yvorne</v>
      </c>
      <c r="C21" s="10">
        <f>'A) Base RI'!C21+'A) Base RI'!D21</f>
        <v>2406489.94</v>
      </c>
      <c r="D21" s="10">
        <f>'A) Base RI'!AP21</f>
        <v>-33484.75</v>
      </c>
      <c r="E21" s="398">
        <f>'A) Base RI'!AQ21</f>
        <v>0</v>
      </c>
      <c r="F21" s="398">
        <f>'A) Base RI'!AR21</f>
        <v>-798.47</v>
      </c>
      <c r="G21" s="404">
        <f t="shared" si="0"/>
        <v>2372206.7199999997</v>
      </c>
      <c r="H21" s="10">
        <f>+'A) Base RI'!E21</f>
        <v>0</v>
      </c>
      <c r="I21" s="10">
        <f>+'A) Base RI'!F21</f>
        <v>0</v>
      </c>
      <c r="J21" s="10">
        <f>+'A) Base RI'!G21+'A) Base RI'!H21+'A) Base RI'!X21</f>
        <v>51074.34</v>
      </c>
      <c r="K21" s="10">
        <f>+'A) Base RI'!I21</f>
        <v>-1112.8</v>
      </c>
      <c r="L21" s="10">
        <f>+'A) Base RI'!J21</f>
        <v>50941.15</v>
      </c>
      <c r="M21" s="10">
        <f>+'A) Base RI'!K21</f>
        <v>8446.2000000000007</v>
      </c>
      <c r="N21" s="10">
        <f>+'A) Base RI'!Q21</f>
        <v>3993.56</v>
      </c>
      <c r="O21" s="10">
        <f t="shared" si="1"/>
        <v>242534.76666666669</v>
      </c>
      <c r="P21" s="10">
        <f>+'A) Base RI'!L21</f>
        <v>363802.15</v>
      </c>
      <c r="Q21" s="412">
        <f>'A) Base RI'!AS21</f>
        <v>1.5</v>
      </c>
      <c r="R21" s="404">
        <f t="shared" si="2"/>
        <v>2728083.9366666665</v>
      </c>
      <c r="S21" s="457">
        <f>+'A) Base RI'!AN21</f>
        <v>71.5</v>
      </c>
      <c r="T21" s="404">
        <f t="shared" si="3"/>
        <v>2477102.9699999997</v>
      </c>
      <c r="U21" s="404">
        <f t="shared" si="4"/>
        <v>38155.020093240091</v>
      </c>
      <c r="V21" s="10">
        <f>+'A) Base RI'!O21</f>
        <v>301698.3</v>
      </c>
      <c r="W21" s="10">
        <f>+'A) Base RI'!P21</f>
        <v>36502.699999999997</v>
      </c>
      <c r="X21" s="10">
        <f>+'A) Base RI'!R21</f>
        <v>4057.75</v>
      </c>
      <c r="Y21" s="404">
        <f t="shared" si="5"/>
        <v>342258.75</v>
      </c>
      <c r="Z21" s="10">
        <f>+'A) Base RI'!N21</f>
        <v>40570.300000000003</v>
      </c>
      <c r="AA21" s="10">
        <f>'A) Base RI'!AO21</f>
        <v>1070</v>
      </c>
    </row>
    <row r="22" spans="1:27" x14ac:dyDescent="0.25">
      <c r="A22" s="8">
        <f>'A) Base RI'!A22</f>
        <v>5421</v>
      </c>
      <c r="B22" s="32" t="str">
        <f>'A) Base RI'!B22</f>
        <v>Apples</v>
      </c>
      <c r="C22" s="10">
        <f>'A) Base RI'!C22+'A) Base RI'!D22</f>
        <v>4201889.32</v>
      </c>
      <c r="D22" s="10">
        <f>'A) Base RI'!AP22</f>
        <v>-36044.699999999997</v>
      </c>
      <c r="E22" s="398">
        <f>'A) Base RI'!AQ22</f>
        <v>0</v>
      </c>
      <c r="F22" s="398">
        <f>'A) Base RI'!AR22</f>
        <v>-5260.21</v>
      </c>
      <c r="G22" s="404">
        <f t="shared" si="0"/>
        <v>4160584.41</v>
      </c>
      <c r="H22" s="10">
        <f>+'A) Base RI'!E22</f>
        <v>0</v>
      </c>
      <c r="I22" s="10">
        <f>+'A) Base RI'!F22</f>
        <v>0</v>
      </c>
      <c r="J22" s="10">
        <f>+'A) Base RI'!G22+'A) Base RI'!H22+'A) Base RI'!X22</f>
        <v>70216.19</v>
      </c>
      <c r="K22" s="10">
        <f>+'A) Base RI'!I22</f>
        <v>67515.199999999997</v>
      </c>
      <c r="L22" s="10">
        <f>+'A) Base RI'!J22</f>
        <v>292311.67999999999</v>
      </c>
      <c r="M22" s="10">
        <f>+'A) Base RI'!K22</f>
        <v>12858.9</v>
      </c>
      <c r="N22" s="10">
        <f>+'A) Base RI'!Q22</f>
        <v>2464.04</v>
      </c>
      <c r="O22" s="10">
        <f t="shared" si="1"/>
        <v>301256.09999999998</v>
      </c>
      <c r="P22" s="10">
        <f>+'A) Base RI'!L22</f>
        <v>301256.09999999998</v>
      </c>
      <c r="Q22" s="412">
        <f>'A) Base RI'!AS22</f>
        <v>1</v>
      </c>
      <c r="R22" s="404">
        <f t="shared" si="2"/>
        <v>4907206.5200000005</v>
      </c>
      <c r="S22" s="457">
        <f>+'A) Base RI'!AN22</f>
        <v>74</v>
      </c>
      <c r="T22" s="404">
        <f t="shared" si="3"/>
        <v>4593091.5200000005</v>
      </c>
      <c r="U22" s="404">
        <f t="shared" si="4"/>
        <v>66313.601621621623</v>
      </c>
      <c r="V22" s="10">
        <f>+'A) Base RI'!O22</f>
        <v>44006.400000000001</v>
      </c>
      <c r="W22" s="10">
        <f>+'A) Base RI'!P22</f>
        <v>77387.399999999994</v>
      </c>
      <c r="X22" s="10">
        <f>+'A) Base RI'!R22</f>
        <v>60347.75</v>
      </c>
      <c r="Y22" s="404">
        <f t="shared" si="5"/>
        <v>181741.55</v>
      </c>
      <c r="Z22" s="10">
        <f>+'A) Base RI'!N22</f>
        <v>37966.6</v>
      </c>
      <c r="AA22" s="10">
        <f>'A) Base RI'!AO22</f>
        <v>1457</v>
      </c>
    </row>
    <row r="23" spans="1:27" x14ac:dyDescent="0.25">
      <c r="A23" s="8">
        <f>'A) Base RI'!A23</f>
        <v>5422</v>
      </c>
      <c r="B23" s="32" t="str">
        <f>'A) Base RI'!B23</f>
        <v>Aubonne</v>
      </c>
      <c r="C23" s="10">
        <f>'A) Base RI'!C23+'A) Base RI'!D23</f>
        <v>8795677.6799999997</v>
      </c>
      <c r="D23" s="10">
        <f>'A) Base RI'!AP23</f>
        <v>-91855.75</v>
      </c>
      <c r="E23" s="398">
        <f>'A) Base RI'!AQ23</f>
        <v>0</v>
      </c>
      <c r="F23" s="398">
        <f>'A) Base RI'!AR23</f>
        <v>-6465.77</v>
      </c>
      <c r="G23" s="404">
        <f t="shared" si="0"/>
        <v>8697356.1600000001</v>
      </c>
      <c r="H23" s="10">
        <f>+'A) Base RI'!E23</f>
        <v>0</v>
      </c>
      <c r="I23" s="10">
        <f>+'A) Base RI'!F23</f>
        <v>0</v>
      </c>
      <c r="J23" s="10">
        <f>+'A) Base RI'!G23+'A) Base RI'!H23+'A) Base RI'!X23</f>
        <v>5830027.0300000003</v>
      </c>
      <c r="K23" s="10">
        <f>+'A) Base RI'!I23</f>
        <v>319908</v>
      </c>
      <c r="L23" s="10">
        <f>+'A) Base RI'!J23</f>
        <v>541853.35</v>
      </c>
      <c r="M23" s="10">
        <f>+'A) Base RI'!K23</f>
        <v>182483.5</v>
      </c>
      <c r="N23" s="10">
        <f>+'A) Base RI'!Q23</f>
        <v>37116.94</v>
      </c>
      <c r="O23" s="10">
        <f t="shared" si="1"/>
        <v>994846.68</v>
      </c>
      <c r="P23" s="10">
        <f>+'A) Base RI'!L23</f>
        <v>994846.68</v>
      </c>
      <c r="Q23" s="412">
        <f>'A) Base RI'!AS23</f>
        <v>1</v>
      </c>
      <c r="R23" s="404">
        <f t="shared" si="2"/>
        <v>16603591.66</v>
      </c>
      <c r="S23" s="457">
        <f>+'A) Base RI'!AN23</f>
        <v>68.5</v>
      </c>
      <c r="T23" s="404">
        <f t="shared" si="3"/>
        <v>15426261.48</v>
      </c>
      <c r="U23" s="404">
        <f t="shared" si="4"/>
        <v>242388.1994160584</v>
      </c>
      <c r="V23" s="10">
        <f>+'A) Base RI'!O23</f>
        <v>132137.9</v>
      </c>
      <c r="W23" s="10">
        <f>+'A) Base RI'!P23</f>
        <v>447632.6</v>
      </c>
      <c r="X23" s="10">
        <f>+'A) Base RI'!R23</f>
        <v>440850.9</v>
      </c>
      <c r="Y23" s="404">
        <f t="shared" si="5"/>
        <v>1020621.4</v>
      </c>
      <c r="Z23" s="10">
        <f>+'A) Base RI'!N23</f>
        <v>1045403.05</v>
      </c>
      <c r="AA23" s="10">
        <f>'A) Base RI'!AO23</f>
        <v>3241</v>
      </c>
    </row>
    <row r="24" spans="1:27" x14ac:dyDescent="0.25">
      <c r="A24" s="8">
        <f>'A) Base RI'!A24</f>
        <v>5423</v>
      </c>
      <c r="B24" s="32" t="str">
        <f>'A) Base RI'!B24</f>
        <v>Ballens</v>
      </c>
      <c r="C24" s="10">
        <f>'A) Base RI'!C24+'A) Base RI'!D24</f>
        <v>1159584.51</v>
      </c>
      <c r="D24" s="10">
        <f>'A) Base RI'!AP24</f>
        <v>-22543.01</v>
      </c>
      <c r="E24" s="398">
        <f>'A) Base RI'!AQ24</f>
        <v>0</v>
      </c>
      <c r="F24" s="398">
        <f>'A) Base RI'!AR24</f>
        <v>-28.57</v>
      </c>
      <c r="G24" s="404">
        <f t="shared" si="0"/>
        <v>1137012.93</v>
      </c>
      <c r="H24" s="10">
        <f>+'A) Base RI'!E24</f>
        <v>0</v>
      </c>
      <c r="I24" s="10">
        <f>+'A) Base RI'!F24</f>
        <v>2900</v>
      </c>
      <c r="J24" s="10">
        <f>+'A) Base RI'!G24+'A) Base RI'!H24+'A) Base RI'!X24</f>
        <v>4405.1400000000003</v>
      </c>
      <c r="K24" s="10">
        <f>+'A) Base RI'!I24</f>
        <v>0</v>
      </c>
      <c r="L24" s="10">
        <f>+'A) Base RI'!J24</f>
        <v>22628</v>
      </c>
      <c r="M24" s="10">
        <f>+'A) Base RI'!K24</f>
        <v>2520.85</v>
      </c>
      <c r="N24" s="10">
        <f>+'A) Base RI'!Q24</f>
        <v>0</v>
      </c>
      <c r="O24" s="10">
        <f t="shared" si="1"/>
        <v>79909.5</v>
      </c>
      <c r="P24" s="10">
        <f>+'A) Base RI'!L24</f>
        <v>39954.75</v>
      </c>
      <c r="Q24" s="412">
        <f>'A) Base RI'!AS24</f>
        <v>0.5</v>
      </c>
      <c r="R24" s="404">
        <f t="shared" si="2"/>
        <v>1249376.42</v>
      </c>
      <c r="S24" s="457">
        <f>+'A) Base RI'!AN24</f>
        <v>73</v>
      </c>
      <c r="T24" s="404">
        <f t="shared" si="3"/>
        <v>1164046.0699999998</v>
      </c>
      <c r="U24" s="404">
        <f t="shared" si="4"/>
        <v>17114.745479452053</v>
      </c>
      <c r="V24" s="10">
        <f>+'A) Base RI'!O24</f>
        <v>0</v>
      </c>
      <c r="W24" s="10">
        <f>+'A) Base RI'!P24</f>
        <v>42278.65</v>
      </c>
      <c r="X24" s="10">
        <f>+'A) Base RI'!R24</f>
        <v>21474</v>
      </c>
      <c r="Y24" s="404">
        <f t="shared" si="5"/>
        <v>63752.65</v>
      </c>
      <c r="Z24" s="10">
        <f>+'A) Base RI'!N24</f>
        <v>23095.75</v>
      </c>
      <c r="AA24" s="10">
        <f>'A) Base RI'!AO24</f>
        <v>562</v>
      </c>
    </row>
    <row r="25" spans="1:27" x14ac:dyDescent="0.25">
      <c r="A25" s="8">
        <f>'A) Base RI'!A25</f>
        <v>5424</v>
      </c>
      <c r="B25" s="32" t="str">
        <f>'A) Base RI'!B25</f>
        <v>Berolle</v>
      </c>
      <c r="C25" s="10">
        <f>'A) Base RI'!C25+'A) Base RI'!D25</f>
        <v>609490.22</v>
      </c>
      <c r="D25" s="10">
        <f>'A) Base RI'!AP25</f>
        <v>-17136.48</v>
      </c>
      <c r="E25" s="398">
        <f>'A) Base RI'!AQ25</f>
        <v>0</v>
      </c>
      <c r="F25" s="398">
        <f>'A) Base RI'!AR25</f>
        <v>0</v>
      </c>
      <c r="G25" s="404">
        <f t="shared" si="0"/>
        <v>592353.74</v>
      </c>
      <c r="H25" s="10">
        <f>+'A) Base RI'!E25</f>
        <v>0</v>
      </c>
      <c r="I25" s="10">
        <f>+'A) Base RI'!F25</f>
        <v>0</v>
      </c>
      <c r="J25" s="10">
        <f>+'A) Base RI'!G25+'A) Base RI'!H25+'A) Base RI'!X25</f>
        <v>1255.3500000000001</v>
      </c>
      <c r="K25" s="10">
        <f>+'A) Base RI'!I25</f>
        <v>38612.949999999997</v>
      </c>
      <c r="L25" s="10">
        <f>+'A) Base RI'!J25</f>
        <v>4367.42</v>
      </c>
      <c r="M25" s="10">
        <f>+'A) Base RI'!K25</f>
        <v>766</v>
      </c>
      <c r="N25" s="10">
        <f>+'A) Base RI'!Q25</f>
        <v>401.9</v>
      </c>
      <c r="O25" s="10">
        <f t="shared" si="1"/>
        <v>50423.4</v>
      </c>
      <c r="P25" s="10">
        <f>+'A) Base RI'!L25</f>
        <v>50423.4</v>
      </c>
      <c r="Q25" s="412">
        <f>'A) Base RI'!AS25</f>
        <v>1</v>
      </c>
      <c r="R25" s="404">
        <f t="shared" si="2"/>
        <v>688180.76</v>
      </c>
      <c r="S25" s="457">
        <f>+'A) Base RI'!AN25</f>
        <v>75.5</v>
      </c>
      <c r="T25" s="404">
        <f t="shared" si="3"/>
        <v>636991.36</v>
      </c>
      <c r="U25" s="404">
        <f t="shared" si="4"/>
        <v>9114.9769536423846</v>
      </c>
      <c r="V25" s="10">
        <f>+'A) Base RI'!O25</f>
        <v>0</v>
      </c>
      <c r="W25" s="10">
        <f>+'A) Base RI'!P25</f>
        <v>14315.85</v>
      </c>
      <c r="X25" s="10">
        <f>+'A) Base RI'!R25</f>
        <v>29602.85</v>
      </c>
      <c r="Y25" s="404">
        <f t="shared" si="5"/>
        <v>43918.7</v>
      </c>
      <c r="Z25" s="10">
        <f>+'A) Base RI'!N25</f>
        <v>0</v>
      </c>
      <c r="AA25" s="10">
        <f>'A) Base RI'!AO25</f>
        <v>313</v>
      </c>
    </row>
    <row r="26" spans="1:27" x14ac:dyDescent="0.25">
      <c r="A26" s="8">
        <f>'A) Base RI'!A26</f>
        <v>5425</v>
      </c>
      <c r="B26" s="32" t="str">
        <f>'A) Base RI'!B26</f>
        <v>Bière</v>
      </c>
      <c r="C26" s="10">
        <f>'A) Base RI'!C26+'A) Base RI'!D26</f>
        <v>2267219.7000000002</v>
      </c>
      <c r="D26" s="10">
        <f>'A) Base RI'!AP26</f>
        <v>-94131.28</v>
      </c>
      <c r="E26" s="398">
        <f>'A) Base RI'!AQ26</f>
        <v>0</v>
      </c>
      <c r="F26" s="398">
        <f>'A) Base RI'!AR26</f>
        <v>-27.35</v>
      </c>
      <c r="G26" s="404">
        <f t="shared" si="0"/>
        <v>2173061.0700000003</v>
      </c>
      <c r="H26" s="10">
        <f>+'A) Base RI'!E26</f>
        <v>0</v>
      </c>
      <c r="I26" s="10">
        <f>+'A) Base RI'!F26</f>
        <v>0</v>
      </c>
      <c r="J26" s="10">
        <f>+'A) Base RI'!G26+'A) Base RI'!H26+'A) Base RI'!X26</f>
        <v>218813.93</v>
      </c>
      <c r="K26" s="10">
        <f>+'A) Base RI'!I26</f>
        <v>0</v>
      </c>
      <c r="L26" s="10">
        <f>+'A) Base RI'!J26</f>
        <v>142233.89000000001</v>
      </c>
      <c r="M26" s="10">
        <f>+'A) Base RI'!K26</f>
        <v>-12948.1</v>
      </c>
      <c r="N26" s="10">
        <f>+'A) Base RI'!Q26</f>
        <v>44838.27</v>
      </c>
      <c r="O26" s="10">
        <f t="shared" si="1"/>
        <v>208626.81034482759</v>
      </c>
      <c r="P26" s="10">
        <f>+'A) Base RI'!L26</f>
        <v>121003.55</v>
      </c>
      <c r="Q26" s="412">
        <f>'A) Base RI'!AS26</f>
        <v>0.57999999999999996</v>
      </c>
      <c r="R26" s="404">
        <f t="shared" si="2"/>
        <v>2774625.8703448279</v>
      </c>
      <c r="S26" s="457">
        <f>+'A) Base RI'!AN26</f>
        <v>69</v>
      </c>
      <c r="T26" s="404">
        <f t="shared" si="3"/>
        <v>2578947.1600000006</v>
      </c>
      <c r="U26" s="404">
        <f t="shared" si="4"/>
        <v>40211.969135432286</v>
      </c>
      <c r="V26" s="10">
        <f>+'A) Base RI'!O26</f>
        <v>53054.7</v>
      </c>
      <c r="W26" s="10">
        <f>+'A) Base RI'!P26</f>
        <v>102111.85</v>
      </c>
      <c r="X26" s="10">
        <f>+'A) Base RI'!R26</f>
        <v>95170.1</v>
      </c>
      <c r="Y26" s="404">
        <f t="shared" si="5"/>
        <v>250336.65</v>
      </c>
      <c r="Z26" s="10">
        <f>+'A) Base RI'!N26</f>
        <v>61405.1</v>
      </c>
      <c r="AA26" s="10">
        <f>'A) Base RI'!AO26</f>
        <v>1627</v>
      </c>
    </row>
    <row r="27" spans="1:27" x14ac:dyDescent="0.25">
      <c r="A27" s="8">
        <f>'A) Base RI'!A27</f>
        <v>5426</v>
      </c>
      <c r="B27" s="32" t="str">
        <f>'A) Base RI'!B27</f>
        <v>Bougy-Villars</v>
      </c>
      <c r="C27" s="10">
        <f>'A) Base RI'!C27+'A) Base RI'!D27</f>
        <v>2709774.88</v>
      </c>
      <c r="D27" s="10">
        <f>'A) Base RI'!AP27</f>
        <v>-14852.89</v>
      </c>
      <c r="E27" s="398">
        <f>'A) Base RI'!AQ27</f>
        <v>0</v>
      </c>
      <c r="F27" s="398">
        <f>'A) Base RI'!AR27</f>
        <v>-4586.82</v>
      </c>
      <c r="G27" s="404">
        <f t="shared" si="0"/>
        <v>2690335.17</v>
      </c>
      <c r="H27" s="10">
        <f>+'A) Base RI'!E27</f>
        <v>0</v>
      </c>
      <c r="I27" s="10">
        <f>+'A) Base RI'!F27</f>
        <v>0</v>
      </c>
      <c r="J27" s="10">
        <f>+'A) Base RI'!G27+'A) Base RI'!H27+'A) Base RI'!X27</f>
        <v>1912.48</v>
      </c>
      <c r="K27" s="10">
        <f>+'A) Base RI'!I27</f>
        <v>619980.80000000005</v>
      </c>
      <c r="L27" s="10">
        <f>+'A) Base RI'!J27</f>
        <v>31633.53</v>
      </c>
      <c r="M27" s="10">
        <f>+'A) Base RI'!K27</f>
        <v>-1742.2</v>
      </c>
      <c r="N27" s="10">
        <f>+'A) Base RI'!Q27</f>
        <v>0</v>
      </c>
      <c r="O27" s="10">
        <f t="shared" si="1"/>
        <v>244259.20833333334</v>
      </c>
      <c r="P27" s="10">
        <f>+'A) Base RI'!L27</f>
        <v>293111.05</v>
      </c>
      <c r="Q27" s="412">
        <f>'A) Base RI'!AS27</f>
        <v>1.2</v>
      </c>
      <c r="R27" s="404">
        <f t="shared" si="2"/>
        <v>3586378.9883333333</v>
      </c>
      <c r="S27" s="457">
        <f>+'A) Base RI'!AN27</f>
        <v>64.5</v>
      </c>
      <c r="T27" s="404">
        <f t="shared" si="3"/>
        <v>3343861.98</v>
      </c>
      <c r="U27" s="404">
        <f t="shared" si="4"/>
        <v>55602.775012919898</v>
      </c>
      <c r="V27" s="10">
        <f>+'A) Base RI'!O27</f>
        <v>10073.6</v>
      </c>
      <c r="W27" s="10">
        <f>+'A) Base RI'!P27</f>
        <v>180712.4</v>
      </c>
      <c r="X27" s="10">
        <f>+'A) Base RI'!R27</f>
        <v>90087.7</v>
      </c>
      <c r="Y27" s="404">
        <f t="shared" si="5"/>
        <v>280873.7</v>
      </c>
      <c r="Z27" s="10">
        <f>+'A) Base RI'!N27</f>
        <v>12909.65</v>
      </c>
      <c r="AA27" s="10">
        <f>'A) Base RI'!AO27</f>
        <v>477</v>
      </c>
    </row>
    <row r="28" spans="1:27" x14ac:dyDescent="0.25">
      <c r="A28" s="8">
        <f>'A) Base RI'!A28</f>
        <v>5427</v>
      </c>
      <c r="B28" s="32" t="str">
        <f>'A) Base RI'!B28</f>
        <v>Féchy</v>
      </c>
      <c r="C28" s="10">
        <f>'A) Base RI'!C28+'A) Base RI'!D28</f>
        <v>4055563.41</v>
      </c>
      <c r="D28" s="10">
        <f>'A) Base RI'!AP28</f>
        <v>-97265.64</v>
      </c>
      <c r="E28" s="398">
        <f>'A) Base RI'!AQ28</f>
        <v>0</v>
      </c>
      <c r="F28" s="398">
        <f>'A) Base RI'!AR28</f>
        <v>0</v>
      </c>
      <c r="G28" s="404">
        <f t="shared" si="0"/>
        <v>3958297.77</v>
      </c>
      <c r="H28" s="10">
        <f>+'A) Base RI'!E28</f>
        <v>0</v>
      </c>
      <c r="I28" s="10">
        <f>+'A) Base RI'!F28</f>
        <v>0</v>
      </c>
      <c r="J28" s="10">
        <f>+'A) Base RI'!G28+'A) Base RI'!H28+'A) Base RI'!X28</f>
        <v>47678.039999999994</v>
      </c>
      <c r="K28" s="10">
        <f>+'A) Base RI'!I28</f>
        <v>504282.15</v>
      </c>
      <c r="L28" s="10">
        <f>+'A) Base RI'!J28</f>
        <v>51538.01</v>
      </c>
      <c r="M28" s="10">
        <f>+'A) Base RI'!K28</f>
        <v>-319.75</v>
      </c>
      <c r="N28" s="10">
        <f>+'A) Base RI'!Q28</f>
        <v>6191.36</v>
      </c>
      <c r="O28" s="10">
        <f t="shared" si="1"/>
        <v>361614.23076923075</v>
      </c>
      <c r="P28" s="10">
        <f>+'A) Base RI'!L28</f>
        <v>470098.5</v>
      </c>
      <c r="Q28" s="412">
        <f>'A) Base RI'!AS28</f>
        <v>1.3</v>
      </c>
      <c r="R28" s="404">
        <f t="shared" si="2"/>
        <v>4929281.8107692311</v>
      </c>
      <c r="S28" s="457">
        <f>+'A) Base RI'!AN28</f>
        <v>64</v>
      </c>
      <c r="T28" s="404">
        <f t="shared" si="3"/>
        <v>4567987.33</v>
      </c>
      <c r="U28" s="404">
        <f t="shared" si="4"/>
        <v>77020.028293269235</v>
      </c>
      <c r="V28" s="10">
        <f>+'A) Base RI'!O28</f>
        <v>0</v>
      </c>
      <c r="W28" s="10">
        <f>+'A) Base RI'!P28</f>
        <v>119520.9</v>
      </c>
      <c r="X28" s="10">
        <f>+'A) Base RI'!R28</f>
        <v>78166.850000000006</v>
      </c>
      <c r="Y28" s="404">
        <f t="shared" si="5"/>
        <v>197687.75</v>
      </c>
      <c r="Z28" s="10">
        <f>+'A) Base RI'!N28</f>
        <v>11820.25</v>
      </c>
      <c r="AA28" s="10">
        <f>'A) Base RI'!AO28</f>
        <v>869</v>
      </c>
    </row>
    <row r="29" spans="1:27" x14ac:dyDescent="0.25">
      <c r="A29" s="8">
        <f>'A) Base RI'!A29</f>
        <v>5428</v>
      </c>
      <c r="B29" s="32" t="str">
        <f>'A) Base RI'!B29</f>
        <v>Gimel</v>
      </c>
      <c r="C29" s="10">
        <f>'A) Base RI'!C29+'A) Base RI'!D29</f>
        <v>4556018.04</v>
      </c>
      <c r="D29" s="10">
        <f>'A) Base RI'!AP29</f>
        <v>-58057.22</v>
      </c>
      <c r="E29" s="398">
        <f>'A) Base RI'!AQ29</f>
        <v>0</v>
      </c>
      <c r="F29" s="398">
        <f>'A) Base RI'!AR29</f>
        <v>-212.36</v>
      </c>
      <c r="G29" s="404">
        <f t="shared" si="0"/>
        <v>4497748.46</v>
      </c>
      <c r="H29" s="10">
        <f>+'A) Base RI'!E29</f>
        <v>0</v>
      </c>
      <c r="I29" s="10">
        <f>+'A) Base RI'!F29</f>
        <v>0</v>
      </c>
      <c r="J29" s="10">
        <f>+'A) Base RI'!G29+'A) Base RI'!H29+'A) Base RI'!X29</f>
        <v>126869.65000000001</v>
      </c>
      <c r="K29" s="10">
        <f>+'A) Base RI'!I29</f>
        <v>0</v>
      </c>
      <c r="L29" s="10">
        <f>+'A) Base RI'!J29</f>
        <v>204065.92000000001</v>
      </c>
      <c r="M29" s="10">
        <f>+'A) Base RI'!K29</f>
        <v>16220.5</v>
      </c>
      <c r="N29" s="10">
        <f>+'A) Base RI'!Q29</f>
        <v>3726.29</v>
      </c>
      <c r="O29" s="10">
        <f t="shared" si="1"/>
        <v>380764.29166666669</v>
      </c>
      <c r="P29" s="10">
        <f>+'A) Base RI'!L29</f>
        <v>456917.15</v>
      </c>
      <c r="Q29" s="412">
        <f>'A) Base RI'!AS29</f>
        <v>1.2</v>
      </c>
      <c r="R29" s="404">
        <f t="shared" si="2"/>
        <v>5229395.1116666673</v>
      </c>
      <c r="S29" s="457">
        <f>+'A) Base RI'!AN29</f>
        <v>74.5</v>
      </c>
      <c r="T29" s="404">
        <f t="shared" si="3"/>
        <v>4832410.32</v>
      </c>
      <c r="U29" s="404">
        <f t="shared" si="4"/>
        <v>70193.222975391502</v>
      </c>
      <c r="V29" s="10">
        <f>+'A) Base RI'!O29</f>
        <v>539194.1</v>
      </c>
      <c r="W29" s="10">
        <f>+'A) Base RI'!P29</f>
        <v>228165.85</v>
      </c>
      <c r="X29" s="10">
        <f>+'A) Base RI'!R29</f>
        <v>68445.399999999994</v>
      </c>
      <c r="Y29" s="404">
        <f t="shared" si="5"/>
        <v>835805.35</v>
      </c>
      <c r="Z29" s="10">
        <f>+'A) Base RI'!N29</f>
        <v>249456.7</v>
      </c>
      <c r="AA29" s="10">
        <f>'A) Base RI'!AO29</f>
        <v>2307</v>
      </c>
    </row>
    <row r="30" spans="1:27" x14ac:dyDescent="0.25">
      <c r="A30" s="8">
        <f>'A) Base RI'!A30</f>
        <v>5429</v>
      </c>
      <c r="B30" s="32" t="str">
        <f>'A) Base RI'!B30</f>
        <v>Longirod</v>
      </c>
      <c r="C30" s="10">
        <f>'A) Base RI'!C30+'A) Base RI'!D30</f>
        <v>1136780.5999999999</v>
      </c>
      <c r="D30" s="10">
        <f>'A) Base RI'!AP30</f>
        <v>-19217.95</v>
      </c>
      <c r="E30" s="398">
        <f>'A) Base RI'!AQ30</f>
        <v>0</v>
      </c>
      <c r="F30" s="398">
        <f>'A) Base RI'!AR30</f>
        <v>-38.01</v>
      </c>
      <c r="G30" s="404">
        <f t="shared" si="0"/>
        <v>1117524.6399999999</v>
      </c>
      <c r="H30" s="10">
        <f>+'A) Base RI'!E30</f>
        <v>0</v>
      </c>
      <c r="I30" s="10">
        <f>+'A) Base RI'!F30</f>
        <v>0</v>
      </c>
      <c r="J30" s="10">
        <f>+'A) Base RI'!G30+'A) Base RI'!H30+'A) Base RI'!X30</f>
        <v>18585.349999999999</v>
      </c>
      <c r="K30" s="10">
        <f>+'A) Base RI'!I30</f>
        <v>0</v>
      </c>
      <c r="L30" s="10">
        <f>+'A) Base RI'!J30</f>
        <v>9020.59</v>
      </c>
      <c r="M30" s="10">
        <f>+'A) Base RI'!K30</f>
        <v>3793.9</v>
      </c>
      <c r="N30" s="10">
        <f>+'A) Base RI'!Q30</f>
        <v>104.2</v>
      </c>
      <c r="O30" s="10">
        <f t="shared" si="1"/>
        <v>101881.3</v>
      </c>
      <c r="P30" s="10">
        <f>+'A) Base RI'!L30</f>
        <v>101881.3</v>
      </c>
      <c r="Q30" s="412">
        <f>'A) Base RI'!AS30</f>
        <v>1</v>
      </c>
      <c r="R30" s="404">
        <f t="shared" si="2"/>
        <v>1250909.98</v>
      </c>
      <c r="S30" s="457">
        <f>+'A) Base RI'!AN30</f>
        <v>77.5</v>
      </c>
      <c r="T30" s="404">
        <f t="shared" si="3"/>
        <v>1145234.78</v>
      </c>
      <c r="U30" s="404">
        <f t="shared" si="4"/>
        <v>16140.77393548387</v>
      </c>
      <c r="V30" s="10">
        <f>+'A) Base RI'!O30</f>
        <v>0</v>
      </c>
      <c r="W30" s="10">
        <f>+'A) Base RI'!P30</f>
        <v>85378.4</v>
      </c>
      <c r="X30" s="10">
        <f>+'A) Base RI'!R30</f>
        <v>7985.1</v>
      </c>
      <c r="Y30" s="404">
        <f t="shared" si="5"/>
        <v>93363.5</v>
      </c>
      <c r="Z30" s="10">
        <f>+'A) Base RI'!N30</f>
        <v>0</v>
      </c>
      <c r="AA30" s="10">
        <f>'A) Base RI'!AO30</f>
        <v>494</v>
      </c>
    </row>
    <row r="31" spans="1:27" x14ac:dyDescent="0.25">
      <c r="A31" s="8">
        <f>'A) Base RI'!A31</f>
        <v>5430</v>
      </c>
      <c r="B31" s="32" t="str">
        <f>'A) Base RI'!B31</f>
        <v>Marchissy</v>
      </c>
      <c r="C31" s="10">
        <f>'A) Base RI'!C31+'A) Base RI'!D31</f>
        <v>1058347.04</v>
      </c>
      <c r="D31" s="10">
        <f>'A) Base RI'!AP31</f>
        <v>-25464.82</v>
      </c>
      <c r="E31" s="398">
        <f>'A) Base RI'!AQ31</f>
        <v>0</v>
      </c>
      <c r="F31" s="398">
        <f>'A) Base RI'!AR31</f>
        <v>-108.97</v>
      </c>
      <c r="G31" s="404">
        <f t="shared" si="0"/>
        <v>1032773.2500000001</v>
      </c>
      <c r="H31" s="10">
        <f>+'A) Base RI'!E31</f>
        <v>0</v>
      </c>
      <c r="I31" s="10">
        <f>+'A) Base RI'!F31</f>
        <v>0</v>
      </c>
      <c r="J31" s="10">
        <f>+'A) Base RI'!G31+'A) Base RI'!H31+'A) Base RI'!X31</f>
        <v>-120.17000000000019</v>
      </c>
      <c r="K31" s="10">
        <f>+'A) Base RI'!I31</f>
        <v>0</v>
      </c>
      <c r="L31" s="10">
        <f>+'A) Base RI'!J31</f>
        <v>23189.25</v>
      </c>
      <c r="M31" s="10">
        <f>+'A) Base RI'!K31</f>
        <v>756.8</v>
      </c>
      <c r="N31" s="10">
        <f>+'A) Base RI'!Q31</f>
        <v>0</v>
      </c>
      <c r="O31" s="10">
        <f t="shared" si="1"/>
        <v>94155.8</v>
      </c>
      <c r="P31" s="10">
        <f>+'A) Base RI'!L31</f>
        <v>94155.8</v>
      </c>
      <c r="Q31" s="412">
        <f>'A) Base RI'!AS31</f>
        <v>1</v>
      </c>
      <c r="R31" s="404">
        <f t="shared" si="2"/>
        <v>1150754.9300000002</v>
      </c>
      <c r="S31" s="457">
        <f>+'A) Base RI'!AN31</f>
        <v>77.5</v>
      </c>
      <c r="T31" s="404">
        <f t="shared" si="3"/>
        <v>1055842.33</v>
      </c>
      <c r="U31" s="404">
        <f t="shared" si="4"/>
        <v>14848.450709677421</v>
      </c>
      <c r="V31" s="10">
        <f>+'A) Base RI'!O31</f>
        <v>0</v>
      </c>
      <c r="W31" s="10">
        <f>+'A) Base RI'!P31</f>
        <v>61825.5</v>
      </c>
      <c r="X31" s="10">
        <f>+'A) Base RI'!R31</f>
        <v>21966.95</v>
      </c>
      <c r="Y31" s="404">
        <f t="shared" si="5"/>
        <v>83792.45</v>
      </c>
      <c r="Z31" s="10">
        <f>+'A) Base RI'!N31</f>
        <v>6870.3</v>
      </c>
      <c r="AA31" s="10">
        <f>'A) Base RI'!AO31</f>
        <v>481</v>
      </c>
    </row>
    <row r="32" spans="1:27" x14ac:dyDescent="0.25">
      <c r="A32" s="8">
        <f>'A) Base RI'!A32</f>
        <v>5431</v>
      </c>
      <c r="B32" s="32" t="str">
        <f>'A) Base RI'!B32</f>
        <v>Mollens</v>
      </c>
      <c r="C32" s="10">
        <f>'A) Base RI'!C32+'A) Base RI'!D32</f>
        <v>614644.35000000009</v>
      </c>
      <c r="D32" s="10">
        <f>'A) Base RI'!AP32</f>
        <v>-790.65</v>
      </c>
      <c r="E32" s="398">
        <f>'A) Base RI'!AQ32</f>
        <v>0</v>
      </c>
      <c r="F32" s="398">
        <f>'A) Base RI'!AR32</f>
        <v>-2388.17</v>
      </c>
      <c r="G32" s="404">
        <f t="shared" si="0"/>
        <v>611465.53</v>
      </c>
      <c r="H32" s="10">
        <f>+'A) Base RI'!E32</f>
        <v>0</v>
      </c>
      <c r="I32" s="10">
        <f>+'A) Base RI'!F32</f>
        <v>0</v>
      </c>
      <c r="J32" s="10">
        <f>+'A) Base RI'!G32+'A) Base RI'!H32+'A) Base RI'!X32</f>
        <v>1236.93</v>
      </c>
      <c r="K32" s="10">
        <f>+'A) Base RI'!I32</f>
        <v>0</v>
      </c>
      <c r="L32" s="10">
        <f>+'A) Base RI'!J32</f>
        <v>25776.17</v>
      </c>
      <c r="M32" s="10">
        <f>+'A) Base RI'!K32</f>
        <v>283.85000000000002</v>
      </c>
      <c r="N32" s="10">
        <f>+'A) Base RI'!Q32</f>
        <v>77.349999999999994</v>
      </c>
      <c r="O32" s="10">
        <f t="shared" si="1"/>
        <v>51837.3</v>
      </c>
      <c r="P32" s="10">
        <f>+'A) Base RI'!L32</f>
        <v>51837.3</v>
      </c>
      <c r="Q32" s="412">
        <f>'A) Base RI'!AS32</f>
        <v>1</v>
      </c>
      <c r="R32" s="404">
        <f t="shared" si="2"/>
        <v>690677.13000000012</v>
      </c>
      <c r="S32" s="457">
        <f>+'A) Base RI'!AN32</f>
        <v>74</v>
      </c>
      <c r="T32" s="404">
        <f t="shared" si="3"/>
        <v>638555.9800000001</v>
      </c>
      <c r="U32" s="404">
        <f t="shared" si="4"/>
        <v>9333.4747297297308</v>
      </c>
      <c r="V32" s="10">
        <f>+'A) Base RI'!O32</f>
        <v>66740.100000000006</v>
      </c>
      <c r="W32" s="10">
        <f>+'A) Base RI'!P32</f>
        <v>38146.949999999997</v>
      </c>
      <c r="X32" s="10">
        <f>+'A) Base RI'!R32</f>
        <v>68319.649999999994</v>
      </c>
      <c r="Y32" s="404">
        <f t="shared" si="5"/>
        <v>173206.7</v>
      </c>
      <c r="Z32" s="10">
        <f>+'A) Base RI'!N32</f>
        <v>178.1</v>
      </c>
      <c r="AA32" s="10">
        <f>'A) Base RI'!AO32</f>
        <v>330</v>
      </c>
    </row>
    <row r="33" spans="1:27" x14ac:dyDescent="0.25">
      <c r="A33" s="8">
        <f>'A) Base RI'!A33</f>
        <v>5432</v>
      </c>
      <c r="B33" s="32" t="str">
        <f>'A) Base RI'!B33</f>
        <v>Montherod</v>
      </c>
      <c r="C33" s="10">
        <f>'A) Base RI'!C33+'A) Base RI'!D33</f>
        <v>1119624.79</v>
      </c>
      <c r="D33" s="10">
        <f>'A) Base RI'!AP33</f>
        <v>-31192.400000000001</v>
      </c>
      <c r="E33" s="398">
        <f>'A) Base RI'!AQ33</f>
        <v>0</v>
      </c>
      <c r="F33" s="398">
        <f>'A) Base RI'!AR33</f>
        <v>0</v>
      </c>
      <c r="G33" s="404">
        <f t="shared" si="0"/>
        <v>1088432.3900000001</v>
      </c>
      <c r="H33" s="10">
        <f>+'A) Base RI'!E33</f>
        <v>0</v>
      </c>
      <c r="I33" s="10">
        <f>+'A) Base RI'!F33</f>
        <v>0</v>
      </c>
      <c r="J33" s="10">
        <f>+'A) Base RI'!G33+'A) Base RI'!H33+'A) Base RI'!X33</f>
        <v>3254.4</v>
      </c>
      <c r="K33" s="10">
        <f>+'A) Base RI'!I33</f>
        <v>0</v>
      </c>
      <c r="L33" s="10">
        <f>+'A) Base RI'!J33</f>
        <v>39753.660000000003</v>
      </c>
      <c r="M33" s="10">
        <f>+'A) Base RI'!K33</f>
        <v>5497.3</v>
      </c>
      <c r="N33" s="10">
        <f>+'A) Base RI'!Q33</f>
        <v>0</v>
      </c>
      <c r="O33" s="10">
        <f t="shared" si="1"/>
        <v>95275.5</v>
      </c>
      <c r="P33" s="10">
        <f>+'A) Base RI'!L33</f>
        <v>95275.5</v>
      </c>
      <c r="Q33" s="412">
        <f>'A) Base RI'!AS33</f>
        <v>1</v>
      </c>
      <c r="R33" s="404">
        <f t="shared" si="2"/>
        <v>1232213.25</v>
      </c>
      <c r="S33" s="457">
        <f>+'A) Base RI'!AN33</f>
        <v>75</v>
      </c>
      <c r="T33" s="404">
        <f t="shared" si="3"/>
        <v>1131440.45</v>
      </c>
      <c r="U33" s="404">
        <f t="shared" si="4"/>
        <v>16429.509999999998</v>
      </c>
      <c r="V33" s="10">
        <f>+'A) Base RI'!O33</f>
        <v>13433.1</v>
      </c>
      <c r="W33" s="10">
        <f>+'A) Base RI'!P33</f>
        <v>43749.4</v>
      </c>
      <c r="X33" s="10">
        <f>+'A) Base RI'!R33</f>
        <v>53098.65</v>
      </c>
      <c r="Y33" s="404">
        <f t="shared" si="5"/>
        <v>110281.15</v>
      </c>
      <c r="Z33" s="10">
        <f>+'A) Base RI'!N33</f>
        <v>17115.900000000001</v>
      </c>
      <c r="AA33" s="10">
        <f>'A) Base RI'!AO33</f>
        <v>523</v>
      </c>
    </row>
    <row r="34" spans="1:27" x14ac:dyDescent="0.25">
      <c r="A34" s="8">
        <f>'A) Base RI'!A34</f>
        <v>5434</v>
      </c>
      <c r="B34" s="32" t="str">
        <f>'A) Base RI'!B34</f>
        <v>Saint-George</v>
      </c>
      <c r="C34" s="10">
        <f>'A) Base RI'!C34+'A) Base RI'!D34</f>
        <v>2601347.3199999998</v>
      </c>
      <c r="D34" s="10">
        <f>'A) Base RI'!AP34</f>
        <v>-52776.88</v>
      </c>
      <c r="E34" s="398">
        <f>'A) Base RI'!AQ34</f>
        <v>0</v>
      </c>
      <c r="F34" s="398">
        <f>'A) Base RI'!AR34</f>
        <v>0</v>
      </c>
      <c r="G34" s="404">
        <f t="shared" si="0"/>
        <v>2548570.44</v>
      </c>
      <c r="H34" s="10">
        <f>+'A) Base RI'!E34</f>
        <v>0</v>
      </c>
      <c r="I34" s="10">
        <f>+'A) Base RI'!F34</f>
        <v>0</v>
      </c>
      <c r="J34" s="10">
        <f>+'A) Base RI'!G34+'A) Base RI'!H34+'A) Base RI'!X34</f>
        <v>18742.419999999998</v>
      </c>
      <c r="K34" s="10">
        <f>+'A) Base RI'!I34</f>
        <v>0</v>
      </c>
      <c r="L34" s="10">
        <f>+'A) Base RI'!J34</f>
        <v>30028.28</v>
      </c>
      <c r="M34" s="10">
        <f>+'A) Base RI'!K34</f>
        <v>2850.7</v>
      </c>
      <c r="N34" s="10">
        <f>+'A) Base RI'!Q34</f>
        <v>601.76</v>
      </c>
      <c r="O34" s="10">
        <f t="shared" si="1"/>
        <v>234582.20833333337</v>
      </c>
      <c r="P34" s="10">
        <f>+'A) Base RI'!L34</f>
        <v>281498.65000000002</v>
      </c>
      <c r="Q34" s="412">
        <f>'A) Base RI'!AS34</f>
        <v>1.2</v>
      </c>
      <c r="R34" s="404">
        <f t="shared" si="2"/>
        <v>2835375.8083333331</v>
      </c>
      <c r="S34" s="457">
        <f>+'A) Base RI'!AN34</f>
        <v>69.5</v>
      </c>
      <c r="T34" s="404">
        <f t="shared" si="3"/>
        <v>2597942.8999999994</v>
      </c>
      <c r="U34" s="404">
        <f t="shared" si="4"/>
        <v>40796.774220623498</v>
      </c>
      <c r="V34" s="10">
        <f>+'A) Base RI'!O34</f>
        <v>16832.8</v>
      </c>
      <c r="W34" s="10">
        <f>+'A) Base RI'!P34</f>
        <v>94465.05</v>
      </c>
      <c r="X34" s="10">
        <f>+'A) Base RI'!R34</f>
        <v>102197.45</v>
      </c>
      <c r="Y34" s="404">
        <f t="shared" si="5"/>
        <v>213495.3</v>
      </c>
      <c r="Z34" s="10">
        <f>+'A) Base RI'!N34</f>
        <v>27638.1</v>
      </c>
      <c r="AA34" s="10">
        <f>'A) Base RI'!AO34</f>
        <v>1074</v>
      </c>
    </row>
    <row r="35" spans="1:27" x14ac:dyDescent="0.25">
      <c r="A35" s="8">
        <f>'A) Base RI'!A35</f>
        <v>5435</v>
      </c>
      <c r="B35" s="32" t="str">
        <f>'A) Base RI'!B35</f>
        <v>Saint-Livres</v>
      </c>
      <c r="C35" s="10">
        <f>'A) Base RI'!C35+'A) Base RI'!D35</f>
        <v>1701169.97</v>
      </c>
      <c r="D35" s="10">
        <f>'A) Base RI'!AP35</f>
        <v>-33132.080000000002</v>
      </c>
      <c r="E35" s="398">
        <f>'A) Base RI'!AQ35</f>
        <v>0</v>
      </c>
      <c r="F35" s="398">
        <f>'A) Base RI'!AR35</f>
        <v>-280.23</v>
      </c>
      <c r="G35" s="404">
        <f t="shared" si="0"/>
        <v>1667757.66</v>
      </c>
      <c r="H35" s="10">
        <f>+'A) Base RI'!E35</f>
        <v>0</v>
      </c>
      <c r="I35" s="10">
        <f>+'A) Base RI'!F35</f>
        <v>0</v>
      </c>
      <c r="J35" s="10">
        <f>+'A) Base RI'!G35+'A) Base RI'!H35+'A) Base RI'!X35</f>
        <v>30165.940000000002</v>
      </c>
      <c r="K35" s="10">
        <f>+'A) Base RI'!I35</f>
        <v>0</v>
      </c>
      <c r="L35" s="10">
        <f>+'A) Base RI'!J35</f>
        <v>-8020.53</v>
      </c>
      <c r="M35" s="10">
        <f>+'A) Base RI'!K35</f>
        <v>0</v>
      </c>
      <c r="N35" s="10">
        <f>+'A) Base RI'!Q35</f>
        <v>2137.23</v>
      </c>
      <c r="O35" s="10">
        <f t="shared" si="1"/>
        <v>125868.9</v>
      </c>
      <c r="P35" s="10">
        <f>+'A) Base RI'!L35</f>
        <v>125868.9</v>
      </c>
      <c r="Q35" s="412">
        <f>'A) Base RI'!AS35</f>
        <v>1</v>
      </c>
      <c r="R35" s="404">
        <f t="shared" si="2"/>
        <v>1817909.1999999997</v>
      </c>
      <c r="S35" s="457">
        <f>+'A) Base RI'!AN35</f>
        <v>69</v>
      </c>
      <c r="T35" s="404">
        <f t="shared" si="3"/>
        <v>1692040.2999999998</v>
      </c>
      <c r="U35" s="404">
        <f t="shared" si="4"/>
        <v>26346.510144927532</v>
      </c>
      <c r="V35" s="10">
        <f>+'A) Base RI'!O35</f>
        <v>0</v>
      </c>
      <c r="W35" s="10">
        <f>+'A) Base RI'!P35</f>
        <v>87831.55</v>
      </c>
      <c r="X35" s="10">
        <f>+'A) Base RI'!R35</f>
        <v>40476.35</v>
      </c>
      <c r="Y35" s="404">
        <f t="shared" si="5"/>
        <v>128307.9</v>
      </c>
      <c r="Z35" s="10">
        <f>+'A) Base RI'!N35</f>
        <v>18525.05</v>
      </c>
      <c r="AA35" s="10">
        <f>'A) Base RI'!AO35</f>
        <v>683</v>
      </c>
    </row>
    <row r="36" spans="1:27" x14ac:dyDescent="0.25">
      <c r="A36" s="8">
        <f>'A) Base RI'!A36</f>
        <v>5436</v>
      </c>
      <c r="B36" s="32" t="str">
        <f>'A) Base RI'!B36</f>
        <v>Saint-Oyens</v>
      </c>
      <c r="C36" s="10">
        <f>'A) Base RI'!C36+'A) Base RI'!D36</f>
        <v>1259679.74</v>
      </c>
      <c r="D36" s="10">
        <f>'A) Base RI'!AP36</f>
        <v>-702</v>
      </c>
      <c r="E36" s="398">
        <f>'A) Base RI'!AQ36</f>
        <v>0</v>
      </c>
      <c r="F36" s="398">
        <f>'A) Base RI'!AR36</f>
        <v>-758.29</v>
      </c>
      <c r="G36" s="404">
        <f t="shared" si="0"/>
        <v>1258219.45</v>
      </c>
      <c r="H36" s="10">
        <f>+'A) Base RI'!E36</f>
        <v>0</v>
      </c>
      <c r="I36" s="10">
        <f>+'A) Base RI'!F36</f>
        <v>0</v>
      </c>
      <c r="J36" s="10">
        <f>+'A) Base RI'!G36+'A) Base RI'!H36+'A) Base RI'!X36</f>
        <v>8108.98</v>
      </c>
      <c r="K36" s="10">
        <f>+'A) Base RI'!I36</f>
        <v>0</v>
      </c>
      <c r="L36" s="10">
        <f>+'A) Base RI'!J36</f>
        <v>-2382.0300000000002</v>
      </c>
      <c r="M36" s="10">
        <f>+'A) Base RI'!K36</f>
        <v>0</v>
      </c>
      <c r="N36" s="10">
        <f>+'A) Base RI'!Q36</f>
        <v>5914.13</v>
      </c>
      <c r="O36" s="10">
        <f t="shared" si="1"/>
        <v>87346.187499999985</v>
      </c>
      <c r="P36" s="10">
        <f>+'A) Base RI'!L36</f>
        <v>69876.95</v>
      </c>
      <c r="Q36" s="412">
        <f>'A) Base RI'!AS36</f>
        <v>0.8</v>
      </c>
      <c r="R36" s="404">
        <f t="shared" si="2"/>
        <v>1357206.7174999998</v>
      </c>
      <c r="S36" s="457">
        <f>+'A) Base RI'!AN36</f>
        <v>81</v>
      </c>
      <c r="T36" s="404">
        <f t="shared" si="3"/>
        <v>1269860.5299999998</v>
      </c>
      <c r="U36" s="404">
        <f t="shared" si="4"/>
        <v>16755.63848765432</v>
      </c>
      <c r="V36" s="10">
        <f>+'A) Base RI'!O36</f>
        <v>8820.4</v>
      </c>
      <c r="W36" s="10">
        <f>+'A) Base RI'!P36</f>
        <v>51717.1</v>
      </c>
      <c r="X36" s="10">
        <f>+'A) Base RI'!R36</f>
        <v>1182.3</v>
      </c>
      <c r="Y36" s="404">
        <f t="shared" si="5"/>
        <v>61719.8</v>
      </c>
      <c r="Z36" s="10">
        <f>+'A) Base RI'!N36</f>
        <v>171.1</v>
      </c>
      <c r="AA36" s="10">
        <f>'A) Base RI'!AO36</f>
        <v>461</v>
      </c>
    </row>
    <row r="37" spans="1:27" x14ac:dyDescent="0.25">
      <c r="A37" s="8">
        <f>'A) Base RI'!A37</f>
        <v>5437</v>
      </c>
      <c r="B37" s="32" t="str">
        <f>'A) Base RI'!B37</f>
        <v>Saubraz</v>
      </c>
      <c r="C37" s="10">
        <f>'A) Base RI'!C37+'A) Base RI'!D37</f>
        <v>1022667</v>
      </c>
      <c r="D37" s="10">
        <f>'A) Base RI'!AP37</f>
        <v>-12796.07</v>
      </c>
      <c r="E37" s="398">
        <f>'A) Base RI'!AQ37</f>
        <v>0</v>
      </c>
      <c r="F37" s="398">
        <f>'A) Base RI'!AR37</f>
        <v>-411.53</v>
      </c>
      <c r="G37" s="404">
        <f t="shared" si="0"/>
        <v>1009459.4</v>
      </c>
      <c r="H37" s="10">
        <f>+'A) Base RI'!E37</f>
        <v>0</v>
      </c>
      <c r="I37" s="10">
        <f>+'A) Base RI'!F37</f>
        <v>0</v>
      </c>
      <c r="J37" s="10">
        <f>+'A) Base RI'!G37+'A) Base RI'!H37+'A) Base RI'!X37</f>
        <v>55301.75</v>
      </c>
      <c r="K37" s="10">
        <f>+'A) Base RI'!I37</f>
        <v>0</v>
      </c>
      <c r="L37" s="10">
        <f>+'A) Base RI'!J37</f>
        <v>-63166.080000000002</v>
      </c>
      <c r="M37" s="10">
        <f>+'A) Base RI'!K37</f>
        <v>746.35</v>
      </c>
      <c r="N37" s="10">
        <f>+'A) Base RI'!Q37</f>
        <v>0</v>
      </c>
      <c r="O37" s="10">
        <f t="shared" si="1"/>
        <v>69011.05</v>
      </c>
      <c r="P37" s="10">
        <f>+'A) Base RI'!L37</f>
        <v>69011.05</v>
      </c>
      <c r="Q37" s="412">
        <f>'A) Base RI'!AS37</f>
        <v>1</v>
      </c>
      <c r="R37" s="404">
        <f t="shared" si="2"/>
        <v>1071352.47</v>
      </c>
      <c r="S37" s="457">
        <f>+'A) Base RI'!AN37</f>
        <v>80</v>
      </c>
      <c r="T37" s="404">
        <f t="shared" si="3"/>
        <v>1001595.07</v>
      </c>
      <c r="U37" s="404">
        <f t="shared" si="4"/>
        <v>13391.905875</v>
      </c>
      <c r="V37" s="10">
        <f>+'A) Base RI'!O37</f>
        <v>0</v>
      </c>
      <c r="W37" s="10">
        <f>+'A) Base RI'!P37</f>
        <v>65452.7</v>
      </c>
      <c r="X37" s="10">
        <f>+'A) Base RI'!R37</f>
        <v>42105.9</v>
      </c>
      <c r="Y37" s="404">
        <f t="shared" si="5"/>
        <v>107558.6</v>
      </c>
      <c r="Z37" s="10">
        <f>+'A) Base RI'!N37</f>
        <v>0</v>
      </c>
      <c r="AA37" s="10">
        <f>'A) Base RI'!AO37</f>
        <v>423</v>
      </c>
    </row>
    <row r="38" spans="1:27" x14ac:dyDescent="0.25">
      <c r="A38" s="8">
        <f>'A) Base RI'!A38</f>
        <v>5451</v>
      </c>
      <c r="B38" s="32" t="str">
        <f>'A) Base RI'!B38</f>
        <v>Avenches</v>
      </c>
      <c r="C38" s="10">
        <f>'A) Base RI'!C38+'A) Base RI'!D38</f>
        <v>5563456.2299999995</v>
      </c>
      <c r="D38" s="10">
        <f>'A) Base RI'!AP38</f>
        <v>-312503.08</v>
      </c>
      <c r="E38" s="398">
        <f>'A) Base RI'!AQ38</f>
        <v>0</v>
      </c>
      <c r="F38" s="398">
        <f>'A) Base RI'!AR38</f>
        <v>-1157.72</v>
      </c>
      <c r="G38" s="404">
        <f t="shared" si="0"/>
        <v>5249795.43</v>
      </c>
      <c r="H38" s="10">
        <f>+'A) Base RI'!E38</f>
        <v>0</v>
      </c>
      <c r="I38" s="10">
        <f>+'A) Base RI'!F38</f>
        <v>0</v>
      </c>
      <c r="J38" s="10">
        <f>+'A) Base RI'!G38+'A) Base RI'!H38+'A) Base RI'!X38</f>
        <v>1734986.66</v>
      </c>
      <c r="K38" s="10">
        <f>+'A) Base RI'!I38</f>
        <v>0</v>
      </c>
      <c r="L38" s="10">
        <f>+'A) Base RI'!J38</f>
        <v>376921.76</v>
      </c>
      <c r="M38" s="10">
        <f>+'A) Base RI'!K38</f>
        <v>171098.05</v>
      </c>
      <c r="N38" s="10">
        <f>+'A) Base RI'!Q38</f>
        <v>101555.19</v>
      </c>
      <c r="O38" s="10">
        <f t="shared" si="1"/>
        <v>977446.9</v>
      </c>
      <c r="P38" s="10">
        <f>+'A) Base RI'!L38</f>
        <v>1466170.35</v>
      </c>
      <c r="Q38" s="412">
        <f>'A) Base RI'!AS38</f>
        <v>1.5</v>
      </c>
      <c r="R38" s="404">
        <f t="shared" si="2"/>
        <v>8611803.9900000002</v>
      </c>
      <c r="S38" s="457">
        <f>+'A) Base RI'!AN38</f>
        <v>66.5</v>
      </c>
      <c r="T38" s="404">
        <f t="shared" si="3"/>
        <v>7463259.04</v>
      </c>
      <c r="U38" s="404">
        <f t="shared" si="4"/>
        <v>129500.81187969925</v>
      </c>
      <c r="V38" s="10">
        <f>+'A) Base RI'!O38</f>
        <v>107992.3</v>
      </c>
      <c r="W38" s="10">
        <f>+'A) Base RI'!P38</f>
        <v>379904.45</v>
      </c>
      <c r="X38" s="10">
        <f>+'A) Base RI'!R38</f>
        <v>134929.70000000001</v>
      </c>
      <c r="Y38" s="404">
        <f t="shared" si="5"/>
        <v>622826.44999999995</v>
      </c>
      <c r="Z38" s="10">
        <f>+'A) Base RI'!N38</f>
        <v>537089.1</v>
      </c>
      <c r="AA38" s="10">
        <f>'A) Base RI'!AO38</f>
        <v>4482</v>
      </c>
    </row>
    <row r="39" spans="1:27" x14ac:dyDescent="0.25">
      <c r="A39" s="8">
        <f>'A) Base RI'!A39</f>
        <v>5456</v>
      </c>
      <c r="B39" s="32" t="str">
        <f>'A) Base RI'!B39</f>
        <v>Cudrefin</v>
      </c>
      <c r="C39" s="10">
        <f>'A) Base RI'!C39+'A) Base RI'!D39</f>
        <v>3399900.98</v>
      </c>
      <c r="D39" s="10">
        <f>'A) Base RI'!AP39</f>
        <v>-22900.59</v>
      </c>
      <c r="E39" s="398">
        <f>'A) Base RI'!AQ39</f>
        <v>0</v>
      </c>
      <c r="F39" s="398">
        <f>'A) Base RI'!AR39</f>
        <v>-409.07</v>
      </c>
      <c r="G39" s="404">
        <f t="shared" si="0"/>
        <v>3376591.3200000003</v>
      </c>
      <c r="H39" s="10">
        <f>+'A) Base RI'!E39</f>
        <v>0</v>
      </c>
      <c r="I39" s="10">
        <f>+'A) Base RI'!F39</f>
        <v>0</v>
      </c>
      <c r="J39" s="10">
        <f>+'A) Base RI'!G39+'A) Base RI'!H39+'A) Base RI'!X39</f>
        <v>44240.7</v>
      </c>
      <c r="K39" s="10">
        <f>+'A) Base RI'!I39</f>
        <v>0</v>
      </c>
      <c r="L39" s="10">
        <f>+'A) Base RI'!J39</f>
        <v>34218.730000000003</v>
      </c>
      <c r="M39" s="10">
        <f>+'A) Base RI'!K39</f>
        <v>-7000.35</v>
      </c>
      <c r="N39" s="10">
        <f>+'A) Base RI'!Q39</f>
        <v>42.93</v>
      </c>
      <c r="O39" s="10">
        <f t="shared" si="1"/>
        <v>341295.73333333334</v>
      </c>
      <c r="P39" s="10">
        <f>+'A) Base RI'!L39</f>
        <v>511943.6</v>
      </c>
      <c r="Q39" s="412">
        <f>'A) Base RI'!AS39</f>
        <v>1.5</v>
      </c>
      <c r="R39" s="404">
        <f t="shared" si="2"/>
        <v>3789389.0633333339</v>
      </c>
      <c r="S39" s="457">
        <f>+'A) Base RI'!AN39</f>
        <v>59</v>
      </c>
      <c r="T39" s="404">
        <f t="shared" si="3"/>
        <v>3455093.6800000006</v>
      </c>
      <c r="U39" s="404">
        <f t="shared" si="4"/>
        <v>64226.933276836171</v>
      </c>
      <c r="V39" s="10">
        <f>+'A) Base RI'!O39</f>
        <v>34794.400000000001</v>
      </c>
      <c r="W39" s="10">
        <f>+'A) Base RI'!P39</f>
        <v>234467.75</v>
      </c>
      <c r="X39" s="10">
        <f>+'A) Base RI'!R39</f>
        <v>92485.75</v>
      </c>
      <c r="Y39" s="404">
        <f t="shared" si="5"/>
        <v>361747.9</v>
      </c>
      <c r="Z39" s="10">
        <f>+'A) Base RI'!N39</f>
        <v>5787.35</v>
      </c>
      <c r="AA39" s="10">
        <f>'A) Base RI'!AO39</f>
        <v>1780</v>
      </c>
    </row>
    <row r="40" spans="1:27" x14ac:dyDescent="0.25">
      <c r="A40" s="8">
        <f>'A) Base RI'!A40</f>
        <v>5458</v>
      </c>
      <c r="B40" s="32" t="str">
        <f>'A) Base RI'!B40</f>
        <v>Faoug</v>
      </c>
      <c r="C40" s="10">
        <f>'A) Base RI'!C40+'A) Base RI'!D40</f>
        <v>1860969.38</v>
      </c>
      <c r="D40" s="10">
        <f>'A) Base RI'!AP40</f>
        <v>-57688.77</v>
      </c>
      <c r="E40" s="398">
        <f>'A) Base RI'!AQ40</f>
        <v>0</v>
      </c>
      <c r="F40" s="398">
        <f>'A) Base RI'!AR40</f>
        <v>-535</v>
      </c>
      <c r="G40" s="404">
        <f t="shared" si="0"/>
        <v>1802745.6099999999</v>
      </c>
      <c r="H40" s="10">
        <f>+'A) Base RI'!E40</f>
        <v>0</v>
      </c>
      <c r="I40" s="10">
        <f>+'A) Base RI'!F40</f>
        <v>0</v>
      </c>
      <c r="J40" s="10">
        <f>+'A) Base RI'!G40+'A) Base RI'!H40+'A) Base RI'!X40</f>
        <v>16348.029999999999</v>
      </c>
      <c r="K40" s="10">
        <f>+'A) Base RI'!I40</f>
        <v>0</v>
      </c>
      <c r="L40" s="10">
        <f>+'A) Base RI'!J40</f>
        <v>49454.2</v>
      </c>
      <c r="M40" s="10">
        <f>+'A) Base RI'!K40</f>
        <v>22318.75</v>
      </c>
      <c r="N40" s="10">
        <f>+'A) Base RI'!Q40</f>
        <v>30227.78</v>
      </c>
      <c r="O40" s="10">
        <f t="shared" si="1"/>
        <v>204000.30000000002</v>
      </c>
      <c r="P40" s="10">
        <f>+'A) Base RI'!L40</f>
        <v>306000.45</v>
      </c>
      <c r="Q40" s="412">
        <f>'A) Base RI'!AS40</f>
        <v>1.5</v>
      </c>
      <c r="R40" s="404">
        <f t="shared" si="2"/>
        <v>2125094.67</v>
      </c>
      <c r="S40" s="457">
        <f>+'A) Base RI'!AN40</f>
        <v>66</v>
      </c>
      <c r="T40" s="404">
        <f t="shared" si="3"/>
        <v>1898775.6199999999</v>
      </c>
      <c r="U40" s="404">
        <f t="shared" si="4"/>
        <v>32198.404090909091</v>
      </c>
      <c r="V40" s="10">
        <f>+'A) Base RI'!O40</f>
        <v>12968.6</v>
      </c>
      <c r="W40" s="10">
        <f>+'A) Base RI'!P40</f>
        <v>89368.4</v>
      </c>
      <c r="X40" s="10">
        <f>+'A) Base RI'!R40</f>
        <v>60517.3</v>
      </c>
      <c r="Y40" s="404">
        <f t="shared" si="5"/>
        <v>162854.29999999999</v>
      </c>
      <c r="Z40" s="10">
        <f>+'A) Base RI'!N40</f>
        <v>3878.8</v>
      </c>
      <c r="AA40" s="10">
        <f>'A) Base RI'!AO40</f>
        <v>881</v>
      </c>
    </row>
    <row r="41" spans="1:27" x14ac:dyDescent="0.25">
      <c r="A41" s="8">
        <f>'A) Base RI'!A41</f>
        <v>5464</v>
      </c>
      <c r="B41" s="32" t="str">
        <f>'A) Base RI'!B41</f>
        <v>Vully-les-Lacs</v>
      </c>
      <c r="C41" s="10">
        <f>'A) Base RI'!C41+'A) Base RI'!D41</f>
        <v>6725612.1900000004</v>
      </c>
      <c r="D41" s="10">
        <f>'A) Base RI'!AP41</f>
        <v>-75302.34</v>
      </c>
      <c r="E41" s="398">
        <f>'A) Base RI'!AQ41</f>
        <v>0</v>
      </c>
      <c r="F41" s="398">
        <f>'A) Base RI'!AR41</f>
        <v>-2639.33</v>
      </c>
      <c r="G41" s="404">
        <f t="shared" si="0"/>
        <v>6647670.5200000005</v>
      </c>
      <c r="H41" s="10">
        <f>+'A) Base RI'!E41</f>
        <v>0</v>
      </c>
      <c r="I41" s="10">
        <f>+'A) Base RI'!F41</f>
        <v>0</v>
      </c>
      <c r="J41" s="10">
        <f>+'A) Base RI'!G41+'A) Base RI'!H41+'A) Base RI'!X41</f>
        <v>50872.92</v>
      </c>
      <c r="K41" s="10">
        <f>+'A) Base RI'!I41</f>
        <v>0</v>
      </c>
      <c r="L41" s="10">
        <f>+'A) Base RI'!J41</f>
        <v>71492.95</v>
      </c>
      <c r="M41" s="10">
        <f>+'A) Base RI'!K41</f>
        <v>14232.3</v>
      </c>
      <c r="N41" s="10">
        <f>+'A) Base RI'!Q41</f>
        <v>9482.2800000000007</v>
      </c>
      <c r="O41" s="10">
        <f t="shared" si="1"/>
        <v>683269.4</v>
      </c>
      <c r="P41" s="10">
        <f>+'A) Base RI'!L41</f>
        <v>1024904.1</v>
      </c>
      <c r="Q41" s="412">
        <f>'A) Base RI'!AS41</f>
        <v>1.5</v>
      </c>
      <c r="R41" s="404">
        <f t="shared" si="2"/>
        <v>7477020.370000001</v>
      </c>
      <c r="S41" s="457">
        <f>+'A) Base RI'!AN41</f>
        <v>67</v>
      </c>
      <c r="T41" s="404">
        <f t="shared" si="3"/>
        <v>6779518.6700000009</v>
      </c>
      <c r="U41" s="404">
        <f t="shared" si="4"/>
        <v>111597.31895522389</v>
      </c>
      <c r="V41" s="10">
        <f>+'A) Base RI'!O41</f>
        <v>31224.799999999999</v>
      </c>
      <c r="W41" s="10">
        <f>+'A) Base RI'!P41</f>
        <v>305626.15000000002</v>
      </c>
      <c r="X41" s="10">
        <f>+'A) Base RI'!R41</f>
        <v>127042.1</v>
      </c>
      <c r="Y41" s="404">
        <f t="shared" si="5"/>
        <v>463893.05000000005</v>
      </c>
      <c r="Z41" s="10">
        <f>+'A) Base RI'!N41</f>
        <v>1564.15</v>
      </c>
      <c r="AA41" s="10">
        <f>'A) Base RI'!AO41</f>
        <v>3360</v>
      </c>
    </row>
    <row r="42" spans="1:27" x14ac:dyDescent="0.25">
      <c r="A42" s="8">
        <f>'A) Base RI'!A42</f>
        <v>5471</v>
      </c>
      <c r="B42" s="32" t="str">
        <f>'A) Base RI'!B42</f>
        <v>Bettens</v>
      </c>
      <c r="C42" s="10">
        <f>'A) Base RI'!C42+'A) Base RI'!D42</f>
        <v>1238553</v>
      </c>
      <c r="D42" s="10">
        <f>'A) Base RI'!AP42</f>
        <v>-14777.53</v>
      </c>
      <c r="E42" s="398">
        <f>'A) Base RI'!AQ42</f>
        <v>0</v>
      </c>
      <c r="F42" s="398">
        <f>'A) Base RI'!AR42</f>
        <v>-435.55</v>
      </c>
      <c r="G42" s="404">
        <f t="shared" si="0"/>
        <v>1223339.92</v>
      </c>
      <c r="H42" s="10">
        <f>+'A) Base RI'!E42</f>
        <v>0</v>
      </c>
      <c r="I42" s="10">
        <f>+'A) Base RI'!F42</f>
        <v>0</v>
      </c>
      <c r="J42" s="10">
        <f>+'A) Base RI'!G42+'A) Base RI'!H42+'A) Base RI'!X42</f>
        <v>18343.11</v>
      </c>
      <c r="K42" s="10">
        <f>+'A) Base RI'!I42</f>
        <v>0</v>
      </c>
      <c r="L42" s="10">
        <f>+'A) Base RI'!J42</f>
        <v>49518.400000000001</v>
      </c>
      <c r="M42" s="10">
        <f>+'A) Base RI'!K42</f>
        <v>4158.25</v>
      </c>
      <c r="N42" s="10">
        <f>+'A) Base RI'!Q42</f>
        <v>0</v>
      </c>
      <c r="O42" s="10">
        <f t="shared" si="1"/>
        <v>131610.11111111112</v>
      </c>
      <c r="P42" s="10">
        <f>+'A) Base RI'!L42</f>
        <v>118449.1</v>
      </c>
      <c r="Q42" s="412">
        <f>'A) Base RI'!AS42</f>
        <v>0.9</v>
      </c>
      <c r="R42" s="404">
        <f t="shared" si="2"/>
        <v>1426969.7911111112</v>
      </c>
      <c r="S42" s="457">
        <f>+'A) Base RI'!AN42</f>
        <v>70</v>
      </c>
      <c r="T42" s="404">
        <f t="shared" si="3"/>
        <v>1291201.43</v>
      </c>
      <c r="U42" s="404">
        <f t="shared" si="4"/>
        <v>20385.282730158731</v>
      </c>
      <c r="V42" s="10">
        <f>+'A) Base RI'!O42</f>
        <v>5068.6000000000004</v>
      </c>
      <c r="W42" s="10">
        <f>+'A) Base RI'!P42</f>
        <v>46619.8</v>
      </c>
      <c r="X42" s="10">
        <f>+'A) Base RI'!R42</f>
        <v>4257.8500000000004</v>
      </c>
      <c r="Y42" s="404">
        <f t="shared" si="5"/>
        <v>55946.25</v>
      </c>
      <c r="Z42" s="10">
        <f>+'A) Base RI'!N42</f>
        <v>24383.75</v>
      </c>
      <c r="AA42" s="10">
        <f>'A) Base RI'!AO42</f>
        <v>636</v>
      </c>
    </row>
    <row r="43" spans="1:27" x14ac:dyDescent="0.25">
      <c r="A43" s="8">
        <f>'A) Base RI'!A43</f>
        <v>5472</v>
      </c>
      <c r="B43" s="32" t="str">
        <f>'A) Base RI'!B43</f>
        <v>Bournens</v>
      </c>
      <c r="C43" s="10">
        <f>'A) Base RI'!C43+'A) Base RI'!D43</f>
        <v>1345996.75</v>
      </c>
      <c r="D43" s="10">
        <f>'A) Base RI'!AP43</f>
        <v>-38254.06</v>
      </c>
      <c r="E43" s="398">
        <f>'A) Base RI'!AQ43</f>
        <v>0</v>
      </c>
      <c r="F43" s="398">
        <f>'A) Base RI'!AR43</f>
        <v>-2314.36</v>
      </c>
      <c r="G43" s="404">
        <f t="shared" si="0"/>
        <v>1305428.3299999998</v>
      </c>
      <c r="H43" s="10">
        <f>+'A) Base RI'!E43</f>
        <v>0</v>
      </c>
      <c r="I43" s="10">
        <f>+'A) Base RI'!F43</f>
        <v>0</v>
      </c>
      <c r="J43" s="10">
        <f>+'A) Base RI'!G43+'A) Base RI'!H43+'A) Base RI'!X43</f>
        <v>16161.73</v>
      </c>
      <c r="K43" s="10">
        <f>+'A) Base RI'!I43</f>
        <v>0</v>
      </c>
      <c r="L43" s="10">
        <f>+'A) Base RI'!J43</f>
        <v>25542.11</v>
      </c>
      <c r="M43" s="10">
        <f>+'A) Base RI'!K43</f>
        <v>640.25</v>
      </c>
      <c r="N43" s="10">
        <f>+'A) Base RI'!Q43</f>
        <v>10497.55</v>
      </c>
      <c r="O43" s="10">
        <f t="shared" si="1"/>
        <v>92037.65</v>
      </c>
      <c r="P43" s="10">
        <f>+'A) Base RI'!L43</f>
        <v>92037.65</v>
      </c>
      <c r="Q43" s="412">
        <f>'A) Base RI'!AS43</f>
        <v>1</v>
      </c>
      <c r="R43" s="404">
        <f t="shared" si="2"/>
        <v>1450307.6199999999</v>
      </c>
      <c r="S43" s="457">
        <f>+'A) Base RI'!AN43</f>
        <v>72</v>
      </c>
      <c r="T43" s="404">
        <f t="shared" si="3"/>
        <v>1357629.72</v>
      </c>
      <c r="U43" s="404">
        <f t="shared" si="4"/>
        <v>20143.161388888886</v>
      </c>
      <c r="V43" s="10">
        <f>+'A) Base RI'!O43</f>
        <v>0</v>
      </c>
      <c r="W43" s="10">
        <f>+'A) Base RI'!P43</f>
        <v>112701.35</v>
      </c>
      <c r="X43" s="10">
        <f>+'A) Base RI'!R43</f>
        <v>61656.800000000003</v>
      </c>
      <c r="Y43" s="404">
        <f t="shared" si="5"/>
        <v>174358.15000000002</v>
      </c>
      <c r="Z43" s="10">
        <f>+'A) Base RI'!N43</f>
        <v>0</v>
      </c>
      <c r="AA43" s="10">
        <f>'A) Base RI'!AO43</f>
        <v>490</v>
      </c>
    </row>
    <row r="44" spans="1:27" x14ac:dyDescent="0.25">
      <c r="A44" s="8">
        <f>'A) Base RI'!A44</f>
        <v>5473</v>
      </c>
      <c r="B44" s="32" t="str">
        <f>'A) Base RI'!B44</f>
        <v>Boussens</v>
      </c>
      <c r="C44" s="10">
        <f>'A) Base RI'!C44+'A) Base RI'!D44</f>
        <v>2339688.4500000002</v>
      </c>
      <c r="D44" s="10">
        <f>'A) Base RI'!AP44</f>
        <v>-35099.97</v>
      </c>
      <c r="E44" s="398">
        <f>'A) Base RI'!AQ44</f>
        <v>0</v>
      </c>
      <c r="F44" s="398">
        <f>'A) Base RI'!AR44</f>
        <v>-291.43</v>
      </c>
      <c r="G44" s="404">
        <f t="shared" si="0"/>
        <v>2304297.0499999998</v>
      </c>
      <c r="H44" s="10">
        <f>+'A) Base RI'!E44</f>
        <v>0</v>
      </c>
      <c r="I44" s="10">
        <f>+'A) Base RI'!F44</f>
        <v>0</v>
      </c>
      <c r="J44" s="10">
        <f>+'A) Base RI'!G44+'A) Base RI'!H44+'A) Base RI'!X44</f>
        <v>29572.420000000002</v>
      </c>
      <c r="K44" s="10">
        <f>+'A) Base RI'!I44</f>
        <v>0</v>
      </c>
      <c r="L44" s="10">
        <f>+'A) Base RI'!J44</f>
        <v>15808.71</v>
      </c>
      <c r="M44" s="10">
        <f>+'A) Base RI'!K44</f>
        <v>6176.2</v>
      </c>
      <c r="N44" s="10">
        <f>+'A) Base RI'!Q44</f>
        <v>7627.71</v>
      </c>
      <c r="O44" s="10">
        <f t="shared" si="1"/>
        <v>186339.9</v>
      </c>
      <c r="P44" s="10">
        <f>+'A) Base RI'!L44</f>
        <v>186339.9</v>
      </c>
      <c r="Q44" s="412">
        <f>'A) Base RI'!AS44</f>
        <v>1</v>
      </c>
      <c r="R44" s="404">
        <f t="shared" si="2"/>
        <v>2549821.9899999998</v>
      </c>
      <c r="S44" s="457">
        <f>+'A) Base RI'!AN44</f>
        <v>67.5</v>
      </c>
      <c r="T44" s="404">
        <f t="shared" si="3"/>
        <v>2357305.8899999997</v>
      </c>
      <c r="U44" s="404">
        <f t="shared" si="4"/>
        <v>37775.140592592586</v>
      </c>
      <c r="V44" s="10">
        <f>+'A) Base RI'!O44</f>
        <v>0</v>
      </c>
      <c r="W44" s="10">
        <f>+'A) Base RI'!P44</f>
        <v>36017.35</v>
      </c>
      <c r="X44" s="10">
        <f>+'A) Base RI'!R44</f>
        <v>57547.95</v>
      </c>
      <c r="Y44" s="404">
        <f t="shared" si="5"/>
        <v>93565.299999999988</v>
      </c>
      <c r="Z44" s="10">
        <f>+'A) Base RI'!N44</f>
        <v>5808.45</v>
      </c>
      <c r="AA44" s="10">
        <f>'A) Base RI'!AO44</f>
        <v>999</v>
      </c>
    </row>
    <row r="45" spans="1:27" x14ac:dyDescent="0.25">
      <c r="A45" s="8">
        <f>'A) Base RI'!A45</f>
        <v>5474</v>
      </c>
      <c r="B45" s="32" t="str">
        <f>'A) Base RI'!B45</f>
        <v>La Chaux (Cossonay)</v>
      </c>
      <c r="C45" s="10">
        <f>'A) Base RI'!C45+'A) Base RI'!D45</f>
        <v>901629.54999999993</v>
      </c>
      <c r="D45" s="10">
        <f>'A) Base RI'!AP45</f>
        <v>-3161.84</v>
      </c>
      <c r="E45" s="398">
        <f>'A) Base RI'!AQ45</f>
        <v>0</v>
      </c>
      <c r="F45" s="398">
        <f>'A) Base RI'!AR45</f>
        <v>-63.88</v>
      </c>
      <c r="G45" s="404">
        <f t="shared" si="0"/>
        <v>898403.83</v>
      </c>
      <c r="H45" s="10">
        <f>+'A) Base RI'!E45</f>
        <v>0</v>
      </c>
      <c r="I45" s="10">
        <f>+'A) Base RI'!F45</f>
        <v>0</v>
      </c>
      <c r="J45" s="10">
        <f>+'A) Base RI'!G45+'A) Base RI'!H45+'A) Base RI'!X45</f>
        <v>3427.21</v>
      </c>
      <c r="K45" s="10">
        <f>+'A) Base RI'!I45</f>
        <v>37654</v>
      </c>
      <c r="L45" s="10">
        <f>+'A) Base RI'!J45</f>
        <v>3514.83</v>
      </c>
      <c r="M45" s="10">
        <f>+'A) Base RI'!K45</f>
        <v>665</v>
      </c>
      <c r="N45" s="10">
        <f>+'A) Base RI'!Q45</f>
        <v>0</v>
      </c>
      <c r="O45" s="10">
        <f t="shared" si="1"/>
        <v>71389.291666666672</v>
      </c>
      <c r="P45" s="10">
        <f>+'A) Base RI'!L45</f>
        <v>85667.15</v>
      </c>
      <c r="Q45" s="412">
        <f>'A) Base RI'!AS45</f>
        <v>1.2</v>
      </c>
      <c r="R45" s="404">
        <f t="shared" si="2"/>
        <v>1015054.1616666665</v>
      </c>
      <c r="S45" s="457">
        <f>+'A) Base RI'!AN45</f>
        <v>77</v>
      </c>
      <c r="T45" s="404">
        <f t="shared" si="3"/>
        <v>942999.86999999988</v>
      </c>
      <c r="U45" s="404">
        <f t="shared" si="4"/>
        <v>13182.521580086577</v>
      </c>
      <c r="V45" s="10">
        <f>+'A) Base RI'!O45</f>
        <v>1548.3</v>
      </c>
      <c r="W45" s="10">
        <f>+'A) Base RI'!P45</f>
        <v>30913.15</v>
      </c>
      <c r="X45" s="10">
        <f>+'A) Base RI'!R45</f>
        <v>74635.199999999997</v>
      </c>
      <c r="Y45" s="404">
        <f t="shared" si="5"/>
        <v>107096.65</v>
      </c>
      <c r="Z45" s="10">
        <f>+'A) Base RI'!N45</f>
        <v>2422.9499999999998</v>
      </c>
      <c r="AA45" s="10">
        <f>'A) Base RI'!AO45</f>
        <v>391</v>
      </c>
    </row>
    <row r="46" spans="1:27" x14ac:dyDescent="0.25">
      <c r="A46" s="8">
        <f>'A) Base RI'!A46</f>
        <v>5475</v>
      </c>
      <c r="B46" s="32" t="str">
        <f>'A) Base RI'!B46</f>
        <v>Chavannes-le-Veyron</v>
      </c>
      <c r="C46" s="10">
        <f>'A) Base RI'!C46+'A) Base RI'!D46</f>
        <v>281457.48</v>
      </c>
      <c r="D46" s="10">
        <f>'A) Base RI'!AP46</f>
        <v>-10215.799999999999</v>
      </c>
      <c r="E46" s="398">
        <f>'A) Base RI'!AQ46</f>
        <v>0</v>
      </c>
      <c r="F46" s="398">
        <f>'A) Base RI'!AR46</f>
        <v>0</v>
      </c>
      <c r="G46" s="404">
        <f t="shared" si="0"/>
        <v>271241.68</v>
      </c>
      <c r="H46" s="10">
        <f>+'A) Base RI'!E46</f>
        <v>0</v>
      </c>
      <c r="I46" s="10">
        <f>+'A) Base RI'!F46</f>
        <v>0</v>
      </c>
      <c r="J46" s="10">
        <f>+'A) Base RI'!G46+'A) Base RI'!H46+'A) Base RI'!X46</f>
        <v>480.51</v>
      </c>
      <c r="K46" s="10">
        <f>+'A) Base RI'!I46</f>
        <v>0</v>
      </c>
      <c r="L46" s="10">
        <f>+'A) Base RI'!J46</f>
        <v>3838.68</v>
      </c>
      <c r="M46" s="10">
        <f>+'A) Base RI'!K46</f>
        <v>0</v>
      </c>
      <c r="N46" s="10">
        <f>+'A) Base RI'!Q46</f>
        <v>0</v>
      </c>
      <c r="O46" s="10">
        <f t="shared" si="1"/>
        <v>22788.3</v>
      </c>
      <c r="P46" s="10">
        <f>+'A) Base RI'!L46</f>
        <v>22788.3</v>
      </c>
      <c r="Q46" s="412">
        <f>'A) Base RI'!AS46</f>
        <v>1</v>
      </c>
      <c r="R46" s="404">
        <f t="shared" si="2"/>
        <v>298349.17</v>
      </c>
      <c r="S46" s="457">
        <f>+'A) Base RI'!AN46</f>
        <v>77</v>
      </c>
      <c r="T46" s="404">
        <f t="shared" si="3"/>
        <v>275560.87</v>
      </c>
      <c r="U46" s="404">
        <f t="shared" si="4"/>
        <v>3874.6645454545451</v>
      </c>
      <c r="V46" s="10">
        <f>+'A) Base RI'!O46</f>
        <v>0</v>
      </c>
      <c r="W46" s="10">
        <f>+'A) Base RI'!P46</f>
        <v>22431.05</v>
      </c>
      <c r="X46" s="10">
        <f>+'A) Base RI'!R46</f>
        <v>1096.75</v>
      </c>
      <c r="Y46" s="404">
        <f t="shared" si="5"/>
        <v>23527.8</v>
      </c>
      <c r="Z46" s="10">
        <f>+'A) Base RI'!N46</f>
        <v>0</v>
      </c>
      <c r="AA46" s="10">
        <f>'A) Base RI'!AO46</f>
        <v>152</v>
      </c>
    </row>
    <row r="47" spans="1:27" x14ac:dyDescent="0.25">
      <c r="A47" s="8">
        <f>'A) Base RI'!A47</f>
        <v>5476</v>
      </c>
      <c r="B47" s="32" t="str">
        <f>'A) Base RI'!B47</f>
        <v>Chevilly</v>
      </c>
      <c r="C47" s="10">
        <f>'A) Base RI'!C47+'A) Base RI'!D47</f>
        <v>821486.68</v>
      </c>
      <c r="D47" s="10">
        <f>'A) Base RI'!AP47</f>
        <v>-17755.439999999999</v>
      </c>
      <c r="E47" s="398">
        <f>'A) Base RI'!AQ47</f>
        <v>0</v>
      </c>
      <c r="F47" s="398">
        <f>'A) Base RI'!AR47</f>
        <v>-1180.55</v>
      </c>
      <c r="G47" s="404">
        <f t="shared" si="0"/>
        <v>802550.69000000006</v>
      </c>
      <c r="H47" s="10">
        <f>+'A) Base RI'!E47</f>
        <v>0</v>
      </c>
      <c r="I47" s="10">
        <f>+'A) Base RI'!F47</f>
        <v>0</v>
      </c>
      <c r="J47" s="10">
        <f>+'A) Base RI'!G47+'A) Base RI'!H47+'A) Base RI'!X47</f>
        <v>-1696.0500000000002</v>
      </c>
      <c r="K47" s="10">
        <f>+'A) Base RI'!I47</f>
        <v>0</v>
      </c>
      <c r="L47" s="10">
        <f>+'A) Base RI'!J47</f>
        <v>-1416.62</v>
      </c>
      <c r="M47" s="10">
        <f>+'A) Base RI'!K47</f>
        <v>0</v>
      </c>
      <c r="N47" s="10">
        <f>+'A) Base RI'!Q47</f>
        <v>15596.19</v>
      </c>
      <c r="O47" s="10">
        <f t="shared" si="1"/>
        <v>61081.15</v>
      </c>
      <c r="P47" s="10">
        <f>+'A) Base RI'!L47</f>
        <v>61081.15</v>
      </c>
      <c r="Q47" s="412">
        <f>'A) Base RI'!AS47</f>
        <v>1</v>
      </c>
      <c r="R47" s="404">
        <f t="shared" si="2"/>
        <v>876115.36</v>
      </c>
      <c r="S47" s="457">
        <f>+'A) Base RI'!AN47</f>
        <v>74</v>
      </c>
      <c r="T47" s="404">
        <f t="shared" si="3"/>
        <v>815034.21</v>
      </c>
      <c r="U47" s="404">
        <f t="shared" si="4"/>
        <v>11839.396756756756</v>
      </c>
      <c r="V47" s="10">
        <f>+'A) Base RI'!O47</f>
        <v>5367.6</v>
      </c>
      <c r="W47" s="10">
        <f>+'A) Base RI'!P47</f>
        <v>7150</v>
      </c>
      <c r="X47" s="10">
        <f>+'A) Base RI'!R47</f>
        <v>713.5</v>
      </c>
      <c r="Y47" s="404">
        <f t="shared" si="5"/>
        <v>13231.1</v>
      </c>
      <c r="Z47" s="10">
        <f>+'A) Base RI'!N47</f>
        <v>0</v>
      </c>
      <c r="AA47" s="10">
        <f>'A) Base RI'!AO47</f>
        <v>317</v>
      </c>
    </row>
    <row r="48" spans="1:27" x14ac:dyDescent="0.25">
      <c r="A48" s="8">
        <f>'A) Base RI'!A48</f>
        <v>5477</v>
      </c>
      <c r="B48" s="32" t="str">
        <f>'A) Base RI'!B48</f>
        <v>Cossonay</v>
      </c>
      <c r="C48" s="10">
        <f>'A) Base RI'!C48+'A) Base RI'!D48</f>
        <v>8632539.3900000006</v>
      </c>
      <c r="D48" s="10">
        <f>'A) Base RI'!AP48</f>
        <v>-1816304.42</v>
      </c>
      <c r="E48" s="398">
        <f>'A) Base RI'!AQ48</f>
        <v>0</v>
      </c>
      <c r="F48" s="398">
        <f>'A) Base RI'!AR48</f>
        <v>-3034.85</v>
      </c>
      <c r="G48" s="404">
        <f t="shared" si="0"/>
        <v>6813200.120000001</v>
      </c>
      <c r="H48" s="10">
        <f>+'A) Base RI'!E48</f>
        <v>0</v>
      </c>
      <c r="I48" s="10">
        <f>+'A) Base RI'!F48</f>
        <v>0</v>
      </c>
      <c r="J48" s="10">
        <f>+'A) Base RI'!G48+'A) Base RI'!H48+'A) Base RI'!X48</f>
        <v>390842.65</v>
      </c>
      <c r="K48" s="10">
        <f>+'A) Base RI'!I48</f>
        <v>0</v>
      </c>
      <c r="L48" s="10">
        <f>+'A) Base RI'!J48</f>
        <v>225196.08</v>
      </c>
      <c r="M48" s="10">
        <f>+'A) Base RI'!K48</f>
        <v>42523.75</v>
      </c>
      <c r="N48" s="10">
        <f>+'A) Base RI'!Q48</f>
        <v>84909.06</v>
      </c>
      <c r="O48" s="10">
        <f t="shared" si="1"/>
        <v>724533.6</v>
      </c>
      <c r="P48" s="10">
        <f>+'A) Base RI'!L48</f>
        <v>724533.6</v>
      </c>
      <c r="Q48" s="412">
        <f>'A) Base RI'!AS48</f>
        <v>1</v>
      </c>
      <c r="R48" s="404">
        <f t="shared" si="2"/>
        <v>8281205.2600000007</v>
      </c>
      <c r="S48" s="457">
        <f>+'A) Base RI'!AN48</f>
        <v>69.5</v>
      </c>
      <c r="T48" s="404">
        <f t="shared" si="3"/>
        <v>7514147.9100000011</v>
      </c>
      <c r="U48" s="404">
        <f t="shared" si="4"/>
        <v>119154.03251798562</v>
      </c>
      <c r="V48" s="10">
        <f>+'A) Base RI'!O48</f>
        <v>48641.4</v>
      </c>
      <c r="W48" s="10">
        <f>+'A) Base RI'!P48</f>
        <v>1133035.8999999999</v>
      </c>
      <c r="X48" s="10">
        <f>+'A) Base RI'!R48</f>
        <v>234708.25</v>
      </c>
      <c r="Y48" s="404">
        <f t="shared" si="5"/>
        <v>1416385.5499999998</v>
      </c>
      <c r="Z48" s="10">
        <f>+'A) Base RI'!N48</f>
        <v>78423.75</v>
      </c>
      <c r="AA48" s="10">
        <f>'A) Base RI'!AO48</f>
        <v>4222</v>
      </c>
    </row>
    <row r="49" spans="1:27" x14ac:dyDescent="0.25">
      <c r="A49" s="8">
        <f>'A) Base RI'!A49</f>
        <v>5478</v>
      </c>
      <c r="B49" s="32" t="str">
        <f>'A) Base RI'!B49</f>
        <v>Cottens</v>
      </c>
      <c r="C49" s="10">
        <f>'A) Base RI'!C49+'A) Base RI'!D49</f>
        <v>1114412.44</v>
      </c>
      <c r="D49" s="10">
        <f>'A) Base RI'!AP49</f>
        <v>-16720.62</v>
      </c>
      <c r="E49" s="398">
        <f>'A) Base RI'!AQ49</f>
        <v>0</v>
      </c>
      <c r="F49" s="398">
        <f>'A) Base RI'!AR49</f>
        <v>-1.49</v>
      </c>
      <c r="G49" s="404">
        <f t="shared" si="0"/>
        <v>1097690.3299999998</v>
      </c>
      <c r="H49" s="10">
        <f>+'A) Base RI'!E49</f>
        <v>0</v>
      </c>
      <c r="I49" s="10">
        <f>+'A) Base RI'!F49</f>
        <v>0</v>
      </c>
      <c r="J49" s="10">
        <f>+'A) Base RI'!G49+'A) Base RI'!H49+'A) Base RI'!X49</f>
        <v>-14277.589999999998</v>
      </c>
      <c r="K49" s="10">
        <f>+'A) Base RI'!I49</f>
        <v>0</v>
      </c>
      <c r="L49" s="10">
        <f>+'A) Base RI'!J49</f>
        <v>35788.699999999997</v>
      </c>
      <c r="M49" s="10">
        <f>+'A) Base RI'!K49</f>
        <v>250</v>
      </c>
      <c r="N49" s="10">
        <f>+'A) Base RI'!Q49</f>
        <v>5569.15</v>
      </c>
      <c r="O49" s="10">
        <f t="shared" si="1"/>
        <v>80550.25</v>
      </c>
      <c r="P49" s="10">
        <f>+'A) Base RI'!L49</f>
        <v>80550.25</v>
      </c>
      <c r="Q49" s="412">
        <f>'A) Base RI'!AS49</f>
        <v>1</v>
      </c>
      <c r="R49" s="404">
        <f t="shared" si="2"/>
        <v>1205570.8399999996</v>
      </c>
      <c r="S49" s="457">
        <f>+'A) Base RI'!AN49</f>
        <v>74</v>
      </c>
      <c r="T49" s="404">
        <f t="shared" si="3"/>
        <v>1124770.5899999996</v>
      </c>
      <c r="U49" s="404">
        <f t="shared" si="4"/>
        <v>16291.497837837833</v>
      </c>
      <c r="V49" s="10">
        <f>+'A) Base RI'!O49</f>
        <v>0</v>
      </c>
      <c r="W49" s="10">
        <f>+'A) Base RI'!P49</f>
        <v>0</v>
      </c>
      <c r="X49" s="10">
        <f>+'A) Base RI'!R49</f>
        <v>9277.4500000000007</v>
      </c>
      <c r="Y49" s="404">
        <f t="shared" si="5"/>
        <v>9277.4500000000007</v>
      </c>
      <c r="Z49" s="10">
        <f>+'A) Base RI'!N49</f>
        <v>0</v>
      </c>
      <c r="AA49" s="10">
        <f>'A) Base RI'!AO49</f>
        <v>491</v>
      </c>
    </row>
    <row r="50" spans="1:27" x14ac:dyDescent="0.25">
      <c r="A50" s="8">
        <f>'A) Base RI'!A50</f>
        <v>5479</v>
      </c>
      <c r="B50" s="32" t="str">
        <f>'A) Base RI'!B50</f>
        <v>Cuarnens</v>
      </c>
      <c r="C50" s="10">
        <f>'A) Base RI'!C50+'A) Base RI'!D50</f>
        <v>1141845.5599999998</v>
      </c>
      <c r="D50" s="10">
        <f>'A) Base RI'!AP50</f>
        <v>-4126.4399999999996</v>
      </c>
      <c r="E50" s="398">
        <f>'A) Base RI'!AQ50</f>
        <v>0</v>
      </c>
      <c r="F50" s="398">
        <f>'A) Base RI'!AR50</f>
        <v>0</v>
      </c>
      <c r="G50" s="404">
        <f t="shared" si="0"/>
        <v>1137719.1199999999</v>
      </c>
      <c r="H50" s="10">
        <f>+'A) Base RI'!E50</f>
        <v>0</v>
      </c>
      <c r="I50" s="10">
        <f>+'A) Base RI'!F50</f>
        <v>0</v>
      </c>
      <c r="J50" s="10">
        <f>+'A) Base RI'!G50+'A) Base RI'!H50+'A) Base RI'!X50</f>
        <v>17365.22</v>
      </c>
      <c r="K50" s="10">
        <f>+'A) Base RI'!I50</f>
        <v>136813.5</v>
      </c>
      <c r="L50" s="10">
        <f>+'A) Base RI'!J50</f>
        <v>11675.49</v>
      </c>
      <c r="M50" s="10">
        <f>+'A) Base RI'!K50</f>
        <v>1973.25</v>
      </c>
      <c r="N50" s="10">
        <f>+'A) Base RI'!Q50</f>
        <v>0</v>
      </c>
      <c r="O50" s="10">
        <f t="shared" si="1"/>
        <v>85764.75</v>
      </c>
      <c r="P50" s="10">
        <f>+'A) Base RI'!L50</f>
        <v>85764.75</v>
      </c>
      <c r="Q50" s="412">
        <f>'A) Base RI'!AS50</f>
        <v>1</v>
      </c>
      <c r="R50" s="404">
        <f t="shared" si="2"/>
        <v>1391311.3299999998</v>
      </c>
      <c r="S50" s="457">
        <f>+'A) Base RI'!AN50</f>
        <v>77</v>
      </c>
      <c r="T50" s="404">
        <f t="shared" si="3"/>
        <v>1303573.3299999998</v>
      </c>
      <c r="U50" s="404">
        <f t="shared" si="4"/>
        <v>18068.978311688308</v>
      </c>
      <c r="V50" s="10">
        <f>+'A) Base RI'!O50</f>
        <v>0</v>
      </c>
      <c r="W50" s="10">
        <f>+'A) Base RI'!P50</f>
        <v>88973.3</v>
      </c>
      <c r="X50" s="10">
        <f>+'A) Base RI'!R50</f>
        <v>73291</v>
      </c>
      <c r="Y50" s="404">
        <f t="shared" si="5"/>
        <v>162264.29999999999</v>
      </c>
      <c r="Z50" s="10">
        <f>+'A) Base RI'!N50</f>
        <v>8570.9500000000007</v>
      </c>
      <c r="AA50" s="10">
        <f>'A) Base RI'!AO50</f>
        <v>527</v>
      </c>
    </row>
    <row r="51" spans="1:27" x14ac:dyDescent="0.25">
      <c r="A51" s="8">
        <f>'A) Base RI'!A51</f>
        <v>5480</v>
      </c>
      <c r="B51" s="32" t="str">
        <f>'A) Base RI'!B51</f>
        <v>Daillens</v>
      </c>
      <c r="C51" s="10">
        <f>'A) Base RI'!C51+'A) Base RI'!D51</f>
        <v>2354337.7600000002</v>
      </c>
      <c r="D51" s="10">
        <f>'A) Base RI'!AP51</f>
        <v>-33354.28</v>
      </c>
      <c r="E51" s="398">
        <f>'A) Base RI'!AQ51</f>
        <v>0</v>
      </c>
      <c r="F51" s="398">
        <f>'A) Base RI'!AR51</f>
        <v>-758.12</v>
      </c>
      <c r="G51" s="404">
        <f t="shared" si="0"/>
        <v>2320225.3600000003</v>
      </c>
      <c r="H51" s="10">
        <f>+'A) Base RI'!E51</f>
        <v>0</v>
      </c>
      <c r="I51" s="10">
        <f>+'A) Base RI'!F51</f>
        <v>0</v>
      </c>
      <c r="J51" s="10">
        <f>+'A) Base RI'!G51+'A) Base RI'!H51+'A) Base RI'!X51</f>
        <v>32849.949999999997</v>
      </c>
      <c r="K51" s="10">
        <f>+'A) Base RI'!I51</f>
        <v>0</v>
      </c>
      <c r="L51" s="10">
        <f>+'A) Base RI'!J51</f>
        <v>21681</v>
      </c>
      <c r="M51" s="10">
        <f>+'A) Base RI'!K51</f>
        <v>11300.15</v>
      </c>
      <c r="N51" s="10">
        <f>+'A) Base RI'!Q51</f>
        <v>11525.4</v>
      </c>
      <c r="O51" s="10">
        <f t="shared" si="1"/>
        <v>306929.25</v>
      </c>
      <c r="P51" s="10">
        <f>+'A) Base RI'!L51</f>
        <v>368315.1</v>
      </c>
      <c r="Q51" s="412">
        <f>'A) Base RI'!AS51</f>
        <v>1.2</v>
      </c>
      <c r="R51" s="404">
        <f t="shared" si="2"/>
        <v>2704511.1100000003</v>
      </c>
      <c r="S51" s="457">
        <f>+'A) Base RI'!AN51</f>
        <v>66</v>
      </c>
      <c r="T51" s="404">
        <f t="shared" si="3"/>
        <v>2386281.7100000004</v>
      </c>
      <c r="U51" s="404">
        <f t="shared" si="4"/>
        <v>40977.441060606063</v>
      </c>
      <c r="V51" s="10">
        <f>+'A) Base RI'!O51</f>
        <v>0</v>
      </c>
      <c r="W51" s="10">
        <f>+'A) Base RI'!P51</f>
        <v>155782</v>
      </c>
      <c r="X51" s="10">
        <f>+'A) Base RI'!R51</f>
        <v>54282.8</v>
      </c>
      <c r="Y51" s="404">
        <f t="shared" si="5"/>
        <v>210064.8</v>
      </c>
      <c r="Z51" s="10">
        <f>+'A) Base RI'!N51</f>
        <v>204900.85</v>
      </c>
      <c r="AA51" s="10">
        <f>'A) Base RI'!AO51</f>
        <v>1048</v>
      </c>
    </row>
    <row r="52" spans="1:27" x14ac:dyDescent="0.25">
      <c r="A52" s="8">
        <f>'A) Base RI'!A52</f>
        <v>5481</v>
      </c>
      <c r="B52" s="32" t="str">
        <f>'A) Base RI'!B52</f>
        <v>Dizy</v>
      </c>
      <c r="C52" s="10">
        <f>'A) Base RI'!C52+'A) Base RI'!D52</f>
        <v>495699.39</v>
      </c>
      <c r="D52" s="10">
        <f>'A) Base RI'!AP52</f>
        <v>-1618.39</v>
      </c>
      <c r="E52" s="398">
        <f>'A) Base RI'!AQ52</f>
        <v>0</v>
      </c>
      <c r="F52" s="398">
        <f>'A) Base RI'!AR52</f>
        <v>0</v>
      </c>
      <c r="G52" s="404">
        <f t="shared" si="0"/>
        <v>494081</v>
      </c>
      <c r="H52" s="10">
        <f>+'A) Base RI'!E52</f>
        <v>0</v>
      </c>
      <c r="I52" s="10">
        <f>+'A) Base RI'!F52</f>
        <v>0</v>
      </c>
      <c r="J52" s="10">
        <f>+'A) Base RI'!G52+'A) Base RI'!H52+'A) Base RI'!X52</f>
        <v>67834.509999999995</v>
      </c>
      <c r="K52" s="10">
        <f>+'A) Base RI'!I52</f>
        <v>0</v>
      </c>
      <c r="L52" s="10">
        <f>+'A) Base RI'!J52</f>
        <v>4904.03</v>
      </c>
      <c r="M52" s="10">
        <f>+'A) Base RI'!K52</f>
        <v>0</v>
      </c>
      <c r="N52" s="10">
        <f>+'A) Base RI'!Q52</f>
        <v>3326.95</v>
      </c>
      <c r="O52" s="10">
        <f t="shared" si="1"/>
        <v>39166.050000000003</v>
      </c>
      <c r="P52" s="10">
        <f>+'A) Base RI'!L52</f>
        <v>39166.050000000003</v>
      </c>
      <c r="Q52" s="412">
        <f>'A) Base RI'!AS52</f>
        <v>1</v>
      </c>
      <c r="R52" s="404">
        <f t="shared" si="2"/>
        <v>609312.54</v>
      </c>
      <c r="S52" s="457">
        <f>+'A) Base RI'!AN52</f>
        <v>75</v>
      </c>
      <c r="T52" s="404">
        <f t="shared" si="3"/>
        <v>570146.49</v>
      </c>
      <c r="U52" s="404">
        <f t="shared" si="4"/>
        <v>8124.1672000000008</v>
      </c>
      <c r="V52" s="10">
        <f>+'A) Base RI'!O52</f>
        <v>0</v>
      </c>
      <c r="W52" s="10">
        <f>+'A) Base RI'!P52</f>
        <v>6491.55</v>
      </c>
      <c r="X52" s="10">
        <f>+'A) Base RI'!R52</f>
        <v>1182</v>
      </c>
      <c r="Y52" s="404">
        <f t="shared" si="5"/>
        <v>7673.55</v>
      </c>
      <c r="Z52" s="10">
        <f>+'A) Base RI'!N52</f>
        <v>0</v>
      </c>
      <c r="AA52" s="10">
        <f>'A) Base RI'!AO52</f>
        <v>224</v>
      </c>
    </row>
    <row r="53" spans="1:27" x14ac:dyDescent="0.25">
      <c r="A53" s="8">
        <f>'A) Base RI'!A53</f>
        <v>5482</v>
      </c>
      <c r="B53" s="32" t="str">
        <f>'A) Base RI'!B53</f>
        <v>Eclépens</v>
      </c>
      <c r="C53" s="10">
        <f>'A) Base RI'!C53+'A) Base RI'!D53</f>
        <v>1623951.9100000001</v>
      </c>
      <c r="D53" s="10">
        <f>'A) Base RI'!AP53</f>
        <v>-33996.83</v>
      </c>
      <c r="E53" s="398">
        <f>'A) Base RI'!AQ53</f>
        <v>0</v>
      </c>
      <c r="F53" s="398">
        <f>'A) Base RI'!AR53</f>
        <v>-652.01</v>
      </c>
      <c r="G53" s="404">
        <f t="shared" si="0"/>
        <v>1589303.07</v>
      </c>
      <c r="H53" s="10">
        <f>+'A) Base RI'!E53</f>
        <v>0</v>
      </c>
      <c r="I53" s="10">
        <f>+'A) Base RI'!F53</f>
        <v>0</v>
      </c>
      <c r="J53" s="10">
        <f>+'A) Base RI'!G53+'A) Base RI'!H53+'A) Base RI'!X53</f>
        <v>1124095.5</v>
      </c>
      <c r="K53" s="10">
        <f>+'A) Base RI'!I53</f>
        <v>0</v>
      </c>
      <c r="L53" s="10">
        <f>+'A) Base RI'!J53</f>
        <v>74027.98</v>
      </c>
      <c r="M53" s="10">
        <f>+'A) Base RI'!K53</f>
        <v>41453.800000000003</v>
      </c>
      <c r="N53" s="10">
        <f>+'A) Base RI'!Q53</f>
        <v>6323.09</v>
      </c>
      <c r="O53" s="10">
        <f t="shared" si="1"/>
        <v>426745.35</v>
      </c>
      <c r="P53" s="10">
        <f>+'A) Base RI'!L53</f>
        <v>426745.35</v>
      </c>
      <c r="Q53" s="412">
        <f>'A) Base RI'!AS53</f>
        <v>1</v>
      </c>
      <c r="R53" s="404">
        <f t="shared" si="2"/>
        <v>3261948.79</v>
      </c>
      <c r="S53" s="457">
        <f>+'A) Base RI'!AN53</f>
        <v>46</v>
      </c>
      <c r="T53" s="404">
        <f t="shared" si="3"/>
        <v>2793749.64</v>
      </c>
      <c r="U53" s="404">
        <f t="shared" si="4"/>
        <v>70911.930217391302</v>
      </c>
      <c r="V53" s="10">
        <f>+'A) Base RI'!O53</f>
        <v>11323.9</v>
      </c>
      <c r="W53" s="10">
        <f>+'A) Base RI'!P53</f>
        <v>57954.25</v>
      </c>
      <c r="X53" s="10">
        <f>+'A) Base RI'!R53</f>
        <v>35836.949999999997</v>
      </c>
      <c r="Y53" s="404">
        <f t="shared" si="5"/>
        <v>105115.09999999999</v>
      </c>
      <c r="Z53" s="10">
        <f>+'A) Base RI'!N53</f>
        <v>338711.25</v>
      </c>
      <c r="AA53" s="10">
        <f>'A) Base RI'!AO53</f>
        <v>1220</v>
      </c>
    </row>
    <row r="54" spans="1:27" x14ac:dyDescent="0.25">
      <c r="A54" s="8">
        <f>'A) Base RI'!A54</f>
        <v>5483</v>
      </c>
      <c r="B54" s="32" t="str">
        <f>'A) Base RI'!B54</f>
        <v>Ferreyres</v>
      </c>
      <c r="C54" s="10">
        <f>'A) Base RI'!C54+'A) Base RI'!D54</f>
        <v>754691.22</v>
      </c>
      <c r="D54" s="10">
        <f>'A) Base RI'!AP54</f>
        <v>-247.76</v>
      </c>
      <c r="E54" s="398">
        <f>'A) Base RI'!AQ54</f>
        <v>0</v>
      </c>
      <c r="F54" s="398">
        <f>'A) Base RI'!AR54</f>
        <v>-1695.75</v>
      </c>
      <c r="G54" s="404">
        <f t="shared" si="0"/>
        <v>752747.71</v>
      </c>
      <c r="H54" s="10">
        <f>+'A) Base RI'!E54</f>
        <v>0</v>
      </c>
      <c r="I54" s="10">
        <f>+'A) Base RI'!F54</f>
        <v>0</v>
      </c>
      <c r="J54" s="10">
        <f>+'A) Base RI'!G54+'A) Base RI'!H54+'A) Base RI'!X54</f>
        <v>10277.529999999999</v>
      </c>
      <c r="K54" s="10">
        <f>+'A) Base RI'!I54</f>
        <v>0</v>
      </c>
      <c r="L54" s="10">
        <f>+'A) Base RI'!J54</f>
        <v>1743.05</v>
      </c>
      <c r="M54" s="10">
        <f>+'A) Base RI'!K54</f>
        <v>702</v>
      </c>
      <c r="N54" s="10">
        <f>+'A) Base RI'!Q54</f>
        <v>0</v>
      </c>
      <c r="O54" s="10">
        <f t="shared" si="1"/>
        <v>56873.65</v>
      </c>
      <c r="P54" s="10">
        <f>+'A) Base RI'!L54</f>
        <v>56873.65</v>
      </c>
      <c r="Q54" s="412">
        <f>'A) Base RI'!AS54</f>
        <v>1</v>
      </c>
      <c r="R54" s="404">
        <f t="shared" si="2"/>
        <v>822343.94000000006</v>
      </c>
      <c r="S54" s="457">
        <f>+'A) Base RI'!AN54</f>
        <v>76</v>
      </c>
      <c r="T54" s="404">
        <f t="shared" si="3"/>
        <v>764768.29</v>
      </c>
      <c r="U54" s="404">
        <f t="shared" si="4"/>
        <v>10820.315000000001</v>
      </c>
      <c r="V54" s="10">
        <f>+'A) Base RI'!O54</f>
        <v>0</v>
      </c>
      <c r="W54" s="10">
        <f>+'A) Base RI'!P54</f>
        <v>16280</v>
      </c>
      <c r="X54" s="10">
        <f>+'A) Base RI'!R54</f>
        <v>2916.7</v>
      </c>
      <c r="Y54" s="404">
        <f t="shared" si="5"/>
        <v>19196.7</v>
      </c>
      <c r="Z54" s="10">
        <f>+'A) Base RI'!N54</f>
        <v>0</v>
      </c>
      <c r="AA54" s="10">
        <f>'A) Base RI'!AO54</f>
        <v>319</v>
      </c>
    </row>
    <row r="55" spans="1:27" x14ac:dyDescent="0.25">
      <c r="A55" s="8">
        <f>'A) Base RI'!A55</f>
        <v>5484</v>
      </c>
      <c r="B55" s="32" t="str">
        <f>'A) Base RI'!B55</f>
        <v>Gollion</v>
      </c>
      <c r="C55" s="10">
        <f>'A) Base RI'!C55+'A) Base RI'!D55</f>
        <v>2244594.5499999998</v>
      </c>
      <c r="D55" s="10">
        <f>'A) Base RI'!AP55</f>
        <v>-11351.64</v>
      </c>
      <c r="E55" s="398">
        <f>'A) Base RI'!AQ55</f>
        <v>0</v>
      </c>
      <c r="F55" s="398">
        <f>'A) Base RI'!AR55</f>
        <v>-257.26</v>
      </c>
      <c r="G55" s="404">
        <f t="shared" si="0"/>
        <v>2232985.65</v>
      </c>
      <c r="H55" s="10">
        <f>+'A) Base RI'!E55</f>
        <v>0</v>
      </c>
      <c r="I55" s="10">
        <f>+'A) Base RI'!F55</f>
        <v>0</v>
      </c>
      <c r="J55" s="10">
        <f>+'A) Base RI'!G55+'A) Base RI'!H55+'A) Base RI'!X55</f>
        <v>107768.40000000001</v>
      </c>
      <c r="K55" s="10">
        <f>+'A) Base RI'!I55</f>
        <v>0</v>
      </c>
      <c r="L55" s="10">
        <f>+'A) Base RI'!J55</f>
        <v>55357.64</v>
      </c>
      <c r="M55" s="10">
        <f>+'A) Base RI'!K55</f>
        <v>7066.75</v>
      </c>
      <c r="N55" s="10">
        <f>+'A) Base RI'!Q55</f>
        <v>2417.2399999999998</v>
      </c>
      <c r="O55" s="10">
        <f t="shared" si="1"/>
        <v>184181.25</v>
      </c>
      <c r="P55" s="10">
        <f>+'A) Base RI'!L55</f>
        <v>184181.25</v>
      </c>
      <c r="Q55" s="412">
        <f>'A) Base RI'!AS55</f>
        <v>1</v>
      </c>
      <c r="R55" s="404">
        <f t="shared" si="2"/>
        <v>2589776.9300000002</v>
      </c>
      <c r="S55" s="457">
        <f>+'A) Base RI'!AN55</f>
        <v>74</v>
      </c>
      <c r="T55" s="404">
        <f t="shared" si="3"/>
        <v>2398528.9300000002</v>
      </c>
      <c r="U55" s="404">
        <f t="shared" si="4"/>
        <v>34996.98554054054</v>
      </c>
      <c r="V55" s="10">
        <f>+'A) Base RI'!O55</f>
        <v>60233</v>
      </c>
      <c r="W55" s="10">
        <f>+'A) Base RI'!P55</f>
        <v>119899.25</v>
      </c>
      <c r="X55" s="10">
        <f>+'A) Base RI'!R55</f>
        <v>29382.85</v>
      </c>
      <c r="Y55" s="404">
        <f t="shared" si="5"/>
        <v>209515.1</v>
      </c>
      <c r="Z55" s="10">
        <f>+'A) Base RI'!N55</f>
        <v>25418.75</v>
      </c>
      <c r="AA55" s="10">
        <f>'A) Base RI'!AO55</f>
        <v>996</v>
      </c>
    </row>
    <row r="56" spans="1:27" x14ac:dyDescent="0.25">
      <c r="A56" s="8">
        <f>'A) Base RI'!A56</f>
        <v>5485</v>
      </c>
      <c r="B56" s="32" t="str">
        <f>'A) Base RI'!B56</f>
        <v>Grancy</v>
      </c>
      <c r="C56" s="10">
        <f>'A) Base RI'!C56+'A) Base RI'!D56</f>
        <v>919383.6100000001</v>
      </c>
      <c r="D56" s="10">
        <f>'A) Base RI'!AP56</f>
        <v>-37256.61</v>
      </c>
      <c r="E56" s="398">
        <f>'A) Base RI'!AQ56</f>
        <v>0</v>
      </c>
      <c r="F56" s="398">
        <f>'A) Base RI'!AR56</f>
        <v>-241.55</v>
      </c>
      <c r="G56" s="404">
        <f t="shared" si="0"/>
        <v>881885.45000000007</v>
      </c>
      <c r="H56" s="10">
        <f>+'A) Base RI'!E56</f>
        <v>0</v>
      </c>
      <c r="I56" s="10">
        <f>+'A) Base RI'!F56</f>
        <v>0</v>
      </c>
      <c r="J56" s="10">
        <f>+'A) Base RI'!G56+'A) Base RI'!H56+'A) Base RI'!X56</f>
        <v>14380.730000000001</v>
      </c>
      <c r="K56" s="10">
        <f>+'A) Base RI'!I56</f>
        <v>0</v>
      </c>
      <c r="L56" s="10">
        <f>+'A) Base RI'!J56</f>
        <v>24736.73</v>
      </c>
      <c r="M56" s="10">
        <f>+'A) Base RI'!K56</f>
        <v>319</v>
      </c>
      <c r="N56" s="10">
        <f>+'A) Base RI'!Q56</f>
        <v>20445.93</v>
      </c>
      <c r="O56" s="10">
        <f t="shared" si="1"/>
        <v>76196.850000000006</v>
      </c>
      <c r="P56" s="10">
        <f>+'A) Base RI'!L56</f>
        <v>76196.850000000006</v>
      </c>
      <c r="Q56" s="412">
        <f>'A) Base RI'!AS56</f>
        <v>1</v>
      </c>
      <c r="R56" s="404">
        <f t="shared" si="2"/>
        <v>1017964.6900000001</v>
      </c>
      <c r="S56" s="457">
        <f>+'A) Base RI'!AN56</f>
        <v>70</v>
      </c>
      <c r="T56" s="404">
        <f t="shared" si="3"/>
        <v>941448.84000000008</v>
      </c>
      <c r="U56" s="404">
        <f t="shared" si="4"/>
        <v>14542.352714285715</v>
      </c>
      <c r="V56" s="10">
        <f>+'A) Base RI'!O56</f>
        <v>2707.8</v>
      </c>
      <c r="W56" s="10">
        <f>+'A) Base RI'!P56</f>
        <v>99344.4</v>
      </c>
      <c r="X56" s="10">
        <f>+'A) Base RI'!R56</f>
        <v>52274.400000000001</v>
      </c>
      <c r="Y56" s="404">
        <f t="shared" si="5"/>
        <v>154326.6</v>
      </c>
      <c r="Z56" s="10">
        <f>+'A) Base RI'!N56</f>
        <v>13845.05</v>
      </c>
      <c r="AA56" s="10">
        <f>'A) Base RI'!AO56</f>
        <v>406</v>
      </c>
    </row>
    <row r="57" spans="1:27" x14ac:dyDescent="0.25">
      <c r="A57" s="8">
        <f>'A) Base RI'!A57</f>
        <v>5486</v>
      </c>
      <c r="B57" s="32" t="str">
        <f>'A) Base RI'!B57</f>
        <v>L'Isle</v>
      </c>
      <c r="C57" s="10">
        <f>'A) Base RI'!C57+'A) Base RI'!D57</f>
        <v>2524564.65</v>
      </c>
      <c r="D57" s="10">
        <f>'A) Base RI'!AP57</f>
        <v>-26862.79</v>
      </c>
      <c r="E57" s="398">
        <f>'A) Base RI'!AQ57</f>
        <v>0</v>
      </c>
      <c r="F57" s="398">
        <f>'A) Base RI'!AR57</f>
        <v>-0.52</v>
      </c>
      <c r="G57" s="404">
        <f t="shared" si="0"/>
        <v>2497701.34</v>
      </c>
      <c r="H57" s="10">
        <f>+'A) Base RI'!E57</f>
        <v>0</v>
      </c>
      <c r="I57" s="10">
        <f>+'A) Base RI'!F57</f>
        <v>0</v>
      </c>
      <c r="J57" s="10">
        <f>+'A) Base RI'!G57+'A) Base RI'!H57+'A) Base RI'!X57</f>
        <v>22179.65</v>
      </c>
      <c r="K57" s="10">
        <f>+'A) Base RI'!I57</f>
        <v>35256</v>
      </c>
      <c r="L57" s="10">
        <f>+'A) Base RI'!J57</f>
        <v>46072.47</v>
      </c>
      <c r="M57" s="10">
        <f>+'A) Base RI'!K57</f>
        <v>9098.7999999999993</v>
      </c>
      <c r="N57" s="10">
        <f>+'A) Base RI'!Q57</f>
        <v>5606.47</v>
      </c>
      <c r="O57" s="10">
        <f t="shared" si="1"/>
        <v>193552.3</v>
      </c>
      <c r="P57" s="10">
        <f>+'A) Base RI'!L57</f>
        <v>193552.3</v>
      </c>
      <c r="Q57" s="412">
        <f>'A) Base RI'!AS57</f>
        <v>1</v>
      </c>
      <c r="R57" s="404">
        <f t="shared" si="2"/>
        <v>2809467.03</v>
      </c>
      <c r="S57" s="457">
        <f>+'A) Base RI'!AN57</f>
        <v>75</v>
      </c>
      <c r="T57" s="404">
        <f t="shared" si="3"/>
        <v>2606815.9300000002</v>
      </c>
      <c r="U57" s="404">
        <f t="shared" si="4"/>
        <v>37459.560399999995</v>
      </c>
      <c r="V57" s="10">
        <f>+'A) Base RI'!O57</f>
        <v>18816.5</v>
      </c>
      <c r="W57" s="10">
        <f>+'A) Base RI'!P57</f>
        <v>42994.75</v>
      </c>
      <c r="X57" s="10">
        <f>+'A) Base RI'!R57</f>
        <v>49697.45</v>
      </c>
      <c r="Y57" s="404">
        <f t="shared" si="5"/>
        <v>111508.7</v>
      </c>
      <c r="Z57" s="10">
        <f>+'A) Base RI'!N57</f>
        <v>54932.45</v>
      </c>
      <c r="AA57" s="10">
        <f>'A) Base RI'!AO57</f>
        <v>1065</v>
      </c>
    </row>
    <row r="58" spans="1:27" x14ac:dyDescent="0.25">
      <c r="A58" s="8">
        <f>'A) Base RI'!A58</f>
        <v>5487</v>
      </c>
      <c r="B58" s="32" t="str">
        <f>'A) Base RI'!B58</f>
        <v>Lussery-Villars</v>
      </c>
      <c r="C58" s="10">
        <f>'A) Base RI'!C58+'A) Base RI'!D58</f>
        <v>889439.77</v>
      </c>
      <c r="D58" s="10">
        <f>'A) Base RI'!AP58</f>
        <v>-6686.12</v>
      </c>
      <c r="E58" s="398">
        <f>'A) Base RI'!AQ58</f>
        <v>0</v>
      </c>
      <c r="F58" s="398">
        <f>'A) Base RI'!AR58</f>
        <v>-332.3</v>
      </c>
      <c r="G58" s="404">
        <f t="shared" si="0"/>
        <v>882421.35</v>
      </c>
      <c r="H58" s="10">
        <f>+'A) Base RI'!E58</f>
        <v>0</v>
      </c>
      <c r="I58" s="10">
        <f>+'A) Base RI'!F58</f>
        <v>0</v>
      </c>
      <c r="J58" s="10">
        <f>+'A) Base RI'!G58+'A) Base RI'!H58+'A) Base RI'!X58</f>
        <v>-464.66999999999996</v>
      </c>
      <c r="K58" s="10">
        <f>+'A) Base RI'!I58</f>
        <v>0</v>
      </c>
      <c r="L58" s="10">
        <f>+'A) Base RI'!J58</f>
        <v>4392.13</v>
      </c>
      <c r="M58" s="10">
        <f>+'A) Base RI'!K58</f>
        <v>994</v>
      </c>
      <c r="N58" s="10">
        <f>+'A) Base RI'!Q58</f>
        <v>384.3</v>
      </c>
      <c r="O58" s="10">
        <f t="shared" si="1"/>
        <v>79012.800000000003</v>
      </c>
      <c r="P58" s="10">
        <f>+'A) Base RI'!L58</f>
        <v>79012.800000000003</v>
      </c>
      <c r="Q58" s="412">
        <f>'A) Base RI'!AS58</f>
        <v>1</v>
      </c>
      <c r="R58" s="404">
        <f t="shared" si="2"/>
        <v>966739.91</v>
      </c>
      <c r="S58" s="457">
        <f>+'A) Base RI'!AN58</f>
        <v>75</v>
      </c>
      <c r="T58" s="404">
        <f t="shared" si="3"/>
        <v>886733.11</v>
      </c>
      <c r="U58" s="404">
        <f t="shared" si="4"/>
        <v>12889.865466666668</v>
      </c>
      <c r="V58" s="10">
        <f>+'A) Base RI'!O58</f>
        <v>282.5</v>
      </c>
      <c r="W58" s="10">
        <f>+'A) Base RI'!P58</f>
        <v>29510.55</v>
      </c>
      <c r="X58" s="10">
        <f>+'A) Base RI'!R58</f>
        <v>1238.05</v>
      </c>
      <c r="Y58" s="404">
        <f t="shared" si="5"/>
        <v>31031.1</v>
      </c>
      <c r="Z58" s="10">
        <f>+'A) Base RI'!N58</f>
        <v>0</v>
      </c>
      <c r="AA58" s="10">
        <f>'A) Base RI'!AO58</f>
        <v>459</v>
      </c>
    </row>
    <row r="59" spans="1:27" x14ac:dyDescent="0.25">
      <c r="A59" s="8">
        <f>'A) Base RI'!A59</f>
        <v>5488</v>
      </c>
      <c r="B59" s="32" t="str">
        <f>'A) Base RI'!B59</f>
        <v>Mauraz</v>
      </c>
      <c r="C59" s="10">
        <f>'A) Base RI'!C59+'A) Base RI'!D59</f>
        <v>114146.48000000001</v>
      </c>
      <c r="D59" s="10">
        <f>'A) Base RI'!AP59</f>
        <v>-15.48</v>
      </c>
      <c r="E59" s="398">
        <f>'A) Base RI'!AQ59</f>
        <v>0</v>
      </c>
      <c r="F59" s="398">
        <f>'A) Base RI'!AR59</f>
        <v>-16.309999999999999</v>
      </c>
      <c r="G59" s="404">
        <f t="shared" si="0"/>
        <v>114114.69000000002</v>
      </c>
      <c r="H59" s="10">
        <f>+'A) Base RI'!E59</f>
        <v>0</v>
      </c>
      <c r="I59" s="10">
        <f>+'A) Base RI'!F59</f>
        <v>0</v>
      </c>
      <c r="J59" s="10">
        <f>+'A) Base RI'!G59+'A) Base RI'!H59+'A) Base RI'!X59</f>
        <v>1026.82</v>
      </c>
      <c r="K59" s="10">
        <f>+'A) Base RI'!I59</f>
        <v>0</v>
      </c>
      <c r="L59" s="10">
        <f>+'A) Base RI'!J59</f>
        <v>2109.0500000000002</v>
      </c>
      <c r="M59" s="10">
        <f>+'A) Base RI'!K59</f>
        <v>0</v>
      </c>
      <c r="N59" s="10">
        <f>+'A) Base RI'!Q59</f>
        <v>0</v>
      </c>
      <c r="O59" s="10">
        <f t="shared" si="1"/>
        <v>8426</v>
      </c>
      <c r="P59" s="10">
        <f>+'A) Base RI'!L59</f>
        <v>8426</v>
      </c>
      <c r="Q59" s="412">
        <f>'A) Base RI'!AS59</f>
        <v>1</v>
      </c>
      <c r="R59" s="404">
        <f t="shared" si="2"/>
        <v>125676.56000000003</v>
      </c>
      <c r="S59" s="457">
        <f>+'A) Base RI'!AN59</f>
        <v>77</v>
      </c>
      <c r="T59" s="404">
        <f t="shared" si="3"/>
        <v>117250.56000000003</v>
      </c>
      <c r="U59" s="404">
        <f t="shared" si="4"/>
        <v>1632.1631168831173</v>
      </c>
      <c r="V59" s="10">
        <f>+'A) Base RI'!O59</f>
        <v>0</v>
      </c>
      <c r="W59" s="10">
        <f>+'A) Base RI'!P59</f>
        <v>0</v>
      </c>
      <c r="X59" s="10">
        <f>+'A) Base RI'!R59</f>
        <v>0</v>
      </c>
      <c r="Y59" s="404">
        <f t="shared" si="5"/>
        <v>0</v>
      </c>
      <c r="Z59" s="10">
        <f>+'A) Base RI'!N59</f>
        <v>0</v>
      </c>
      <c r="AA59" s="10">
        <f>'A) Base RI'!AO59</f>
        <v>58</v>
      </c>
    </row>
    <row r="60" spans="1:27" x14ac:dyDescent="0.25">
      <c r="A60" s="8">
        <f>'A) Base RI'!A60</f>
        <v>5489</v>
      </c>
      <c r="B60" s="32" t="str">
        <f>'A) Base RI'!B60</f>
        <v>Mex</v>
      </c>
      <c r="C60" s="10">
        <f>'A) Base RI'!C60+'A) Base RI'!D60</f>
        <v>2546362.77</v>
      </c>
      <c r="D60" s="10">
        <f>'A) Base RI'!AP60</f>
        <v>-49065.04</v>
      </c>
      <c r="E60" s="398">
        <f>'A) Base RI'!AQ60</f>
        <v>0</v>
      </c>
      <c r="F60" s="398">
        <f>'A) Base RI'!AR60</f>
        <v>-846.97</v>
      </c>
      <c r="G60" s="404">
        <f t="shared" si="0"/>
        <v>2496450.7599999998</v>
      </c>
      <c r="H60" s="10">
        <f>+'A) Base RI'!E60</f>
        <v>0</v>
      </c>
      <c r="I60" s="10">
        <f>+'A) Base RI'!F60</f>
        <v>0</v>
      </c>
      <c r="J60" s="10">
        <f>+'A) Base RI'!G60+'A) Base RI'!H60+'A) Base RI'!X60</f>
        <v>646981.22</v>
      </c>
      <c r="K60" s="10">
        <f>+'A) Base RI'!I60</f>
        <v>0</v>
      </c>
      <c r="L60" s="10">
        <f>+'A) Base RI'!J60</f>
        <v>37440.42</v>
      </c>
      <c r="M60" s="10">
        <f>+'A) Base RI'!K60</f>
        <v>6591.5</v>
      </c>
      <c r="N60" s="10">
        <f>+'A) Base RI'!Q60</f>
        <v>1202.4000000000001</v>
      </c>
      <c r="O60" s="10">
        <f t="shared" si="1"/>
        <v>293345.55</v>
      </c>
      <c r="P60" s="10">
        <f>+'A) Base RI'!L60</f>
        <v>293345.55</v>
      </c>
      <c r="Q60" s="412">
        <f>'A) Base RI'!AS60</f>
        <v>1</v>
      </c>
      <c r="R60" s="404">
        <f t="shared" si="2"/>
        <v>3482011.8499999992</v>
      </c>
      <c r="S60" s="457">
        <f>+'A) Base RI'!AN60</f>
        <v>59.5</v>
      </c>
      <c r="T60" s="404">
        <f t="shared" si="3"/>
        <v>3182074.7999999993</v>
      </c>
      <c r="U60" s="404">
        <f t="shared" si="4"/>
        <v>58521.207563025193</v>
      </c>
      <c r="V60" s="10">
        <f>+'A) Base RI'!O60</f>
        <v>458.7</v>
      </c>
      <c r="W60" s="10">
        <f>+'A) Base RI'!P60</f>
        <v>245386</v>
      </c>
      <c r="X60" s="10">
        <f>+'A) Base RI'!R60</f>
        <v>276699.8</v>
      </c>
      <c r="Y60" s="404">
        <f t="shared" si="5"/>
        <v>522544.5</v>
      </c>
      <c r="Z60" s="10">
        <f>+'A) Base RI'!N60</f>
        <v>150502.45000000001</v>
      </c>
      <c r="AA60" s="10">
        <f>'A) Base RI'!AO60</f>
        <v>791</v>
      </c>
    </row>
    <row r="61" spans="1:27" x14ac:dyDescent="0.25">
      <c r="A61" s="8">
        <f>'A) Base RI'!A61</f>
        <v>5490</v>
      </c>
      <c r="B61" s="32" t="str">
        <f>'A) Base RI'!B61</f>
        <v>Moiry</v>
      </c>
      <c r="C61" s="10">
        <f>'A) Base RI'!C61+'A) Base RI'!D61</f>
        <v>642374.35</v>
      </c>
      <c r="D61" s="10">
        <f>'A) Base RI'!AP61</f>
        <v>-17085.490000000002</v>
      </c>
      <c r="E61" s="398">
        <f>'A) Base RI'!AQ61</f>
        <v>0</v>
      </c>
      <c r="F61" s="398">
        <f>'A) Base RI'!AR61</f>
        <v>-718.97</v>
      </c>
      <c r="G61" s="404">
        <f t="shared" si="0"/>
        <v>624569.89</v>
      </c>
      <c r="H61" s="10">
        <f>+'A) Base RI'!E61</f>
        <v>0</v>
      </c>
      <c r="I61" s="10">
        <f>+'A) Base RI'!F61</f>
        <v>0</v>
      </c>
      <c r="J61" s="10">
        <f>+'A) Base RI'!G61+'A) Base RI'!H61+'A) Base RI'!X61</f>
        <v>846.12</v>
      </c>
      <c r="K61" s="10">
        <f>+'A) Base RI'!I61</f>
        <v>0</v>
      </c>
      <c r="L61" s="10">
        <f>+'A) Base RI'!J61</f>
        <v>-683.29</v>
      </c>
      <c r="M61" s="10">
        <f>+'A) Base RI'!K61</f>
        <v>0</v>
      </c>
      <c r="N61" s="10">
        <f>+'A) Base RI'!Q61</f>
        <v>0</v>
      </c>
      <c r="O61" s="10">
        <f t="shared" si="1"/>
        <v>46100.25</v>
      </c>
      <c r="P61" s="10">
        <f>+'A) Base RI'!L61</f>
        <v>46100.25</v>
      </c>
      <c r="Q61" s="412">
        <f>'A) Base RI'!AS61</f>
        <v>1</v>
      </c>
      <c r="R61" s="404">
        <f t="shared" si="2"/>
        <v>670832.97</v>
      </c>
      <c r="S61" s="457">
        <f>+'A) Base RI'!AN61</f>
        <v>77.5</v>
      </c>
      <c r="T61" s="404">
        <f t="shared" si="3"/>
        <v>624732.72</v>
      </c>
      <c r="U61" s="404">
        <f t="shared" si="4"/>
        <v>8655.909290322581</v>
      </c>
      <c r="V61" s="10">
        <f>+'A) Base RI'!O61</f>
        <v>15576.4</v>
      </c>
      <c r="W61" s="10">
        <f>+'A) Base RI'!P61</f>
        <v>23760.95</v>
      </c>
      <c r="X61" s="10">
        <f>+'A) Base RI'!R61</f>
        <v>315</v>
      </c>
      <c r="Y61" s="404">
        <f t="shared" si="5"/>
        <v>39652.35</v>
      </c>
      <c r="Z61" s="10">
        <f>+'A) Base RI'!N61</f>
        <v>0</v>
      </c>
      <c r="AA61" s="10">
        <f>'A) Base RI'!AO61</f>
        <v>311</v>
      </c>
    </row>
    <row r="62" spans="1:27" x14ac:dyDescent="0.25">
      <c r="A62" s="8">
        <f>'A) Base RI'!A62</f>
        <v>5491</v>
      </c>
      <c r="B62" s="32" t="str">
        <f>'A) Base RI'!B62</f>
        <v>Mont-la-Ville</v>
      </c>
      <c r="C62" s="10">
        <f>'A) Base RI'!C62+'A) Base RI'!D62</f>
        <v>982975.96</v>
      </c>
      <c r="D62" s="10">
        <f>'A) Base RI'!AP62</f>
        <v>-15167.75</v>
      </c>
      <c r="E62" s="398">
        <f>'A) Base RI'!AQ62</f>
        <v>0</v>
      </c>
      <c r="F62" s="398">
        <f>'A) Base RI'!AR62</f>
        <v>0</v>
      </c>
      <c r="G62" s="404">
        <f t="shared" si="0"/>
        <v>967808.21</v>
      </c>
      <c r="H62" s="10">
        <f>+'A) Base RI'!E62</f>
        <v>0</v>
      </c>
      <c r="I62" s="10">
        <f>+'A) Base RI'!F62</f>
        <v>2590</v>
      </c>
      <c r="J62" s="10">
        <f>+'A) Base RI'!G62+'A) Base RI'!H62+'A) Base RI'!X62</f>
        <v>18259.780000000002</v>
      </c>
      <c r="K62" s="10">
        <f>+'A) Base RI'!I62</f>
        <v>0</v>
      </c>
      <c r="L62" s="10">
        <f>+'A) Base RI'!J62</f>
        <v>8918.35</v>
      </c>
      <c r="M62" s="10">
        <f>+'A) Base RI'!K62</f>
        <v>1245.75</v>
      </c>
      <c r="N62" s="10">
        <f>+'A) Base RI'!Q62</f>
        <v>705.45</v>
      </c>
      <c r="O62" s="10">
        <f t="shared" si="1"/>
        <v>89042.1</v>
      </c>
      <c r="P62" s="10">
        <f>+'A) Base RI'!L62</f>
        <v>89042.1</v>
      </c>
      <c r="Q62" s="412">
        <f>'A) Base RI'!AS62</f>
        <v>1</v>
      </c>
      <c r="R62" s="404">
        <f t="shared" si="2"/>
        <v>1088569.6399999999</v>
      </c>
      <c r="S62" s="457">
        <f>+'A) Base RI'!AN62</f>
        <v>76</v>
      </c>
      <c r="T62" s="404">
        <f t="shared" si="3"/>
        <v>995691.78999999992</v>
      </c>
      <c r="U62" s="404">
        <f t="shared" si="4"/>
        <v>14323.284736842104</v>
      </c>
      <c r="V62" s="10">
        <f>+'A) Base RI'!O62</f>
        <v>0</v>
      </c>
      <c r="W62" s="10">
        <f>+'A) Base RI'!P62</f>
        <v>68902.649999999994</v>
      </c>
      <c r="X62" s="10">
        <f>+'A) Base RI'!R62</f>
        <v>24058.55</v>
      </c>
      <c r="Y62" s="404">
        <f t="shared" si="5"/>
        <v>92961.2</v>
      </c>
      <c r="Z62" s="10">
        <f>+'A) Base RI'!N62</f>
        <v>1976.15</v>
      </c>
      <c r="AA62" s="10">
        <f>'A) Base RI'!AO62</f>
        <v>490</v>
      </c>
    </row>
    <row r="63" spans="1:27" x14ac:dyDescent="0.25">
      <c r="A63" s="8">
        <f>'A) Base RI'!A63</f>
        <v>5492</v>
      </c>
      <c r="B63" s="32" t="str">
        <f>'A) Base RI'!B63</f>
        <v>Montricher</v>
      </c>
      <c r="C63" s="10">
        <f>'A) Base RI'!C63+'A) Base RI'!D63</f>
        <v>9727930.3499999996</v>
      </c>
      <c r="D63" s="10">
        <f>'A) Base RI'!AP63</f>
        <v>-62889.32</v>
      </c>
      <c r="E63" s="398">
        <f>'A) Base RI'!AQ63</f>
        <v>0</v>
      </c>
      <c r="F63" s="398">
        <f>'A) Base RI'!AR63</f>
        <v>-6306.83</v>
      </c>
      <c r="G63" s="404">
        <f t="shared" si="0"/>
        <v>9658734.1999999993</v>
      </c>
      <c r="H63" s="10">
        <f>+'A) Base RI'!E63</f>
        <v>0</v>
      </c>
      <c r="I63" s="10">
        <f>+'A) Base RI'!F63</f>
        <v>0</v>
      </c>
      <c r="J63" s="10">
        <f>+'A) Base RI'!G63+'A) Base RI'!H63+'A) Base RI'!X63</f>
        <v>42051.21</v>
      </c>
      <c r="K63" s="10">
        <f>+'A) Base RI'!I63</f>
        <v>0</v>
      </c>
      <c r="L63" s="10">
        <f>+'A) Base RI'!J63</f>
        <v>101215.21</v>
      </c>
      <c r="M63" s="10">
        <f>+'A) Base RI'!K63</f>
        <v>4245.45</v>
      </c>
      <c r="N63" s="10">
        <f>+'A) Base RI'!Q63</f>
        <v>6716.98</v>
      </c>
      <c r="O63" s="10">
        <f t="shared" si="1"/>
        <v>244954.83333333334</v>
      </c>
      <c r="P63" s="10">
        <f>+'A) Base RI'!L63</f>
        <v>73486.45</v>
      </c>
      <c r="Q63" s="412">
        <f>'A) Base RI'!AS63</f>
        <v>0.3</v>
      </c>
      <c r="R63" s="404">
        <f t="shared" si="2"/>
        <v>10057917.883333335</v>
      </c>
      <c r="S63" s="457">
        <f>+'A) Base RI'!AN63</f>
        <v>64</v>
      </c>
      <c r="T63" s="404">
        <f t="shared" si="3"/>
        <v>9808717.6000000015</v>
      </c>
      <c r="U63" s="404">
        <f t="shared" si="4"/>
        <v>157154.96692708335</v>
      </c>
      <c r="V63" s="10">
        <f>+'A) Base RI'!O63</f>
        <v>138790.79999999999</v>
      </c>
      <c r="W63" s="10">
        <f>+'A) Base RI'!P63</f>
        <v>111883.75</v>
      </c>
      <c r="X63" s="10">
        <f>+'A) Base RI'!R63</f>
        <v>69404.100000000006</v>
      </c>
      <c r="Y63" s="404">
        <f t="shared" si="5"/>
        <v>320078.65000000002</v>
      </c>
      <c r="Z63" s="10">
        <f>+'A) Base RI'!N63</f>
        <v>6535.1</v>
      </c>
      <c r="AA63" s="10">
        <f>'A) Base RI'!AO63</f>
        <v>964</v>
      </c>
    </row>
    <row r="64" spans="1:27" x14ac:dyDescent="0.25">
      <c r="A64" s="8">
        <f>'A) Base RI'!A64</f>
        <v>5493</v>
      </c>
      <c r="B64" s="32" t="str">
        <f>'A) Base RI'!B64</f>
        <v>Orny</v>
      </c>
      <c r="C64" s="10">
        <f>'A) Base RI'!C64+'A) Base RI'!D64</f>
        <v>836173.05999999994</v>
      </c>
      <c r="D64" s="10">
        <f>'A) Base RI'!AP64</f>
        <v>-33436.629999999997</v>
      </c>
      <c r="E64" s="398">
        <f>'A) Base RI'!AQ64</f>
        <v>0</v>
      </c>
      <c r="F64" s="398">
        <f>'A) Base RI'!AR64</f>
        <v>-12.43</v>
      </c>
      <c r="G64" s="404">
        <f t="shared" si="0"/>
        <v>802723.99999999988</v>
      </c>
      <c r="H64" s="10">
        <f>+'A) Base RI'!E64</f>
        <v>0</v>
      </c>
      <c r="I64" s="10">
        <f>+'A) Base RI'!F64</f>
        <v>0</v>
      </c>
      <c r="J64" s="10">
        <f>+'A) Base RI'!G64+'A) Base RI'!H64+'A) Base RI'!X64</f>
        <v>30563.85</v>
      </c>
      <c r="K64" s="10">
        <f>+'A) Base RI'!I64</f>
        <v>0</v>
      </c>
      <c r="L64" s="10">
        <f>+'A) Base RI'!J64</f>
        <v>36469.08</v>
      </c>
      <c r="M64" s="10">
        <f>+'A) Base RI'!K64</f>
        <v>455.85</v>
      </c>
      <c r="N64" s="10">
        <f>+'A) Base RI'!Q64</f>
        <v>9903.36</v>
      </c>
      <c r="O64" s="10">
        <f t="shared" si="1"/>
        <v>60490.153846153844</v>
      </c>
      <c r="P64" s="10">
        <f>+'A) Base RI'!L64</f>
        <v>39318.6</v>
      </c>
      <c r="Q64" s="412">
        <f>'A) Base RI'!AS64</f>
        <v>0.65</v>
      </c>
      <c r="R64" s="404">
        <f t="shared" si="2"/>
        <v>940606.29384615365</v>
      </c>
      <c r="S64" s="457">
        <f>+'A) Base RI'!AN64</f>
        <v>73</v>
      </c>
      <c r="T64" s="404">
        <f t="shared" si="3"/>
        <v>879660.2899999998</v>
      </c>
      <c r="U64" s="404">
        <f t="shared" si="4"/>
        <v>12885.017723919913</v>
      </c>
      <c r="V64" s="10">
        <f>+'A) Base RI'!O64</f>
        <v>26175.5</v>
      </c>
      <c r="W64" s="10">
        <f>+'A) Base RI'!P64</f>
        <v>73882.3</v>
      </c>
      <c r="X64" s="10">
        <f>+'A) Base RI'!R64</f>
        <v>23013.200000000001</v>
      </c>
      <c r="Y64" s="404">
        <f t="shared" si="5"/>
        <v>123071</v>
      </c>
      <c r="Z64" s="10">
        <f>+'A) Base RI'!N64</f>
        <v>72407.399999999994</v>
      </c>
      <c r="AA64" s="10">
        <f>'A) Base RI'!AO64</f>
        <v>462</v>
      </c>
    </row>
    <row r="65" spans="1:27" x14ac:dyDescent="0.25">
      <c r="A65" s="8">
        <f>'A) Base RI'!A65</f>
        <v>5494</v>
      </c>
      <c r="B65" s="32" t="str">
        <f>'A) Base RI'!B65</f>
        <v>Pampigny</v>
      </c>
      <c r="C65" s="10">
        <f>'A) Base RI'!C65+'A) Base RI'!D65</f>
        <v>2484653.02</v>
      </c>
      <c r="D65" s="10">
        <f>'A) Base RI'!AP65</f>
        <v>-107033.01</v>
      </c>
      <c r="E65" s="398">
        <f>'A) Base RI'!AQ65</f>
        <v>0</v>
      </c>
      <c r="F65" s="398">
        <f>'A) Base RI'!AR65</f>
        <v>-386.89</v>
      </c>
      <c r="G65" s="404">
        <f t="shared" si="0"/>
        <v>2377233.12</v>
      </c>
      <c r="H65" s="10">
        <f>+'A) Base RI'!E65</f>
        <v>0</v>
      </c>
      <c r="I65" s="10">
        <f>+'A) Base RI'!F65</f>
        <v>0</v>
      </c>
      <c r="J65" s="10">
        <f>+'A) Base RI'!G65+'A) Base RI'!H65+'A) Base RI'!X65</f>
        <v>4772.99</v>
      </c>
      <c r="K65" s="10">
        <f>+'A) Base RI'!I65</f>
        <v>0</v>
      </c>
      <c r="L65" s="10">
        <f>+'A) Base RI'!J65</f>
        <v>35288.769999999997</v>
      </c>
      <c r="M65" s="10">
        <f>+'A) Base RI'!K65</f>
        <v>2805.45</v>
      </c>
      <c r="N65" s="10">
        <f>+'A) Base RI'!Q65</f>
        <v>32797.43</v>
      </c>
      <c r="O65" s="10">
        <f t="shared" si="1"/>
        <v>219477</v>
      </c>
      <c r="P65" s="10">
        <f>+'A) Base RI'!L65</f>
        <v>230450.85</v>
      </c>
      <c r="Q65" s="412">
        <f>'A) Base RI'!AS65</f>
        <v>1.05</v>
      </c>
      <c r="R65" s="404">
        <f t="shared" si="2"/>
        <v>2672374.7600000007</v>
      </c>
      <c r="S65" s="457">
        <f>+'A) Base RI'!AN65</f>
        <v>73</v>
      </c>
      <c r="T65" s="404">
        <f t="shared" si="3"/>
        <v>2450092.3100000005</v>
      </c>
      <c r="U65" s="404">
        <f t="shared" si="4"/>
        <v>36607.87342465754</v>
      </c>
      <c r="V65" s="10">
        <f>+'A) Base RI'!O65</f>
        <v>0</v>
      </c>
      <c r="W65" s="10">
        <f>+'A) Base RI'!P65</f>
        <v>157347.6</v>
      </c>
      <c r="X65" s="10">
        <f>+'A) Base RI'!R65</f>
        <v>37034.5</v>
      </c>
      <c r="Y65" s="404">
        <f t="shared" si="5"/>
        <v>194382.1</v>
      </c>
      <c r="Z65" s="10">
        <f>+'A) Base RI'!N65</f>
        <v>25200.400000000001</v>
      </c>
      <c r="AA65" s="10">
        <f>'A) Base RI'!AO65</f>
        <v>1128</v>
      </c>
    </row>
    <row r="66" spans="1:27" x14ac:dyDescent="0.25">
      <c r="A66" s="8">
        <f>'A) Base RI'!A66</f>
        <v>5495</v>
      </c>
      <c r="B66" s="32" t="str">
        <f>'A) Base RI'!B66</f>
        <v>Penthalaz</v>
      </c>
      <c r="C66" s="10">
        <f>'A) Base RI'!C66+'A) Base RI'!D66</f>
        <v>6158844.7199999997</v>
      </c>
      <c r="D66" s="10">
        <f>'A) Base RI'!AP66</f>
        <v>-145970.59</v>
      </c>
      <c r="E66" s="398">
        <f>'A) Base RI'!AQ66</f>
        <v>0</v>
      </c>
      <c r="F66" s="398">
        <f>'A) Base RI'!AR66</f>
        <v>-2432.35</v>
      </c>
      <c r="G66" s="404">
        <f t="shared" si="0"/>
        <v>6010441.7800000003</v>
      </c>
      <c r="H66" s="10">
        <f>+'A) Base RI'!E66</f>
        <v>0</v>
      </c>
      <c r="I66" s="10">
        <f>+'A) Base RI'!F66</f>
        <v>0</v>
      </c>
      <c r="J66" s="10">
        <f>+'A) Base RI'!G66+'A) Base RI'!H66+'A) Base RI'!X66</f>
        <v>69925.679999999993</v>
      </c>
      <c r="K66" s="10">
        <f>+'A) Base RI'!I66</f>
        <v>78730.81</v>
      </c>
      <c r="L66" s="10">
        <f>+'A) Base RI'!J66</f>
        <v>190029.21</v>
      </c>
      <c r="M66" s="10">
        <f>+'A) Base RI'!K66</f>
        <v>67979.850000000006</v>
      </c>
      <c r="N66" s="10">
        <f>+'A) Base RI'!Q66</f>
        <v>7944.7</v>
      </c>
      <c r="O66" s="10">
        <f t="shared" si="1"/>
        <v>483696.95</v>
      </c>
      <c r="P66" s="10">
        <f>+'A) Base RI'!L66</f>
        <v>483696.95</v>
      </c>
      <c r="Q66" s="412">
        <f>'A) Base RI'!AS66</f>
        <v>1</v>
      </c>
      <c r="R66" s="404">
        <f t="shared" si="2"/>
        <v>6908748.9799999995</v>
      </c>
      <c r="S66" s="457">
        <f>+'A) Base RI'!AN66</f>
        <v>74</v>
      </c>
      <c r="T66" s="404">
        <f t="shared" si="3"/>
        <v>6357072.1799999997</v>
      </c>
      <c r="U66" s="404">
        <f t="shared" si="4"/>
        <v>93361.472702702697</v>
      </c>
      <c r="V66" s="10">
        <f>+'A) Base RI'!O66</f>
        <v>39110</v>
      </c>
      <c r="W66" s="10">
        <f>+'A) Base RI'!P66</f>
        <v>270017.09999999998</v>
      </c>
      <c r="X66" s="10">
        <f>+'A) Base RI'!R66</f>
        <v>116011.65</v>
      </c>
      <c r="Y66" s="404">
        <f t="shared" si="5"/>
        <v>425138.75</v>
      </c>
      <c r="Z66" s="10">
        <f>+'A) Base RI'!N66</f>
        <v>253218.8</v>
      </c>
      <c r="AA66" s="10">
        <f>'A) Base RI'!AO66</f>
        <v>3207</v>
      </c>
    </row>
    <row r="67" spans="1:27" x14ac:dyDescent="0.25">
      <c r="A67" s="8">
        <f>'A) Base RI'!A67</f>
        <v>5496</v>
      </c>
      <c r="B67" s="32" t="str">
        <f>'A) Base RI'!B67</f>
        <v>Penthaz</v>
      </c>
      <c r="C67" s="10">
        <f>'A) Base RI'!C67+'A) Base RI'!D67</f>
        <v>3734638.86</v>
      </c>
      <c r="D67" s="10">
        <f>'A) Base RI'!AP67</f>
        <v>-80202.8</v>
      </c>
      <c r="E67" s="398">
        <f>'A) Base RI'!AQ67</f>
        <v>0</v>
      </c>
      <c r="F67" s="398">
        <f>'A) Base RI'!AR67</f>
        <v>-239.67</v>
      </c>
      <c r="G67" s="404">
        <f t="shared" si="0"/>
        <v>3654196.39</v>
      </c>
      <c r="H67" s="10">
        <f>+'A) Base RI'!E67</f>
        <v>0</v>
      </c>
      <c r="I67" s="10">
        <f>+'A) Base RI'!F67</f>
        <v>0</v>
      </c>
      <c r="J67" s="10">
        <f>+'A) Base RI'!G67+'A) Base RI'!H67+'A) Base RI'!X67</f>
        <v>69677.5</v>
      </c>
      <c r="K67" s="10">
        <f>+'A) Base RI'!I67</f>
        <v>0</v>
      </c>
      <c r="L67" s="10">
        <f>+'A) Base RI'!J67</f>
        <v>88669.98</v>
      </c>
      <c r="M67" s="10">
        <f>+'A) Base RI'!K67</f>
        <v>20912.599999999999</v>
      </c>
      <c r="N67" s="10">
        <f>+'A) Base RI'!Q67</f>
        <v>8458.61</v>
      </c>
      <c r="O67" s="10">
        <f t="shared" si="1"/>
        <v>337197.7</v>
      </c>
      <c r="P67" s="10">
        <f>+'A) Base RI'!L67</f>
        <v>337197.7</v>
      </c>
      <c r="Q67" s="412">
        <f>'A) Base RI'!AS67</f>
        <v>1</v>
      </c>
      <c r="R67" s="404">
        <f t="shared" si="2"/>
        <v>4179112.7800000003</v>
      </c>
      <c r="S67" s="457">
        <f>+'A) Base RI'!AN67</f>
        <v>69.5</v>
      </c>
      <c r="T67" s="404">
        <f t="shared" si="3"/>
        <v>3821002.48</v>
      </c>
      <c r="U67" s="404">
        <f t="shared" si="4"/>
        <v>60131.11913669065</v>
      </c>
      <c r="V67" s="10">
        <f>+'A) Base RI'!O67</f>
        <v>37736.6</v>
      </c>
      <c r="W67" s="10">
        <f>+'A) Base RI'!P67</f>
        <v>206027.45</v>
      </c>
      <c r="X67" s="10">
        <f>+'A) Base RI'!R67</f>
        <v>65521.2</v>
      </c>
      <c r="Y67" s="404">
        <f t="shared" si="5"/>
        <v>309285.25</v>
      </c>
      <c r="Z67" s="10">
        <f>+'A) Base RI'!N67</f>
        <v>84746.65</v>
      </c>
      <c r="AA67" s="10">
        <f>'A) Base RI'!AO67</f>
        <v>1855</v>
      </c>
    </row>
    <row r="68" spans="1:27" x14ac:dyDescent="0.25">
      <c r="A68" s="8">
        <f>'A) Base RI'!A68</f>
        <v>5497</v>
      </c>
      <c r="B68" s="32" t="str">
        <f>'A) Base RI'!B68</f>
        <v>Pompaples</v>
      </c>
      <c r="C68" s="10">
        <f>'A) Base RI'!C68+'A) Base RI'!D68</f>
        <v>1189143.2899999998</v>
      </c>
      <c r="D68" s="10">
        <f>'A) Base RI'!AP68</f>
        <v>-22727.43</v>
      </c>
      <c r="E68" s="398">
        <f>'A) Base RI'!AQ68</f>
        <v>0</v>
      </c>
      <c r="F68" s="398">
        <f>'A) Base RI'!AR68</f>
        <v>-141.41</v>
      </c>
      <c r="G68" s="404">
        <f t="shared" si="0"/>
        <v>1166274.45</v>
      </c>
      <c r="H68" s="10">
        <f>+'A) Base RI'!E68</f>
        <v>0</v>
      </c>
      <c r="I68" s="10">
        <f>+'A) Base RI'!F68</f>
        <v>0</v>
      </c>
      <c r="J68" s="10">
        <f>+'A) Base RI'!G68+'A) Base RI'!H68+'A) Base RI'!X68</f>
        <v>-11320.59</v>
      </c>
      <c r="K68" s="10">
        <f>+'A) Base RI'!I68</f>
        <v>0</v>
      </c>
      <c r="L68" s="10">
        <f>+'A) Base RI'!J68</f>
        <v>39390.080000000002</v>
      </c>
      <c r="M68" s="10">
        <f>+'A) Base RI'!K68</f>
        <v>3864.6</v>
      </c>
      <c r="N68" s="10">
        <f>+'A) Base RI'!Q68</f>
        <v>150.94</v>
      </c>
      <c r="O68" s="10">
        <f t="shared" si="1"/>
        <v>147841.60000000001</v>
      </c>
      <c r="P68" s="10">
        <f>+'A) Base RI'!L68</f>
        <v>147841.60000000001</v>
      </c>
      <c r="Q68" s="412">
        <f>'A) Base RI'!AS68</f>
        <v>1</v>
      </c>
      <c r="R68" s="404">
        <f t="shared" si="2"/>
        <v>1346201.08</v>
      </c>
      <c r="S68" s="457">
        <f>+'A) Base RI'!AN68</f>
        <v>66</v>
      </c>
      <c r="T68" s="404">
        <f t="shared" si="3"/>
        <v>1194494.8799999999</v>
      </c>
      <c r="U68" s="404">
        <f t="shared" si="4"/>
        <v>20396.986060606061</v>
      </c>
      <c r="V68" s="10">
        <f>+'A) Base RI'!O68</f>
        <v>5039.8</v>
      </c>
      <c r="W68" s="10">
        <f>+'A) Base RI'!P68</f>
        <v>15180.5</v>
      </c>
      <c r="X68" s="10">
        <f>+'A) Base RI'!R68</f>
        <v>12418.2</v>
      </c>
      <c r="Y68" s="404">
        <f t="shared" si="5"/>
        <v>32638.5</v>
      </c>
      <c r="Z68" s="10">
        <f>+'A) Base RI'!N68</f>
        <v>213258.85</v>
      </c>
      <c r="AA68" s="10">
        <f>'A) Base RI'!AO68</f>
        <v>847</v>
      </c>
    </row>
    <row r="69" spans="1:27" x14ac:dyDescent="0.25">
      <c r="A69" s="8">
        <f>'A) Base RI'!A69</f>
        <v>5498</v>
      </c>
      <c r="B69" s="32" t="str">
        <f>'A) Base RI'!B69</f>
        <v>La Sarraz</v>
      </c>
      <c r="C69" s="10">
        <f>'A) Base RI'!C69+'A) Base RI'!D69</f>
        <v>4604047.83</v>
      </c>
      <c r="D69" s="10">
        <f>'A) Base RI'!AP69</f>
        <v>-92376.85</v>
      </c>
      <c r="E69" s="398">
        <f>'A) Base RI'!AQ69</f>
        <v>0</v>
      </c>
      <c r="F69" s="398">
        <f>'A) Base RI'!AR69</f>
        <v>-356.31</v>
      </c>
      <c r="G69" s="404">
        <f t="shared" si="0"/>
        <v>4511314.6700000009</v>
      </c>
      <c r="H69" s="10">
        <f>+'A) Base RI'!E69</f>
        <v>0</v>
      </c>
      <c r="I69" s="10">
        <f>+'A) Base RI'!F69</f>
        <v>0</v>
      </c>
      <c r="J69" s="10">
        <f>+'A) Base RI'!G69+'A) Base RI'!H69+'A) Base RI'!X69</f>
        <v>62612.479999999996</v>
      </c>
      <c r="K69" s="10">
        <f>+'A) Base RI'!I69</f>
        <v>0</v>
      </c>
      <c r="L69" s="10">
        <f>+'A) Base RI'!J69</f>
        <v>122651.8</v>
      </c>
      <c r="M69" s="10">
        <f>+'A) Base RI'!K69</f>
        <v>15544.65</v>
      </c>
      <c r="N69" s="10">
        <f>+'A) Base RI'!Q69</f>
        <v>-1517.98</v>
      </c>
      <c r="O69" s="10">
        <f t="shared" si="1"/>
        <v>404938.35</v>
      </c>
      <c r="P69" s="10">
        <f>+'A) Base RI'!L69</f>
        <v>404938.35</v>
      </c>
      <c r="Q69" s="412">
        <f>'A) Base RI'!AS69</f>
        <v>1</v>
      </c>
      <c r="R69" s="404">
        <f t="shared" si="2"/>
        <v>5115543.9700000007</v>
      </c>
      <c r="S69" s="457">
        <f>+'A) Base RI'!AN69</f>
        <v>66</v>
      </c>
      <c r="T69" s="404">
        <f t="shared" si="3"/>
        <v>4695060.9700000007</v>
      </c>
      <c r="U69" s="404">
        <f t="shared" si="4"/>
        <v>77508.241969696974</v>
      </c>
      <c r="V69" s="10">
        <f>+'A) Base RI'!O69</f>
        <v>3821.3</v>
      </c>
      <c r="W69" s="10">
        <f>+'A) Base RI'!P69</f>
        <v>186689.9</v>
      </c>
      <c r="X69" s="10">
        <f>+'A) Base RI'!R69</f>
        <v>102073.4</v>
      </c>
      <c r="Y69" s="404">
        <f t="shared" si="5"/>
        <v>292584.59999999998</v>
      </c>
      <c r="Z69" s="10">
        <f>+'A) Base RI'!N69</f>
        <v>80908.7</v>
      </c>
      <c r="AA69" s="10">
        <f>'A) Base RI'!AO69</f>
        <v>2598</v>
      </c>
    </row>
    <row r="70" spans="1:27" x14ac:dyDescent="0.25">
      <c r="A70" s="8">
        <f>'A) Base RI'!A70</f>
        <v>5499</v>
      </c>
      <c r="B70" s="32" t="str">
        <f>'A) Base RI'!B70</f>
        <v>Senarclens</v>
      </c>
      <c r="C70" s="10">
        <f>'A) Base RI'!C70+'A) Base RI'!D70</f>
        <v>1201766.43</v>
      </c>
      <c r="D70" s="10">
        <f>'A) Base RI'!AP70</f>
        <v>-255.22</v>
      </c>
      <c r="E70" s="398">
        <f>'A) Base RI'!AQ70</f>
        <v>0</v>
      </c>
      <c r="F70" s="398">
        <f>'A) Base RI'!AR70</f>
        <v>-328.18</v>
      </c>
      <c r="G70" s="404">
        <f t="shared" si="0"/>
        <v>1201183.03</v>
      </c>
      <c r="H70" s="10">
        <f>+'A) Base RI'!E70</f>
        <v>0</v>
      </c>
      <c r="I70" s="10">
        <f>+'A) Base RI'!F70</f>
        <v>0</v>
      </c>
      <c r="J70" s="10">
        <f>+'A) Base RI'!G70+'A) Base RI'!H70+'A) Base RI'!X70</f>
        <v>32767.239999999998</v>
      </c>
      <c r="K70" s="10">
        <f>+'A) Base RI'!I70</f>
        <v>0</v>
      </c>
      <c r="L70" s="10">
        <f>+'A) Base RI'!J70</f>
        <v>13064.58</v>
      </c>
      <c r="M70" s="10">
        <f>+'A) Base RI'!K70</f>
        <v>0</v>
      </c>
      <c r="N70" s="10">
        <f>+'A) Base RI'!Q70</f>
        <v>0</v>
      </c>
      <c r="O70" s="10">
        <f t="shared" si="1"/>
        <v>99314.8</v>
      </c>
      <c r="P70" s="10">
        <f>+'A) Base RI'!L70</f>
        <v>99314.8</v>
      </c>
      <c r="Q70" s="412">
        <f>'A) Base RI'!AS70</f>
        <v>1</v>
      </c>
      <c r="R70" s="404">
        <f t="shared" si="2"/>
        <v>1346329.6500000001</v>
      </c>
      <c r="S70" s="457">
        <f>+'A) Base RI'!AN70</f>
        <v>68.5</v>
      </c>
      <c r="T70" s="404">
        <f t="shared" si="3"/>
        <v>1247014.8500000001</v>
      </c>
      <c r="U70" s="404">
        <f t="shared" si="4"/>
        <v>19654.447445255475</v>
      </c>
      <c r="V70" s="10">
        <f>+'A) Base RI'!O70</f>
        <v>101975.7</v>
      </c>
      <c r="W70" s="10">
        <f>+'A) Base RI'!P70</f>
        <v>75413.8</v>
      </c>
      <c r="X70" s="10">
        <f>+'A) Base RI'!R70</f>
        <v>64569</v>
      </c>
      <c r="Y70" s="404">
        <f t="shared" si="5"/>
        <v>241958.5</v>
      </c>
      <c r="Z70" s="10">
        <f>+'A) Base RI'!N70</f>
        <v>15029.85</v>
      </c>
      <c r="AA70" s="10">
        <f>'A) Base RI'!AO70</f>
        <v>496</v>
      </c>
    </row>
    <row r="71" spans="1:27" x14ac:dyDescent="0.25">
      <c r="A71" s="8">
        <f>'A) Base RI'!A71</f>
        <v>5500</v>
      </c>
      <c r="B71" s="32" t="str">
        <f>'A) Base RI'!B71</f>
        <v>Sévery</v>
      </c>
      <c r="C71" s="10">
        <f>'A) Base RI'!C71+'A) Base RI'!D71</f>
        <v>527007.78</v>
      </c>
      <c r="D71" s="10">
        <f>'A) Base RI'!AP71</f>
        <v>-33172.57</v>
      </c>
      <c r="E71" s="398">
        <f>'A) Base RI'!AQ71</f>
        <v>0</v>
      </c>
      <c r="F71" s="398">
        <f>'A) Base RI'!AR71</f>
        <v>-24.95</v>
      </c>
      <c r="G71" s="404">
        <f t="shared" si="0"/>
        <v>493810.26</v>
      </c>
      <c r="H71" s="10">
        <f>+'A) Base RI'!E71</f>
        <v>0</v>
      </c>
      <c r="I71" s="10">
        <f>+'A) Base RI'!F71</f>
        <v>0</v>
      </c>
      <c r="J71" s="10">
        <f>+'A) Base RI'!G71+'A) Base RI'!H71+'A) Base RI'!X71</f>
        <v>7067.7</v>
      </c>
      <c r="K71" s="10">
        <f>+'A) Base RI'!I71</f>
        <v>0</v>
      </c>
      <c r="L71" s="10">
        <f>+'A) Base RI'!J71</f>
        <v>2401.0700000000002</v>
      </c>
      <c r="M71" s="10">
        <f>+'A) Base RI'!K71</f>
        <v>469.95</v>
      </c>
      <c r="N71" s="10">
        <f>+'A) Base RI'!Q71</f>
        <v>2012.25</v>
      </c>
      <c r="O71" s="10">
        <f t="shared" si="1"/>
        <v>42917</v>
      </c>
      <c r="P71" s="10">
        <f>+'A) Base RI'!L71</f>
        <v>51500.4</v>
      </c>
      <c r="Q71" s="412">
        <f>'A) Base RI'!AS71</f>
        <v>1.2</v>
      </c>
      <c r="R71" s="404">
        <f t="shared" si="2"/>
        <v>548678.23</v>
      </c>
      <c r="S71" s="457">
        <f>+'A) Base RI'!AN71</f>
        <v>73</v>
      </c>
      <c r="T71" s="404">
        <f t="shared" si="3"/>
        <v>505291.28</v>
      </c>
      <c r="U71" s="404">
        <f t="shared" si="4"/>
        <v>7516.1401369863015</v>
      </c>
      <c r="V71" s="10">
        <f>+'A) Base RI'!O71</f>
        <v>0</v>
      </c>
      <c r="W71" s="10">
        <f>+'A) Base RI'!P71</f>
        <v>14527.45</v>
      </c>
      <c r="X71" s="10">
        <f>+'A) Base RI'!R71</f>
        <v>13159.1</v>
      </c>
      <c r="Y71" s="404">
        <f t="shared" si="5"/>
        <v>27686.550000000003</v>
      </c>
      <c r="Z71" s="10">
        <f>+'A) Base RI'!N71</f>
        <v>0</v>
      </c>
      <c r="AA71" s="10">
        <f>'A) Base RI'!AO71</f>
        <v>214</v>
      </c>
    </row>
    <row r="72" spans="1:27" x14ac:dyDescent="0.25">
      <c r="A72" s="8">
        <f>'A) Base RI'!A72</f>
        <v>5501</v>
      </c>
      <c r="B72" s="32" t="str">
        <f>'A) Base RI'!B72</f>
        <v>Sullens</v>
      </c>
      <c r="C72" s="10">
        <f>'A) Base RI'!C72+'A) Base RI'!D72</f>
        <v>2643383.8000000003</v>
      </c>
      <c r="D72" s="10">
        <f>'A) Base RI'!AP72</f>
        <v>-21505.52</v>
      </c>
      <c r="E72" s="398">
        <f>'A) Base RI'!AQ72</f>
        <v>0</v>
      </c>
      <c r="F72" s="398">
        <f>'A) Base RI'!AR72</f>
        <v>-851.87</v>
      </c>
      <c r="G72" s="404">
        <f t="shared" ref="G72:G135" si="6">SUM(C72:F72)</f>
        <v>2621026.41</v>
      </c>
      <c r="H72" s="10">
        <f>+'A) Base RI'!E72</f>
        <v>0</v>
      </c>
      <c r="I72" s="10">
        <f>+'A) Base RI'!F72</f>
        <v>0</v>
      </c>
      <c r="J72" s="10">
        <f>+'A) Base RI'!G72+'A) Base RI'!H72+'A) Base RI'!X72</f>
        <v>40010.660000000003</v>
      </c>
      <c r="K72" s="10">
        <f>+'A) Base RI'!I72</f>
        <v>-76949.3</v>
      </c>
      <c r="L72" s="10">
        <f>+'A) Base RI'!J72</f>
        <v>45296.28</v>
      </c>
      <c r="M72" s="10">
        <f>+'A) Base RI'!K72</f>
        <v>-78.400000000000006</v>
      </c>
      <c r="N72" s="10">
        <f>+'A) Base RI'!Q72</f>
        <v>15405.19</v>
      </c>
      <c r="O72" s="10">
        <f t="shared" ref="O72:O135" si="7">(P72/Q72)*1</f>
        <v>226887.35</v>
      </c>
      <c r="P72" s="10">
        <f>+'A) Base RI'!L72</f>
        <v>226887.35</v>
      </c>
      <c r="Q72" s="412">
        <f>'A) Base RI'!AS72</f>
        <v>1</v>
      </c>
      <c r="R72" s="404">
        <f t="shared" ref="R72:R135" si="8">SUM(G72:O72)</f>
        <v>2871598.1900000004</v>
      </c>
      <c r="S72" s="457">
        <f>+'A) Base RI'!AN72</f>
        <v>68.5</v>
      </c>
      <c r="T72" s="404">
        <f t="shared" ref="T72:T135" si="9">(G72+H72+J72+K72+L72+N72)</f>
        <v>2644789.2400000002</v>
      </c>
      <c r="U72" s="404">
        <f t="shared" ref="U72:U135" si="10">R72/S72</f>
        <v>41921.141459854021</v>
      </c>
      <c r="V72" s="10">
        <f>+'A) Base RI'!O72</f>
        <v>5956374</v>
      </c>
      <c r="W72" s="10">
        <f>+'A) Base RI'!P72</f>
        <v>200417.65</v>
      </c>
      <c r="X72" s="10">
        <f>+'A) Base RI'!R72</f>
        <v>215513.60000000001</v>
      </c>
      <c r="Y72" s="404">
        <f t="shared" ref="Y72:Y135" si="11">SUM(V72:X72)</f>
        <v>6372305.25</v>
      </c>
      <c r="Z72" s="10">
        <f>+'A) Base RI'!N72</f>
        <v>6179.4</v>
      </c>
      <c r="AA72" s="10">
        <f>'A) Base RI'!AO72</f>
        <v>1041</v>
      </c>
    </row>
    <row r="73" spans="1:27" x14ac:dyDescent="0.25">
      <c r="A73" s="8">
        <f>'A) Base RI'!A73</f>
        <v>5503</v>
      </c>
      <c r="B73" s="32" t="str">
        <f>'A) Base RI'!B73</f>
        <v>Vufflens-la-Ville</v>
      </c>
      <c r="C73" s="10">
        <f>'A) Base RI'!C73+'A) Base RI'!D73</f>
        <v>3469601.1</v>
      </c>
      <c r="D73" s="10">
        <f>'A) Base RI'!AP73</f>
        <v>-48348.13</v>
      </c>
      <c r="E73" s="398">
        <f>'A) Base RI'!AQ73</f>
        <v>0</v>
      </c>
      <c r="F73" s="398">
        <f>'A) Base RI'!AR73</f>
        <v>-1085.33</v>
      </c>
      <c r="G73" s="404">
        <f t="shared" si="6"/>
        <v>3420167.64</v>
      </c>
      <c r="H73" s="10">
        <f>+'A) Base RI'!E73</f>
        <v>0</v>
      </c>
      <c r="I73" s="10">
        <f>+'A) Base RI'!F73</f>
        <v>0</v>
      </c>
      <c r="J73" s="10">
        <f>+'A) Base RI'!G73+'A) Base RI'!H73+'A) Base RI'!X73</f>
        <v>564214.85</v>
      </c>
      <c r="K73" s="10">
        <f>+'A) Base RI'!I73</f>
        <v>0</v>
      </c>
      <c r="L73" s="10">
        <f>+'A) Base RI'!J73</f>
        <v>75571.78</v>
      </c>
      <c r="M73" s="10">
        <f>+'A) Base RI'!K73</f>
        <v>34894.550000000003</v>
      </c>
      <c r="N73" s="10">
        <f>+'A) Base RI'!Q73</f>
        <v>1599.13</v>
      </c>
      <c r="O73" s="10">
        <f t="shared" si="7"/>
        <v>370970.16666666669</v>
      </c>
      <c r="P73" s="10">
        <f>+'A) Base RI'!L73</f>
        <v>445164.2</v>
      </c>
      <c r="Q73" s="412">
        <f>'A) Base RI'!AS73</f>
        <v>1.2</v>
      </c>
      <c r="R73" s="404">
        <f t="shared" si="8"/>
        <v>4467418.1166666662</v>
      </c>
      <c r="S73" s="457">
        <f>+'A) Base RI'!AN73</f>
        <v>67</v>
      </c>
      <c r="T73" s="404">
        <f t="shared" si="9"/>
        <v>4061553.4</v>
      </c>
      <c r="U73" s="404">
        <f t="shared" si="10"/>
        <v>66677.882338308453</v>
      </c>
      <c r="V73" s="10">
        <f>+'A) Base RI'!O73</f>
        <v>157734.20000000001</v>
      </c>
      <c r="W73" s="10">
        <f>+'A) Base RI'!P73</f>
        <v>52834.7</v>
      </c>
      <c r="X73" s="10">
        <f>+'A) Base RI'!R73</f>
        <v>28902.25</v>
      </c>
      <c r="Y73" s="404">
        <f t="shared" si="11"/>
        <v>239471.15000000002</v>
      </c>
      <c r="Z73" s="10">
        <f>+'A) Base RI'!N73</f>
        <v>90208.95</v>
      </c>
      <c r="AA73" s="10">
        <f>'A) Base RI'!AO73</f>
        <v>1349</v>
      </c>
    </row>
    <row r="74" spans="1:27" x14ac:dyDescent="0.25">
      <c r="A74" s="8">
        <f>'A) Base RI'!A74</f>
        <v>5511</v>
      </c>
      <c r="B74" s="32" t="str">
        <f>'A) Base RI'!B74</f>
        <v>Assens</v>
      </c>
      <c r="C74" s="10">
        <f>'A) Base RI'!C74+'A) Base RI'!D74</f>
        <v>2603002.7999999998</v>
      </c>
      <c r="D74" s="10">
        <f>'A) Base RI'!AP74</f>
        <v>-23428.68</v>
      </c>
      <c r="E74" s="398">
        <f>'A) Base RI'!AQ74</f>
        <v>0</v>
      </c>
      <c r="F74" s="398">
        <f>'A) Base RI'!AR74</f>
        <v>-333.34</v>
      </c>
      <c r="G74" s="404">
        <f t="shared" si="6"/>
        <v>2579240.7799999998</v>
      </c>
      <c r="H74" s="10">
        <f>+'A) Base RI'!E74</f>
        <v>0</v>
      </c>
      <c r="I74" s="10">
        <f>+'A) Base RI'!F74</f>
        <v>0</v>
      </c>
      <c r="J74" s="10">
        <f>+'A) Base RI'!G74+'A) Base RI'!H74+'A) Base RI'!X74</f>
        <v>217360.41</v>
      </c>
      <c r="K74" s="10">
        <f>+'A) Base RI'!I74</f>
        <v>0</v>
      </c>
      <c r="L74" s="10">
        <f>+'A) Base RI'!J74</f>
        <v>35956.800000000003</v>
      </c>
      <c r="M74" s="10">
        <f>+'A) Base RI'!K74</f>
        <v>6306.55</v>
      </c>
      <c r="N74" s="10">
        <f>+'A) Base RI'!Q74</f>
        <v>22377.64</v>
      </c>
      <c r="O74" s="10">
        <f t="shared" si="7"/>
        <v>251989.8</v>
      </c>
      <c r="P74" s="10">
        <f>+'A) Base RI'!L74</f>
        <v>251989.8</v>
      </c>
      <c r="Q74" s="412">
        <f>'A) Base RI'!AS74</f>
        <v>1</v>
      </c>
      <c r="R74" s="404">
        <f t="shared" si="8"/>
        <v>3113231.9799999995</v>
      </c>
      <c r="S74" s="457">
        <f>+'A) Base RI'!AN74</f>
        <v>70</v>
      </c>
      <c r="T74" s="404">
        <f t="shared" si="9"/>
        <v>2854935.63</v>
      </c>
      <c r="U74" s="404">
        <f t="shared" si="10"/>
        <v>44474.742571428564</v>
      </c>
      <c r="V74" s="10">
        <f>+'A) Base RI'!O74</f>
        <v>0</v>
      </c>
      <c r="W74" s="10">
        <f>+'A) Base RI'!P74</f>
        <v>63532.7</v>
      </c>
      <c r="X74" s="10">
        <f>+'A) Base RI'!R74</f>
        <v>53718.5</v>
      </c>
      <c r="Y74" s="404">
        <f t="shared" si="11"/>
        <v>117251.2</v>
      </c>
      <c r="Z74" s="10">
        <f>+'A) Base RI'!N74</f>
        <v>19141.8</v>
      </c>
      <c r="AA74" s="10">
        <f>'A) Base RI'!AO74</f>
        <v>1141</v>
      </c>
    </row>
    <row r="75" spans="1:27" x14ac:dyDescent="0.25">
      <c r="A75" s="8">
        <f>'A) Base RI'!A75</f>
        <v>5512</v>
      </c>
      <c r="B75" s="32" t="str">
        <f>'A) Base RI'!B75</f>
        <v>Bercher</v>
      </c>
      <c r="C75" s="10">
        <f>'A) Base RI'!C75+'A) Base RI'!D75</f>
        <v>2846766.88</v>
      </c>
      <c r="D75" s="10">
        <f>'A) Base RI'!AP75</f>
        <v>-35372.620000000003</v>
      </c>
      <c r="E75" s="398">
        <f>'A) Base RI'!AQ75</f>
        <v>0</v>
      </c>
      <c r="F75" s="398">
        <f>'A) Base RI'!AR75</f>
        <v>-1623.65</v>
      </c>
      <c r="G75" s="404">
        <f t="shared" si="6"/>
        <v>2809770.61</v>
      </c>
      <c r="H75" s="10">
        <f>+'A) Base RI'!E75</f>
        <v>0</v>
      </c>
      <c r="I75" s="10">
        <f>+'A) Base RI'!F75</f>
        <v>0</v>
      </c>
      <c r="J75" s="10">
        <f>+'A) Base RI'!G75+'A) Base RI'!H75+'A) Base RI'!X75</f>
        <v>39527.459999999992</v>
      </c>
      <c r="K75" s="10">
        <f>+'A) Base RI'!I75</f>
        <v>0</v>
      </c>
      <c r="L75" s="10">
        <f>+'A) Base RI'!J75</f>
        <v>62370.33</v>
      </c>
      <c r="M75" s="10">
        <f>+'A) Base RI'!K75</f>
        <v>9941.1</v>
      </c>
      <c r="N75" s="10">
        <f>+'A) Base RI'!Q75</f>
        <v>2543.9899999999998</v>
      </c>
      <c r="O75" s="10">
        <f t="shared" si="7"/>
        <v>260611.65</v>
      </c>
      <c r="P75" s="10">
        <f>+'A) Base RI'!L75</f>
        <v>260611.65</v>
      </c>
      <c r="Q75" s="412">
        <f>'A) Base RI'!AS75</f>
        <v>1</v>
      </c>
      <c r="R75" s="404">
        <f t="shared" si="8"/>
        <v>3184765.14</v>
      </c>
      <c r="S75" s="457">
        <f>+'A) Base RI'!AN75</f>
        <v>79</v>
      </c>
      <c r="T75" s="404">
        <f t="shared" si="9"/>
        <v>2914212.39</v>
      </c>
      <c r="U75" s="404">
        <f t="shared" si="10"/>
        <v>40313.482784810127</v>
      </c>
      <c r="V75" s="10">
        <f>+'A) Base RI'!O75</f>
        <v>27240.400000000001</v>
      </c>
      <c r="W75" s="10">
        <f>+'A) Base RI'!P75</f>
        <v>56322.75</v>
      </c>
      <c r="X75" s="10">
        <f>+'A) Base RI'!R75</f>
        <v>44301.1</v>
      </c>
      <c r="Y75" s="404">
        <f t="shared" si="11"/>
        <v>127864.25</v>
      </c>
      <c r="Z75" s="10">
        <f>+'A) Base RI'!N75</f>
        <v>67506.7</v>
      </c>
      <c r="AA75" s="10">
        <f>'A) Base RI'!AO75</f>
        <v>1323</v>
      </c>
    </row>
    <row r="76" spans="1:27" x14ac:dyDescent="0.25">
      <c r="A76" s="8">
        <f>'A) Base RI'!A76</f>
        <v>5513</v>
      </c>
      <c r="B76" s="32" t="str">
        <f>'A) Base RI'!B76</f>
        <v>Bioley-Orjulaz</v>
      </c>
      <c r="C76" s="10">
        <f>'A) Base RI'!C76+'A) Base RI'!D76</f>
        <v>1065256.05</v>
      </c>
      <c r="D76" s="10">
        <f>'A) Base RI'!AP76</f>
        <v>-10493.57</v>
      </c>
      <c r="E76" s="398">
        <f>'A) Base RI'!AQ76</f>
        <v>0</v>
      </c>
      <c r="F76" s="398">
        <f>'A) Base RI'!AR76</f>
        <v>0</v>
      </c>
      <c r="G76" s="404">
        <f t="shared" si="6"/>
        <v>1054762.48</v>
      </c>
      <c r="H76" s="10">
        <f>+'A) Base RI'!E76</f>
        <v>0</v>
      </c>
      <c r="I76" s="10">
        <f>+'A) Base RI'!F76</f>
        <v>0</v>
      </c>
      <c r="J76" s="10">
        <f>+'A) Base RI'!G76+'A) Base RI'!H76+'A) Base RI'!X76</f>
        <v>325247.46999999997</v>
      </c>
      <c r="K76" s="10">
        <f>+'A) Base RI'!I76</f>
        <v>0</v>
      </c>
      <c r="L76" s="10">
        <f>+'A) Base RI'!J76</f>
        <v>29805.64</v>
      </c>
      <c r="M76" s="10">
        <f>+'A) Base RI'!K76</f>
        <v>10077.25</v>
      </c>
      <c r="N76" s="10">
        <f>+'A) Base RI'!Q76</f>
        <v>0</v>
      </c>
      <c r="O76" s="10">
        <f t="shared" si="7"/>
        <v>119964.6</v>
      </c>
      <c r="P76" s="10">
        <f>+'A) Base RI'!L76</f>
        <v>59982.3</v>
      </c>
      <c r="Q76" s="412">
        <f>'A) Base RI'!AS76</f>
        <v>0.5</v>
      </c>
      <c r="R76" s="404">
        <f t="shared" si="8"/>
        <v>1539857.44</v>
      </c>
      <c r="S76" s="457">
        <f>+'A) Base RI'!AN76</f>
        <v>68</v>
      </c>
      <c r="T76" s="404">
        <f t="shared" si="9"/>
        <v>1409815.5899999999</v>
      </c>
      <c r="U76" s="404">
        <f t="shared" si="10"/>
        <v>22644.962352941177</v>
      </c>
      <c r="V76" s="10">
        <f>+'A) Base RI'!O76</f>
        <v>2932.9</v>
      </c>
      <c r="W76" s="10">
        <f>+'A) Base RI'!P76</f>
        <v>31592</v>
      </c>
      <c r="X76" s="10">
        <f>+'A) Base RI'!R76</f>
        <v>35181.300000000003</v>
      </c>
      <c r="Y76" s="404">
        <f t="shared" si="11"/>
        <v>69706.200000000012</v>
      </c>
      <c r="Z76" s="10">
        <f>+'A) Base RI'!N76</f>
        <v>308830.75</v>
      </c>
      <c r="AA76" s="10">
        <f>'A) Base RI'!AO76</f>
        <v>525</v>
      </c>
    </row>
    <row r="77" spans="1:27" x14ac:dyDescent="0.25">
      <c r="A77" s="8">
        <f>'A) Base RI'!A77</f>
        <v>5514</v>
      </c>
      <c r="B77" s="32" t="str">
        <f>'A) Base RI'!B77</f>
        <v>Bottens</v>
      </c>
      <c r="C77" s="10">
        <f>'A) Base RI'!C77+'A) Base RI'!D77</f>
        <v>2927622.6</v>
      </c>
      <c r="D77" s="10">
        <f>'A) Base RI'!AP77</f>
        <v>-66722.64</v>
      </c>
      <c r="E77" s="398">
        <f>'A) Base RI'!AQ77</f>
        <v>0</v>
      </c>
      <c r="F77" s="398">
        <f>'A) Base RI'!AR77</f>
        <v>-217.11</v>
      </c>
      <c r="G77" s="404">
        <f t="shared" si="6"/>
        <v>2860682.85</v>
      </c>
      <c r="H77" s="10">
        <f>+'A) Base RI'!E77</f>
        <v>0</v>
      </c>
      <c r="I77" s="10">
        <f>+'A) Base RI'!F77</f>
        <v>0</v>
      </c>
      <c r="J77" s="10">
        <f>+'A) Base RI'!G77+'A) Base RI'!H77+'A) Base RI'!X77</f>
        <v>6846.3499999999985</v>
      </c>
      <c r="K77" s="10">
        <f>+'A) Base RI'!I77</f>
        <v>38369.15</v>
      </c>
      <c r="L77" s="10">
        <f>+'A) Base RI'!J77</f>
        <v>38757.56</v>
      </c>
      <c r="M77" s="10">
        <f>+'A) Base RI'!K77</f>
        <v>9768</v>
      </c>
      <c r="N77" s="10">
        <f>+'A) Base RI'!Q77</f>
        <v>13227.83</v>
      </c>
      <c r="O77" s="10">
        <f t="shared" si="7"/>
        <v>236150</v>
      </c>
      <c r="P77" s="10">
        <f>+'A) Base RI'!L77</f>
        <v>236150</v>
      </c>
      <c r="Q77" s="412">
        <f>'A) Base RI'!AS77</f>
        <v>1</v>
      </c>
      <c r="R77" s="404">
        <f t="shared" si="8"/>
        <v>3203801.74</v>
      </c>
      <c r="S77" s="457">
        <f>+'A) Base RI'!AN77</f>
        <v>72.5</v>
      </c>
      <c r="T77" s="404">
        <f t="shared" si="9"/>
        <v>2957883.74</v>
      </c>
      <c r="U77" s="404">
        <f t="shared" si="10"/>
        <v>44190.368827586208</v>
      </c>
      <c r="V77" s="10">
        <f>+'A) Base RI'!O77</f>
        <v>5398.7</v>
      </c>
      <c r="W77" s="10">
        <f>+'A) Base RI'!P77</f>
        <v>117069.5</v>
      </c>
      <c r="X77" s="10">
        <f>+'A) Base RI'!R77</f>
        <v>58693.599999999999</v>
      </c>
      <c r="Y77" s="404">
        <f t="shared" si="11"/>
        <v>181161.8</v>
      </c>
      <c r="Z77" s="10">
        <f>+'A) Base RI'!N77</f>
        <v>8976.5499999999993</v>
      </c>
      <c r="AA77" s="10">
        <f>'A) Base RI'!AO77</f>
        <v>1330</v>
      </c>
    </row>
    <row r="78" spans="1:27" x14ac:dyDescent="0.25">
      <c r="A78" s="8">
        <f>'A) Base RI'!A78</f>
        <v>5515</v>
      </c>
      <c r="B78" s="32" t="str">
        <f>'A) Base RI'!B78</f>
        <v>Bretigny-sur-Morrens</v>
      </c>
      <c r="C78" s="10">
        <f>'A) Base RI'!C78+'A) Base RI'!D78</f>
        <v>2280752.9500000002</v>
      </c>
      <c r="D78" s="10">
        <f>'A) Base RI'!AP78</f>
        <v>-91679.65</v>
      </c>
      <c r="E78" s="398">
        <f>'A) Base RI'!AQ78</f>
        <v>0</v>
      </c>
      <c r="F78" s="398">
        <f>'A) Base RI'!AR78</f>
        <v>-101.26</v>
      </c>
      <c r="G78" s="404">
        <f t="shared" si="6"/>
        <v>2188972.0400000005</v>
      </c>
      <c r="H78" s="10">
        <f>+'A) Base RI'!E78</f>
        <v>0</v>
      </c>
      <c r="I78" s="10">
        <f>+'A) Base RI'!F78</f>
        <v>0</v>
      </c>
      <c r="J78" s="10">
        <f>+'A) Base RI'!G78+'A) Base RI'!H78+'A) Base RI'!X78</f>
        <v>21493.910000000003</v>
      </c>
      <c r="K78" s="10">
        <f>+'A) Base RI'!I78</f>
        <v>0</v>
      </c>
      <c r="L78" s="10">
        <f>+'A) Base RI'!J78</f>
        <v>3763.97</v>
      </c>
      <c r="M78" s="10">
        <f>+'A) Base RI'!K78</f>
        <v>7251.05</v>
      </c>
      <c r="N78" s="10">
        <f>+'A) Base RI'!Q78</f>
        <v>4012.21</v>
      </c>
      <c r="O78" s="10">
        <f t="shared" si="7"/>
        <v>171011.95</v>
      </c>
      <c r="P78" s="10">
        <f>+'A) Base RI'!L78</f>
        <v>171011.95</v>
      </c>
      <c r="Q78" s="412">
        <f>'A) Base RI'!AS78</f>
        <v>1</v>
      </c>
      <c r="R78" s="404">
        <f t="shared" si="8"/>
        <v>2396505.1300000008</v>
      </c>
      <c r="S78" s="457">
        <f>+'A) Base RI'!AN78</f>
        <v>81</v>
      </c>
      <c r="T78" s="404">
        <f t="shared" si="9"/>
        <v>2218242.1300000008</v>
      </c>
      <c r="U78" s="404">
        <f t="shared" si="10"/>
        <v>29586.483086419765</v>
      </c>
      <c r="V78" s="10">
        <f>+'A) Base RI'!O78</f>
        <v>31652.9</v>
      </c>
      <c r="W78" s="10">
        <f>+'A) Base RI'!P78</f>
        <v>135711.4</v>
      </c>
      <c r="X78" s="10">
        <f>+'A) Base RI'!R78</f>
        <v>67994.25</v>
      </c>
      <c r="Y78" s="404">
        <f t="shared" si="11"/>
        <v>235358.55</v>
      </c>
      <c r="Z78" s="10">
        <f>+'A) Base RI'!N78</f>
        <v>3757.1</v>
      </c>
      <c r="AA78" s="10">
        <f>'A) Base RI'!AO78</f>
        <v>859</v>
      </c>
    </row>
    <row r="79" spans="1:27" x14ac:dyDescent="0.25">
      <c r="A79" s="8">
        <f>'A) Base RI'!A79</f>
        <v>5516</v>
      </c>
      <c r="B79" s="32" t="str">
        <f>'A) Base RI'!B79</f>
        <v>Cugy</v>
      </c>
      <c r="C79" s="10">
        <f>'A) Base RI'!C79+'A) Base RI'!D79</f>
        <v>7485566.1400000006</v>
      </c>
      <c r="D79" s="10">
        <f>'A) Base RI'!AP79</f>
        <v>-170665.98</v>
      </c>
      <c r="E79" s="398">
        <f>'A) Base RI'!AQ79</f>
        <v>0</v>
      </c>
      <c r="F79" s="398">
        <f>'A) Base RI'!AR79</f>
        <v>-3540.71</v>
      </c>
      <c r="G79" s="404">
        <f t="shared" si="6"/>
        <v>7311359.4500000002</v>
      </c>
      <c r="H79" s="10">
        <f>+'A) Base RI'!E79</f>
        <v>0</v>
      </c>
      <c r="I79" s="10">
        <f>+'A) Base RI'!F79</f>
        <v>0</v>
      </c>
      <c r="J79" s="10">
        <f>+'A) Base RI'!G79+'A) Base RI'!H79+'A) Base RI'!X79</f>
        <v>176383.74</v>
      </c>
      <c r="K79" s="10">
        <f>+'A) Base RI'!I79</f>
        <v>0</v>
      </c>
      <c r="L79" s="10">
        <f>+'A) Base RI'!J79</f>
        <v>128686.25</v>
      </c>
      <c r="M79" s="10">
        <f>+'A) Base RI'!K79</f>
        <v>47147.6</v>
      </c>
      <c r="N79" s="10">
        <f>+'A) Base RI'!Q79</f>
        <v>108801.53</v>
      </c>
      <c r="O79" s="10">
        <f t="shared" si="7"/>
        <v>578477.95833333337</v>
      </c>
      <c r="P79" s="10">
        <f>+'A) Base RI'!L79</f>
        <v>694173.55</v>
      </c>
      <c r="Q79" s="412">
        <f>'A) Base RI'!AS79</f>
        <v>1.2</v>
      </c>
      <c r="R79" s="404">
        <f t="shared" si="8"/>
        <v>8350856.5283333333</v>
      </c>
      <c r="S79" s="457">
        <f>+'A) Base RI'!AN79</f>
        <v>78</v>
      </c>
      <c r="T79" s="404">
        <f t="shared" si="9"/>
        <v>7725230.9700000007</v>
      </c>
      <c r="U79" s="404">
        <f t="shared" si="10"/>
        <v>107062.26318376069</v>
      </c>
      <c r="V79" s="10">
        <f>+'A) Base RI'!O79</f>
        <v>103666.8</v>
      </c>
      <c r="W79" s="10">
        <f>+'A) Base RI'!P79</f>
        <v>359177.05</v>
      </c>
      <c r="X79" s="10">
        <f>+'A) Base RI'!R79</f>
        <v>251205.65</v>
      </c>
      <c r="Y79" s="404">
        <f t="shared" si="11"/>
        <v>714049.5</v>
      </c>
      <c r="Z79" s="10">
        <f>+'A) Base RI'!N79</f>
        <v>99596.35</v>
      </c>
      <c r="AA79" s="10">
        <f>'A) Base RI'!AO79</f>
        <v>2760</v>
      </c>
    </row>
    <row r="80" spans="1:27" x14ac:dyDescent="0.25">
      <c r="A80" s="8">
        <f>'A) Base RI'!A80</f>
        <v>5518</v>
      </c>
      <c r="B80" s="32" t="str">
        <f>'A) Base RI'!B80</f>
        <v>Echallens</v>
      </c>
      <c r="C80" s="10">
        <f>'A) Base RI'!C80+'A) Base RI'!D80</f>
        <v>11279720.060000001</v>
      </c>
      <c r="D80" s="10">
        <f>'A) Base RI'!AP80</f>
        <v>-277762.42</v>
      </c>
      <c r="E80" s="398">
        <f>'A) Base RI'!AQ80</f>
        <v>0</v>
      </c>
      <c r="F80" s="398">
        <f>'A) Base RI'!AR80</f>
        <v>-4213.5200000000004</v>
      </c>
      <c r="G80" s="404">
        <f t="shared" si="6"/>
        <v>10997744.120000001</v>
      </c>
      <c r="H80" s="10">
        <f>+'A) Base RI'!E80</f>
        <v>0</v>
      </c>
      <c r="I80" s="10">
        <f>+'A) Base RI'!F80</f>
        <v>0</v>
      </c>
      <c r="J80" s="10">
        <f>+'A) Base RI'!G80+'A) Base RI'!H80+'A) Base RI'!X80</f>
        <v>577090.43000000005</v>
      </c>
      <c r="K80" s="10">
        <f>+'A) Base RI'!I80</f>
        <v>0</v>
      </c>
      <c r="L80" s="10">
        <f>+'A) Base RI'!J80</f>
        <v>170429.47</v>
      </c>
      <c r="M80" s="10">
        <f>+'A) Base RI'!K80</f>
        <v>40923.449999999997</v>
      </c>
      <c r="N80" s="10">
        <f>+'A) Base RI'!Q80</f>
        <v>84559.98</v>
      </c>
      <c r="O80" s="10">
        <f t="shared" si="7"/>
        <v>1089067.8500000001</v>
      </c>
      <c r="P80" s="10">
        <f>+'A) Base RI'!L80</f>
        <v>1089067.8500000001</v>
      </c>
      <c r="Q80" s="412">
        <f>'A) Base RI'!AS80</f>
        <v>1</v>
      </c>
      <c r="R80" s="404">
        <f t="shared" si="8"/>
        <v>12959815.300000001</v>
      </c>
      <c r="S80" s="457">
        <f>+'A) Base RI'!AN80</f>
        <v>72.5</v>
      </c>
      <c r="T80" s="404">
        <f t="shared" si="9"/>
        <v>11829824.000000002</v>
      </c>
      <c r="U80" s="404">
        <f t="shared" si="10"/>
        <v>178756.07310344829</v>
      </c>
      <c r="V80" s="10">
        <f>+'A) Base RI'!O80</f>
        <v>407956.4</v>
      </c>
      <c r="W80" s="10">
        <f>+'A) Base RI'!P80</f>
        <v>366859.35</v>
      </c>
      <c r="X80" s="10">
        <f>+'A) Base RI'!R80</f>
        <v>347212</v>
      </c>
      <c r="Y80" s="404">
        <f t="shared" si="11"/>
        <v>1122027.75</v>
      </c>
      <c r="Z80" s="10">
        <f>+'A) Base RI'!N80</f>
        <v>164060.75</v>
      </c>
      <c r="AA80" s="10">
        <f>'A) Base RI'!AO80</f>
        <v>5731</v>
      </c>
    </row>
    <row r="81" spans="1:27" x14ac:dyDescent="0.25">
      <c r="A81" s="8">
        <f>'A) Base RI'!A81</f>
        <v>5520</v>
      </c>
      <c r="B81" s="32" t="str">
        <f>'A) Base RI'!B81</f>
        <v>Essertines-sur-Yverdon</v>
      </c>
      <c r="C81" s="10">
        <f>'A) Base RI'!C81+'A) Base RI'!D81</f>
        <v>1930802.9100000001</v>
      </c>
      <c r="D81" s="10">
        <f>'A) Base RI'!AP81</f>
        <v>-54423.63</v>
      </c>
      <c r="E81" s="398">
        <f>'A) Base RI'!AQ81</f>
        <v>0</v>
      </c>
      <c r="F81" s="398">
        <f>'A) Base RI'!AR81</f>
        <v>-470.39</v>
      </c>
      <c r="G81" s="404">
        <f t="shared" si="6"/>
        <v>1875908.8900000004</v>
      </c>
      <c r="H81" s="10">
        <f>+'A) Base RI'!E81</f>
        <v>0</v>
      </c>
      <c r="I81" s="10">
        <f>+'A) Base RI'!F81</f>
        <v>0</v>
      </c>
      <c r="J81" s="10">
        <f>+'A) Base RI'!G81+'A) Base RI'!H81+'A) Base RI'!X81</f>
        <v>60894.820000000007</v>
      </c>
      <c r="K81" s="10">
        <f>+'A) Base RI'!I81</f>
        <v>0</v>
      </c>
      <c r="L81" s="10">
        <f>+'A) Base RI'!J81</f>
        <v>35273.17</v>
      </c>
      <c r="M81" s="10">
        <f>+'A) Base RI'!K81</f>
        <v>-1251.3499999999999</v>
      </c>
      <c r="N81" s="10">
        <f>+'A) Base RI'!Q81</f>
        <v>4373.26</v>
      </c>
      <c r="O81" s="10">
        <f t="shared" si="7"/>
        <v>195369.1</v>
      </c>
      <c r="P81" s="10">
        <f>+'A) Base RI'!L81</f>
        <v>195369.1</v>
      </c>
      <c r="Q81" s="412">
        <f>'A) Base RI'!AS81</f>
        <v>1</v>
      </c>
      <c r="R81" s="404">
        <f t="shared" si="8"/>
        <v>2170567.89</v>
      </c>
      <c r="S81" s="457">
        <f>+'A) Base RI'!AN81</f>
        <v>73</v>
      </c>
      <c r="T81" s="404">
        <f t="shared" si="9"/>
        <v>1976450.1400000004</v>
      </c>
      <c r="U81" s="404">
        <f t="shared" si="10"/>
        <v>29733.806712328769</v>
      </c>
      <c r="V81" s="10">
        <f>+'A) Base RI'!O81</f>
        <v>3292.4</v>
      </c>
      <c r="W81" s="10">
        <f>+'A) Base RI'!P81</f>
        <v>140042.95000000001</v>
      </c>
      <c r="X81" s="10">
        <f>+'A) Base RI'!R81</f>
        <v>117468.55</v>
      </c>
      <c r="Y81" s="404">
        <f t="shared" si="11"/>
        <v>260803.90000000002</v>
      </c>
      <c r="Z81" s="10">
        <f>+'A) Base RI'!N81</f>
        <v>5690.95</v>
      </c>
      <c r="AA81" s="10">
        <f>'A) Base RI'!AO81</f>
        <v>1036</v>
      </c>
    </row>
    <row r="82" spans="1:27" x14ac:dyDescent="0.25">
      <c r="A82" s="8">
        <f>'A) Base RI'!A82</f>
        <v>5521</v>
      </c>
      <c r="B82" s="32" t="str">
        <f>'A) Base RI'!B82</f>
        <v>Etagnières</v>
      </c>
      <c r="C82" s="10">
        <f>'A) Base RI'!C82+'A) Base RI'!D82</f>
        <v>2859037.3899999997</v>
      </c>
      <c r="D82" s="10">
        <f>'A) Base RI'!AP82</f>
        <v>-44244.07</v>
      </c>
      <c r="E82" s="398">
        <f>'A) Base RI'!AQ82</f>
        <v>0</v>
      </c>
      <c r="F82" s="398">
        <f>'A) Base RI'!AR82</f>
        <v>-1055.0899999999999</v>
      </c>
      <c r="G82" s="404">
        <f t="shared" si="6"/>
        <v>2813738.23</v>
      </c>
      <c r="H82" s="10">
        <f>+'A) Base RI'!E82</f>
        <v>0</v>
      </c>
      <c r="I82" s="10">
        <f>+'A) Base RI'!F82</f>
        <v>0</v>
      </c>
      <c r="J82" s="10">
        <f>+'A) Base RI'!G82+'A) Base RI'!H82+'A) Base RI'!X82</f>
        <v>256938.55</v>
      </c>
      <c r="K82" s="10">
        <f>+'A) Base RI'!I82</f>
        <v>0</v>
      </c>
      <c r="L82" s="10">
        <f>+'A) Base RI'!J82</f>
        <v>60459.64</v>
      </c>
      <c r="M82" s="10">
        <f>+'A) Base RI'!K82</f>
        <v>18552.5</v>
      </c>
      <c r="N82" s="10">
        <f>+'A) Base RI'!Q82</f>
        <v>4949.3500000000004</v>
      </c>
      <c r="O82" s="10">
        <f t="shared" si="7"/>
        <v>261565.7</v>
      </c>
      <c r="P82" s="10">
        <f>+'A) Base RI'!L82</f>
        <v>261565.7</v>
      </c>
      <c r="Q82" s="412">
        <f>'A) Base RI'!AS82</f>
        <v>1</v>
      </c>
      <c r="R82" s="404">
        <f t="shared" si="8"/>
        <v>3416203.97</v>
      </c>
      <c r="S82" s="457">
        <f>+'A) Base RI'!AN82</f>
        <v>73</v>
      </c>
      <c r="T82" s="404">
        <f t="shared" si="9"/>
        <v>3136085.77</v>
      </c>
      <c r="U82" s="404">
        <f t="shared" si="10"/>
        <v>46797.314657534247</v>
      </c>
      <c r="V82" s="10">
        <f>+'A) Base RI'!O82</f>
        <v>0</v>
      </c>
      <c r="W82" s="10">
        <f>+'A) Base RI'!P82</f>
        <v>105834.45</v>
      </c>
      <c r="X82" s="10">
        <f>+'A) Base RI'!R82</f>
        <v>67499.75</v>
      </c>
      <c r="Y82" s="404">
        <f t="shared" si="11"/>
        <v>173334.2</v>
      </c>
      <c r="Z82" s="10">
        <f>+'A) Base RI'!N82</f>
        <v>27188</v>
      </c>
      <c r="AA82" s="10">
        <f>'A) Base RI'!AO82</f>
        <v>1148</v>
      </c>
    </row>
    <row r="83" spans="1:27" x14ac:dyDescent="0.25">
      <c r="A83" s="8">
        <f>'A) Base RI'!A83</f>
        <v>5522</v>
      </c>
      <c r="B83" s="32" t="str">
        <f>'A) Base RI'!B83</f>
        <v>Fey</v>
      </c>
      <c r="C83" s="10">
        <f>'A) Base RI'!C83+'A) Base RI'!D83</f>
        <v>1616885.14</v>
      </c>
      <c r="D83" s="10">
        <f>'A) Base RI'!AP83</f>
        <v>-4594.8</v>
      </c>
      <c r="E83" s="398">
        <f>'A) Base RI'!AQ83</f>
        <v>0</v>
      </c>
      <c r="F83" s="398">
        <f>'A) Base RI'!AR83</f>
        <v>-99.51</v>
      </c>
      <c r="G83" s="404">
        <f t="shared" si="6"/>
        <v>1612190.8299999998</v>
      </c>
      <c r="H83" s="10">
        <f>+'A) Base RI'!E83</f>
        <v>0</v>
      </c>
      <c r="I83" s="10">
        <f>+'A) Base RI'!F83</f>
        <v>0</v>
      </c>
      <c r="J83" s="10">
        <f>+'A) Base RI'!G83+'A) Base RI'!H83+'A) Base RI'!X83</f>
        <v>5362.59</v>
      </c>
      <c r="K83" s="10">
        <f>+'A) Base RI'!I83</f>
        <v>0</v>
      </c>
      <c r="L83" s="10">
        <f>+'A) Base RI'!J83</f>
        <v>13099.29</v>
      </c>
      <c r="M83" s="10">
        <f>+'A) Base RI'!K83</f>
        <v>2912.9</v>
      </c>
      <c r="N83" s="10">
        <f>+'A) Base RI'!Q83</f>
        <v>7370.48</v>
      </c>
      <c r="O83" s="10">
        <f t="shared" si="7"/>
        <v>138584.48000000001</v>
      </c>
      <c r="P83" s="10">
        <f>+'A) Base RI'!L83</f>
        <v>138584.48000000001</v>
      </c>
      <c r="Q83" s="412">
        <f>'A) Base RI'!AS83</f>
        <v>1</v>
      </c>
      <c r="R83" s="404">
        <f t="shared" si="8"/>
        <v>1779520.5699999998</v>
      </c>
      <c r="S83" s="457">
        <f>+'A) Base RI'!AN83</f>
        <v>75</v>
      </c>
      <c r="T83" s="404">
        <f t="shared" si="9"/>
        <v>1638023.19</v>
      </c>
      <c r="U83" s="404">
        <f t="shared" si="10"/>
        <v>23726.940933333331</v>
      </c>
      <c r="V83" s="10">
        <f>+'A) Base RI'!O83</f>
        <v>0</v>
      </c>
      <c r="W83" s="10">
        <f>+'A) Base RI'!P83</f>
        <v>41181.75</v>
      </c>
      <c r="X83" s="10">
        <f>+'A) Base RI'!R83</f>
        <v>5523.45</v>
      </c>
      <c r="Y83" s="404">
        <f t="shared" si="11"/>
        <v>46705.2</v>
      </c>
      <c r="Z83" s="10">
        <f>+'A) Base RI'!N83</f>
        <v>15179</v>
      </c>
      <c r="AA83" s="10">
        <f>'A) Base RI'!AO83</f>
        <v>749</v>
      </c>
    </row>
    <row r="84" spans="1:27" x14ac:dyDescent="0.25">
      <c r="A84" s="8">
        <f>'A) Base RI'!A84</f>
        <v>5523</v>
      </c>
      <c r="B84" s="32" t="str">
        <f>'A) Base RI'!B84</f>
        <v>Froideville</v>
      </c>
      <c r="C84" s="10">
        <f>'A) Base RI'!C84+'A) Base RI'!D84</f>
        <v>5611757.4500000002</v>
      </c>
      <c r="D84" s="10">
        <f>'A) Base RI'!AP84</f>
        <v>-69486.94</v>
      </c>
      <c r="E84" s="398">
        <f>'A) Base RI'!AQ84</f>
        <v>0</v>
      </c>
      <c r="F84" s="398">
        <f>'A) Base RI'!AR84</f>
        <v>-970.39</v>
      </c>
      <c r="G84" s="404">
        <f t="shared" si="6"/>
        <v>5541300.1200000001</v>
      </c>
      <c r="H84" s="10">
        <f>+'A) Base RI'!E84</f>
        <v>0</v>
      </c>
      <c r="I84" s="10">
        <f>+'A) Base RI'!F84</f>
        <v>15230</v>
      </c>
      <c r="J84" s="10">
        <f>+'A) Base RI'!G84+'A) Base RI'!H84+'A) Base RI'!X84</f>
        <v>40745.009999999995</v>
      </c>
      <c r="K84" s="10">
        <f>+'A) Base RI'!I84</f>
        <v>-54197.1</v>
      </c>
      <c r="L84" s="10">
        <f>+'A) Base RI'!J84</f>
        <v>97209.85</v>
      </c>
      <c r="M84" s="10">
        <f>+'A) Base RI'!K84</f>
        <v>16486.45</v>
      </c>
      <c r="N84" s="10">
        <f>+'A) Base RI'!Q84</f>
        <v>16967.64</v>
      </c>
      <c r="O84" s="10">
        <f t="shared" si="7"/>
        <v>508815</v>
      </c>
      <c r="P84" s="10">
        <f>+'A) Base RI'!L84</f>
        <v>636018.75</v>
      </c>
      <c r="Q84" s="412">
        <f>'A) Base RI'!AS84</f>
        <v>1.25</v>
      </c>
      <c r="R84" s="404">
        <f t="shared" si="8"/>
        <v>6182556.9699999997</v>
      </c>
      <c r="S84" s="457">
        <f>+'A) Base RI'!AN84</f>
        <v>72</v>
      </c>
      <c r="T84" s="404">
        <f t="shared" si="9"/>
        <v>5642025.5199999996</v>
      </c>
      <c r="U84" s="404">
        <f t="shared" si="10"/>
        <v>85868.846805555557</v>
      </c>
      <c r="V84" s="10">
        <f>+'A) Base RI'!O84</f>
        <v>0</v>
      </c>
      <c r="W84" s="10">
        <f>+'A) Base RI'!P84</f>
        <v>157526.39999999999</v>
      </c>
      <c r="X84" s="10">
        <f>+'A) Base RI'!R84</f>
        <v>119698.55</v>
      </c>
      <c r="Y84" s="404">
        <f t="shared" si="11"/>
        <v>277224.95</v>
      </c>
      <c r="Z84" s="10">
        <f>+'A) Base RI'!N84</f>
        <v>10619.3</v>
      </c>
      <c r="AA84" s="10">
        <f>'A) Base RI'!AO84</f>
        <v>2694</v>
      </c>
    </row>
    <row r="85" spans="1:27" x14ac:dyDescent="0.25">
      <c r="A85" s="8">
        <f>'A) Base RI'!A85</f>
        <v>5527</v>
      </c>
      <c r="B85" s="32" t="str">
        <f>'A) Base RI'!B85</f>
        <v>Morrens</v>
      </c>
      <c r="C85" s="10">
        <f>'A) Base RI'!C85+'A) Base RI'!D85</f>
        <v>2736679.51</v>
      </c>
      <c r="D85" s="10">
        <f>'A) Base RI'!AP85</f>
        <v>-30067.71</v>
      </c>
      <c r="E85" s="398">
        <f>'A) Base RI'!AQ85</f>
        <v>0</v>
      </c>
      <c r="F85" s="398">
        <f>'A) Base RI'!AR85</f>
        <v>-82.51</v>
      </c>
      <c r="G85" s="404">
        <f t="shared" si="6"/>
        <v>2706529.29</v>
      </c>
      <c r="H85" s="10">
        <f>+'A) Base RI'!E85</f>
        <v>0</v>
      </c>
      <c r="I85" s="10">
        <f>+'A) Base RI'!F85</f>
        <v>0</v>
      </c>
      <c r="J85" s="10">
        <f>+'A) Base RI'!G85+'A) Base RI'!H85+'A) Base RI'!X85</f>
        <v>7689.39</v>
      </c>
      <c r="K85" s="10">
        <f>+'A) Base RI'!I85</f>
        <v>0</v>
      </c>
      <c r="L85" s="10">
        <f>+'A) Base RI'!J85</f>
        <v>36272.03</v>
      </c>
      <c r="M85" s="10">
        <f>+'A) Base RI'!K85</f>
        <v>202.75</v>
      </c>
      <c r="N85" s="10">
        <f>+'A) Base RI'!Q85</f>
        <v>10734.48</v>
      </c>
      <c r="O85" s="10">
        <f t="shared" si="7"/>
        <v>240323.20000000001</v>
      </c>
      <c r="P85" s="10">
        <f>+'A) Base RI'!L85</f>
        <v>240323.20000000001</v>
      </c>
      <c r="Q85" s="412">
        <f>'A) Base RI'!AS85</f>
        <v>1</v>
      </c>
      <c r="R85" s="404">
        <f t="shared" si="8"/>
        <v>3001751.14</v>
      </c>
      <c r="S85" s="457">
        <f>+'A) Base RI'!AN85</f>
        <v>74</v>
      </c>
      <c r="T85" s="404">
        <f t="shared" si="9"/>
        <v>2761225.19</v>
      </c>
      <c r="U85" s="404">
        <f t="shared" si="10"/>
        <v>40564.204594594594</v>
      </c>
      <c r="V85" s="10">
        <f>+'A) Base RI'!O85</f>
        <v>0</v>
      </c>
      <c r="W85" s="10">
        <f>+'A) Base RI'!P85</f>
        <v>104802.4</v>
      </c>
      <c r="X85" s="10">
        <f>+'A) Base RI'!R85</f>
        <v>52459.55</v>
      </c>
      <c r="Y85" s="404">
        <f t="shared" si="11"/>
        <v>157261.95000000001</v>
      </c>
      <c r="Z85" s="10">
        <f>+'A) Base RI'!N85</f>
        <v>9803.75</v>
      </c>
      <c r="AA85" s="10">
        <f>'A) Base RI'!AO85</f>
        <v>1153</v>
      </c>
    </row>
    <row r="86" spans="1:27" x14ac:dyDescent="0.25">
      <c r="A86" s="8">
        <f>'A) Base RI'!A86</f>
        <v>5529</v>
      </c>
      <c r="B86" s="32" t="str">
        <f>'A) Base RI'!B86</f>
        <v>Oulens-sous-Echallens</v>
      </c>
      <c r="C86" s="10">
        <f>'A) Base RI'!C86+'A) Base RI'!D86</f>
        <v>1276187.27</v>
      </c>
      <c r="D86" s="10">
        <f>'A) Base RI'!AP86</f>
        <v>-16246.58</v>
      </c>
      <c r="E86" s="398">
        <f>'A) Base RI'!AQ86</f>
        <v>0</v>
      </c>
      <c r="F86" s="398">
        <f>'A) Base RI'!AR86</f>
        <v>-150.33000000000001</v>
      </c>
      <c r="G86" s="404">
        <f t="shared" si="6"/>
        <v>1259790.3599999999</v>
      </c>
      <c r="H86" s="10">
        <f>+'A) Base RI'!E86</f>
        <v>0</v>
      </c>
      <c r="I86" s="10">
        <f>+'A) Base RI'!F86</f>
        <v>0</v>
      </c>
      <c r="J86" s="10">
        <f>+'A) Base RI'!G86+'A) Base RI'!H86+'A) Base RI'!X86</f>
        <v>13514.68</v>
      </c>
      <c r="K86" s="10">
        <f>+'A) Base RI'!I86</f>
        <v>0</v>
      </c>
      <c r="L86" s="10">
        <f>+'A) Base RI'!J86</f>
        <v>17460.79</v>
      </c>
      <c r="M86" s="10">
        <f>+'A) Base RI'!K86</f>
        <v>2922.75</v>
      </c>
      <c r="N86" s="10">
        <f>+'A) Base RI'!Q86</f>
        <v>0</v>
      </c>
      <c r="O86" s="10">
        <f t="shared" si="7"/>
        <v>120398.6</v>
      </c>
      <c r="P86" s="10">
        <f>+'A) Base RI'!L86</f>
        <v>120398.6</v>
      </c>
      <c r="Q86" s="412">
        <f>'A) Base RI'!AS86</f>
        <v>1</v>
      </c>
      <c r="R86" s="404">
        <f t="shared" si="8"/>
        <v>1414087.18</v>
      </c>
      <c r="S86" s="457">
        <f>+'A) Base RI'!AN86</f>
        <v>70</v>
      </c>
      <c r="T86" s="404">
        <f t="shared" si="9"/>
        <v>1290765.8299999998</v>
      </c>
      <c r="U86" s="404">
        <f t="shared" si="10"/>
        <v>20201.245428571427</v>
      </c>
      <c r="V86" s="10">
        <f>+'A) Base RI'!O86</f>
        <v>0</v>
      </c>
      <c r="W86" s="10">
        <f>+'A) Base RI'!P86</f>
        <v>38299.4</v>
      </c>
      <c r="X86" s="10">
        <f>+'A) Base RI'!R86</f>
        <v>4689.6000000000004</v>
      </c>
      <c r="Y86" s="404">
        <f t="shared" si="11"/>
        <v>42989</v>
      </c>
      <c r="Z86" s="10">
        <f>+'A) Base RI'!N86</f>
        <v>1847.9</v>
      </c>
      <c r="AA86" s="10">
        <f>'A) Base RI'!AO86</f>
        <v>618</v>
      </c>
    </row>
    <row r="87" spans="1:27" x14ac:dyDescent="0.25">
      <c r="A87" s="8">
        <f>'A) Base RI'!A87</f>
        <v>5530</v>
      </c>
      <c r="B87" s="32" t="str">
        <f>'A) Base RI'!B87</f>
        <v>Pailly</v>
      </c>
      <c r="C87" s="10">
        <f>'A) Base RI'!C87+'A) Base RI'!D87</f>
        <v>1255364.8599999999</v>
      </c>
      <c r="D87" s="10">
        <f>'A) Base RI'!AP87</f>
        <v>-3293.75</v>
      </c>
      <c r="E87" s="398">
        <f>'A) Base RI'!AQ87</f>
        <v>0</v>
      </c>
      <c r="F87" s="398">
        <f>'A) Base RI'!AR87</f>
        <v>-3.85</v>
      </c>
      <c r="G87" s="404">
        <f t="shared" si="6"/>
        <v>1252067.2599999998</v>
      </c>
      <c r="H87" s="10">
        <f>+'A) Base RI'!E87</f>
        <v>0</v>
      </c>
      <c r="I87" s="10">
        <f>+'A) Base RI'!F87</f>
        <v>0</v>
      </c>
      <c r="J87" s="10">
        <f>+'A) Base RI'!G87+'A) Base RI'!H87+'A) Base RI'!X87</f>
        <v>32058.7</v>
      </c>
      <c r="K87" s="10">
        <f>+'A) Base RI'!I87</f>
        <v>0</v>
      </c>
      <c r="L87" s="10">
        <f>+'A) Base RI'!J87</f>
        <v>808.22</v>
      </c>
      <c r="M87" s="10">
        <f>+'A) Base RI'!K87</f>
        <v>674.5</v>
      </c>
      <c r="N87" s="10">
        <f>+'A) Base RI'!Q87</f>
        <v>0</v>
      </c>
      <c r="O87" s="10">
        <f t="shared" si="7"/>
        <v>105344.04166666667</v>
      </c>
      <c r="P87" s="10">
        <f>+'A) Base RI'!L87</f>
        <v>126412.85</v>
      </c>
      <c r="Q87" s="412">
        <f>'A) Base RI'!AS87</f>
        <v>1.2</v>
      </c>
      <c r="R87" s="404">
        <f t="shared" si="8"/>
        <v>1390952.7216666664</v>
      </c>
      <c r="S87" s="457">
        <f>+'A) Base RI'!AN87</f>
        <v>76</v>
      </c>
      <c r="T87" s="404">
        <f t="shared" si="9"/>
        <v>1284934.1799999997</v>
      </c>
      <c r="U87" s="404">
        <f t="shared" si="10"/>
        <v>18302.009495614031</v>
      </c>
      <c r="V87" s="10">
        <f>+'A) Base RI'!O87</f>
        <v>708.4</v>
      </c>
      <c r="W87" s="10">
        <f>+'A) Base RI'!P87</f>
        <v>13194.15</v>
      </c>
      <c r="X87" s="10">
        <f>+'A) Base RI'!R87</f>
        <v>0</v>
      </c>
      <c r="Y87" s="404">
        <f t="shared" si="11"/>
        <v>13902.55</v>
      </c>
      <c r="Z87" s="10">
        <f>+'A) Base RI'!N87</f>
        <v>18495.150000000001</v>
      </c>
      <c r="AA87" s="10">
        <f>'A) Base RI'!AO87</f>
        <v>567</v>
      </c>
    </row>
    <row r="88" spans="1:27" x14ac:dyDescent="0.25">
      <c r="A88" s="8">
        <f>'A) Base RI'!A88</f>
        <v>5531</v>
      </c>
      <c r="B88" s="32" t="str">
        <f>'A) Base RI'!B88</f>
        <v>Penthéréaz</v>
      </c>
      <c r="C88" s="10">
        <f>'A) Base RI'!C88+'A) Base RI'!D88</f>
        <v>925973.82000000007</v>
      </c>
      <c r="D88" s="10">
        <f>'A) Base RI'!AP88</f>
        <v>-2440.64</v>
      </c>
      <c r="E88" s="398">
        <f>'A) Base RI'!AQ88</f>
        <v>0</v>
      </c>
      <c r="F88" s="398">
        <f>'A) Base RI'!AR88</f>
        <v>-107.79</v>
      </c>
      <c r="G88" s="404">
        <f t="shared" si="6"/>
        <v>923425.39</v>
      </c>
      <c r="H88" s="10">
        <f>+'A) Base RI'!E88</f>
        <v>0</v>
      </c>
      <c r="I88" s="10">
        <f>+'A) Base RI'!F88</f>
        <v>0</v>
      </c>
      <c r="J88" s="10">
        <f>+'A) Base RI'!G88+'A) Base RI'!H88+'A) Base RI'!X88</f>
        <v>10322.77</v>
      </c>
      <c r="K88" s="10">
        <f>+'A) Base RI'!I88</f>
        <v>0</v>
      </c>
      <c r="L88" s="10">
        <f>+'A) Base RI'!J88</f>
        <v>10707.29</v>
      </c>
      <c r="M88" s="10">
        <f>+'A) Base RI'!K88</f>
        <v>-352.25</v>
      </c>
      <c r="N88" s="10">
        <f>+'A) Base RI'!Q88</f>
        <v>2180.14</v>
      </c>
      <c r="O88" s="10">
        <f t="shared" si="7"/>
        <v>78103.3</v>
      </c>
      <c r="P88" s="10">
        <f>+'A) Base RI'!L88</f>
        <v>78103.3</v>
      </c>
      <c r="Q88" s="412">
        <f>'A) Base RI'!AS88</f>
        <v>1</v>
      </c>
      <c r="R88" s="404">
        <f t="shared" si="8"/>
        <v>1024386.6400000001</v>
      </c>
      <c r="S88" s="457">
        <f>+'A) Base RI'!AN88</f>
        <v>74</v>
      </c>
      <c r="T88" s="404">
        <f t="shared" si="9"/>
        <v>946635.59000000008</v>
      </c>
      <c r="U88" s="404">
        <f t="shared" si="10"/>
        <v>13843.062702702704</v>
      </c>
      <c r="V88" s="10">
        <f>+'A) Base RI'!O88</f>
        <v>0</v>
      </c>
      <c r="W88" s="10">
        <f>+'A) Base RI'!P88</f>
        <v>22086.05</v>
      </c>
      <c r="X88" s="10">
        <f>+'A) Base RI'!R88</f>
        <v>22071.25</v>
      </c>
      <c r="Y88" s="404">
        <f t="shared" si="11"/>
        <v>44157.3</v>
      </c>
      <c r="Z88" s="10">
        <f>+'A) Base RI'!N88</f>
        <v>19757.3</v>
      </c>
      <c r="AA88" s="10">
        <f>'A) Base RI'!AO88</f>
        <v>419</v>
      </c>
    </row>
    <row r="89" spans="1:27" x14ac:dyDescent="0.25">
      <c r="A89" s="8">
        <f>'A) Base RI'!A89</f>
        <v>5533</v>
      </c>
      <c r="B89" s="32" t="str">
        <f>'A) Base RI'!B89</f>
        <v>Poliez-Pittet</v>
      </c>
      <c r="C89" s="10">
        <f>'A) Base RI'!C89+'A) Base RI'!D89</f>
        <v>1702220.44</v>
      </c>
      <c r="D89" s="10">
        <f>'A) Base RI'!AP89</f>
        <v>-17655.150000000001</v>
      </c>
      <c r="E89" s="398">
        <f>'A) Base RI'!AQ89</f>
        <v>0</v>
      </c>
      <c r="F89" s="398">
        <f>'A) Base RI'!AR89</f>
        <v>-199.23</v>
      </c>
      <c r="G89" s="404">
        <f t="shared" si="6"/>
        <v>1684366.06</v>
      </c>
      <c r="H89" s="10">
        <f>+'A) Base RI'!E89</f>
        <v>0</v>
      </c>
      <c r="I89" s="10">
        <f>+'A) Base RI'!F89</f>
        <v>0</v>
      </c>
      <c r="J89" s="10">
        <f>+'A) Base RI'!G89+'A) Base RI'!H89+'A) Base RI'!X89</f>
        <v>69061.97</v>
      </c>
      <c r="K89" s="10">
        <f>+'A) Base RI'!I89</f>
        <v>47228.4</v>
      </c>
      <c r="L89" s="10">
        <f>+'A) Base RI'!J89</f>
        <v>30627.98</v>
      </c>
      <c r="M89" s="10">
        <f>+'A) Base RI'!K89</f>
        <v>9054.9</v>
      </c>
      <c r="N89" s="10">
        <f>+'A) Base RI'!Q89</f>
        <v>55.75</v>
      </c>
      <c r="O89" s="10">
        <f t="shared" si="7"/>
        <v>144487.20000000001</v>
      </c>
      <c r="P89" s="10">
        <f>+'A) Base RI'!L89</f>
        <v>144487.20000000001</v>
      </c>
      <c r="Q89" s="412">
        <f>'A) Base RI'!AS89</f>
        <v>1</v>
      </c>
      <c r="R89" s="404">
        <f t="shared" si="8"/>
        <v>1984882.2599999998</v>
      </c>
      <c r="S89" s="457">
        <f>+'A) Base RI'!AN89</f>
        <v>73</v>
      </c>
      <c r="T89" s="404">
        <f t="shared" si="9"/>
        <v>1831340.16</v>
      </c>
      <c r="U89" s="404">
        <f t="shared" si="10"/>
        <v>27190.167945205478</v>
      </c>
      <c r="V89" s="10">
        <f>+'A) Base RI'!O89</f>
        <v>0</v>
      </c>
      <c r="W89" s="10">
        <f>+'A) Base RI'!P89</f>
        <v>51951.35</v>
      </c>
      <c r="X89" s="10">
        <f>+'A) Base RI'!R89</f>
        <v>288547.34999999998</v>
      </c>
      <c r="Y89" s="404">
        <f t="shared" si="11"/>
        <v>340498.69999999995</v>
      </c>
      <c r="Z89" s="10">
        <f>+'A) Base RI'!N89</f>
        <v>752.3</v>
      </c>
      <c r="AA89" s="10">
        <f>'A) Base RI'!AO89</f>
        <v>829</v>
      </c>
    </row>
    <row r="90" spans="1:27" x14ac:dyDescent="0.25">
      <c r="A90" s="8">
        <f>'A) Base RI'!A90</f>
        <v>5534</v>
      </c>
      <c r="B90" s="32" t="str">
        <f>'A) Base RI'!B90</f>
        <v>Rueyres</v>
      </c>
      <c r="C90" s="10">
        <f>'A) Base RI'!C90+'A) Base RI'!D90</f>
        <v>562542.9</v>
      </c>
      <c r="D90" s="10">
        <f>'A) Base RI'!AP90</f>
        <v>-65.14</v>
      </c>
      <c r="E90" s="398">
        <f>'A) Base RI'!AQ90</f>
        <v>0</v>
      </c>
      <c r="F90" s="398">
        <f>'A) Base RI'!AR90</f>
        <v>0</v>
      </c>
      <c r="G90" s="404">
        <f t="shared" si="6"/>
        <v>562477.76</v>
      </c>
      <c r="H90" s="10">
        <f>+'A) Base RI'!E90</f>
        <v>0</v>
      </c>
      <c r="I90" s="10">
        <f>+'A) Base RI'!F90</f>
        <v>0</v>
      </c>
      <c r="J90" s="10">
        <f>+'A) Base RI'!G90+'A) Base RI'!H90+'A) Base RI'!X90</f>
        <v>52730.960000000006</v>
      </c>
      <c r="K90" s="10">
        <f>+'A) Base RI'!I90</f>
        <v>0</v>
      </c>
      <c r="L90" s="10">
        <f>+'A) Base RI'!J90</f>
        <v>17090.21</v>
      </c>
      <c r="M90" s="10">
        <f>+'A) Base RI'!K90</f>
        <v>861</v>
      </c>
      <c r="N90" s="10">
        <f>+'A) Base RI'!Q90</f>
        <v>0</v>
      </c>
      <c r="O90" s="10">
        <f t="shared" si="7"/>
        <v>78980.708333333343</v>
      </c>
      <c r="P90" s="10">
        <f>+'A) Base RI'!L90</f>
        <v>94776.85</v>
      </c>
      <c r="Q90" s="412">
        <f>'A) Base RI'!AS90</f>
        <v>1.2</v>
      </c>
      <c r="R90" s="404">
        <f t="shared" si="8"/>
        <v>712140.63833333331</v>
      </c>
      <c r="S90" s="457">
        <f>+'A) Base RI'!AN90</f>
        <v>73</v>
      </c>
      <c r="T90" s="404">
        <f t="shared" si="9"/>
        <v>632298.92999999993</v>
      </c>
      <c r="U90" s="404">
        <f t="shared" si="10"/>
        <v>9755.351210045661</v>
      </c>
      <c r="V90" s="10">
        <f>+'A) Base RI'!O90</f>
        <v>0</v>
      </c>
      <c r="W90" s="10">
        <f>+'A) Base RI'!P90</f>
        <v>20741.5</v>
      </c>
      <c r="X90" s="10">
        <f>+'A) Base RI'!R90</f>
        <v>13270.8</v>
      </c>
      <c r="Y90" s="404">
        <f t="shared" si="11"/>
        <v>34012.300000000003</v>
      </c>
      <c r="Z90" s="10">
        <f>+'A) Base RI'!N90</f>
        <v>27496.9</v>
      </c>
      <c r="AA90" s="10">
        <f>'A) Base RI'!AO90</f>
        <v>266</v>
      </c>
    </row>
    <row r="91" spans="1:27" x14ac:dyDescent="0.25">
      <c r="A91" s="8">
        <f>'A) Base RI'!A91</f>
        <v>5535</v>
      </c>
      <c r="B91" s="32" t="str">
        <f>'A) Base RI'!B91</f>
        <v>Saint-Barthélemy</v>
      </c>
      <c r="C91" s="10">
        <f>'A) Base RI'!C91+'A) Base RI'!D91</f>
        <v>1572451.91</v>
      </c>
      <c r="D91" s="10">
        <f>'A) Base RI'!AP91</f>
        <v>-31282.47</v>
      </c>
      <c r="E91" s="398">
        <f>'A) Base RI'!AQ91</f>
        <v>0</v>
      </c>
      <c r="F91" s="398">
        <f>'A) Base RI'!AR91</f>
        <v>-59.19</v>
      </c>
      <c r="G91" s="404">
        <f t="shared" si="6"/>
        <v>1541110.25</v>
      </c>
      <c r="H91" s="10">
        <f>+'A) Base RI'!E91</f>
        <v>0</v>
      </c>
      <c r="I91" s="10">
        <f>+'A) Base RI'!F91</f>
        <v>0</v>
      </c>
      <c r="J91" s="10">
        <f>+'A) Base RI'!G91+'A) Base RI'!H91+'A) Base RI'!X91</f>
        <v>-6869.92</v>
      </c>
      <c r="K91" s="10">
        <f>+'A) Base RI'!I91</f>
        <v>0</v>
      </c>
      <c r="L91" s="10">
        <f>+'A) Base RI'!J91</f>
        <v>6266.37</v>
      </c>
      <c r="M91" s="10">
        <f>+'A) Base RI'!K91</f>
        <v>1379.3</v>
      </c>
      <c r="N91" s="10">
        <f>+'A) Base RI'!Q91</f>
        <v>410.86</v>
      </c>
      <c r="O91" s="10">
        <f t="shared" si="7"/>
        <v>144966.9</v>
      </c>
      <c r="P91" s="10">
        <f>+'A) Base RI'!L91</f>
        <v>144966.9</v>
      </c>
      <c r="Q91" s="412">
        <f>'A) Base RI'!AS91</f>
        <v>1</v>
      </c>
      <c r="R91" s="404">
        <f t="shared" si="8"/>
        <v>1687263.7600000002</v>
      </c>
      <c r="S91" s="457">
        <f>+'A) Base RI'!AN91</f>
        <v>75</v>
      </c>
      <c r="T91" s="404">
        <f t="shared" si="9"/>
        <v>1540917.5600000003</v>
      </c>
      <c r="U91" s="404">
        <f t="shared" si="10"/>
        <v>22496.850133333337</v>
      </c>
      <c r="V91" s="10">
        <f>+'A) Base RI'!O91</f>
        <v>0</v>
      </c>
      <c r="W91" s="10">
        <f>+'A) Base RI'!P91</f>
        <v>35709.599999999999</v>
      </c>
      <c r="X91" s="10">
        <f>+'A) Base RI'!R91</f>
        <v>-518.95000000000005</v>
      </c>
      <c r="Y91" s="404">
        <f t="shared" si="11"/>
        <v>35190.65</v>
      </c>
      <c r="Z91" s="10">
        <f>+'A) Base RI'!N91</f>
        <v>44895</v>
      </c>
      <c r="AA91" s="10">
        <f>'A) Base RI'!AO91</f>
        <v>784</v>
      </c>
    </row>
    <row r="92" spans="1:27" x14ac:dyDescent="0.25">
      <c r="A92" s="8">
        <f>'A) Base RI'!A92</f>
        <v>5537</v>
      </c>
      <c r="B92" s="32" t="str">
        <f>'A) Base RI'!B92</f>
        <v>Villars-le-Terroir</v>
      </c>
      <c r="C92" s="10">
        <f>'A) Base RI'!C92+'A) Base RI'!D92</f>
        <v>2535770.9299999997</v>
      </c>
      <c r="D92" s="10">
        <f>'A) Base RI'!AP92</f>
        <v>-31621.53</v>
      </c>
      <c r="E92" s="398">
        <f>'A) Base RI'!AQ92</f>
        <v>0</v>
      </c>
      <c r="F92" s="398">
        <f>'A) Base RI'!AR92</f>
        <v>-158.81</v>
      </c>
      <c r="G92" s="404">
        <f t="shared" si="6"/>
        <v>2503990.59</v>
      </c>
      <c r="H92" s="10">
        <f>+'A) Base RI'!E92</f>
        <v>0</v>
      </c>
      <c r="I92" s="10">
        <f>+'A) Base RI'!F92</f>
        <v>7030</v>
      </c>
      <c r="J92" s="10">
        <f>+'A) Base RI'!G92+'A) Base RI'!H92+'A) Base RI'!X92</f>
        <v>19924.359999999997</v>
      </c>
      <c r="K92" s="10">
        <f>+'A) Base RI'!I92</f>
        <v>0</v>
      </c>
      <c r="L92" s="10">
        <f>+'A) Base RI'!J92</f>
        <v>4792.95</v>
      </c>
      <c r="M92" s="10">
        <f>+'A) Base RI'!K92</f>
        <v>833</v>
      </c>
      <c r="N92" s="10">
        <f>+'A) Base RI'!Q92</f>
        <v>6633.16</v>
      </c>
      <c r="O92" s="10">
        <f t="shared" si="7"/>
        <v>228114.65</v>
      </c>
      <c r="P92" s="10">
        <f>+'A) Base RI'!L92</f>
        <v>228114.65</v>
      </c>
      <c r="Q92" s="412">
        <f>'A) Base RI'!AS92</f>
        <v>1</v>
      </c>
      <c r="R92" s="404">
        <f t="shared" si="8"/>
        <v>2771318.71</v>
      </c>
      <c r="S92" s="457">
        <f>+'A) Base RI'!AN92</f>
        <v>73</v>
      </c>
      <c r="T92" s="404">
        <f t="shared" si="9"/>
        <v>2535341.06</v>
      </c>
      <c r="U92" s="404">
        <f t="shared" si="10"/>
        <v>37963.269999999997</v>
      </c>
      <c r="V92" s="10">
        <f>+'A) Base RI'!O92</f>
        <v>859.2</v>
      </c>
      <c r="W92" s="10">
        <f>+'A) Base RI'!P92</f>
        <v>103590.85</v>
      </c>
      <c r="X92" s="10">
        <f>+'A) Base RI'!R92</f>
        <v>90389.5</v>
      </c>
      <c r="Y92" s="404">
        <f t="shared" si="11"/>
        <v>194839.55</v>
      </c>
      <c r="Z92" s="10">
        <f>+'A) Base RI'!N92</f>
        <v>0</v>
      </c>
      <c r="AA92" s="10">
        <f>'A) Base RI'!AO92</f>
        <v>1281</v>
      </c>
    </row>
    <row r="93" spans="1:27" x14ac:dyDescent="0.25">
      <c r="A93" s="8">
        <f>'A) Base RI'!A93</f>
        <v>5539</v>
      </c>
      <c r="B93" s="32" t="str">
        <f>'A) Base RI'!B93</f>
        <v>Vuarrens</v>
      </c>
      <c r="C93" s="10">
        <f>'A) Base RI'!C93+'A) Base RI'!D93</f>
        <v>2413539.92</v>
      </c>
      <c r="D93" s="10">
        <f>'A) Base RI'!AP93</f>
        <v>-22282.17</v>
      </c>
      <c r="E93" s="398">
        <f>'A) Base RI'!AQ93</f>
        <v>0</v>
      </c>
      <c r="F93" s="398">
        <f>'A) Base RI'!AR93</f>
        <v>-212.45</v>
      </c>
      <c r="G93" s="404">
        <f t="shared" si="6"/>
        <v>2391045.2999999998</v>
      </c>
      <c r="H93" s="10">
        <f>+'A) Base RI'!E93</f>
        <v>0</v>
      </c>
      <c r="I93" s="10">
        <f>+'A) Base RI'!F93</f>
        <v>0</v>
      </c>
      <c r="J93" s="10">
        <f>+'A) Base RI'!G93+'A) Base RI'!H93+'A) Base RI'!X93</f>
        <v>24772.11</v>
      </c>
      <c r="K93" s="10">
        <f>+'A) Base RI'!I93</f>
        <v>0</v>
      </c>
      <c r="L93" s="10">
        <f>+'A) Base RI'!J93</f>
        <v>10580.62</v>
      </c>
      <c r="M93" s="10">
        <f>+'A) Base RI'!K93</f>
        <v>5823.4</v>
      </c>
      <c r="N93" s="10">
        <f>+'A) Base RI'!Q93</f>
        <v>24565.61</v>
      </c>
      <c r="O93" s="10">
        <f t="shared" si="7"/>
        <v>186391.6875</v>
      </c>
      <c r="P93" s="10">
        <f>+'A) Base RI'!L93</f>
        <v>149113.35</v>
      </c>
      <c r="Q93" s="412">
        <f>'A) Base RI'!AS93</f>
        <v>0.8</v>
      </c>
      <c r="R93" s="404">
        <f t="shared" si="8"/>
        <v>2643178.7274999996</v>
      </c>
      <c r="S93" s="457">
        <f>+'A) Base RI'!AN93</f>
        <v>73.5</v>
      </c>
      <c r="T93" s="404">
        <f t="shared" si="9"/>
        <v>2450963.6399999997</v>
      </c>
      <c r="U93" s="404">
        <f t="shared" si="10"/>
        <v>35961.61534013605</v>
      </c>
      <c r="V93" s="10">
        <f>+'A) Base RI'!O93</f>
        <v>129594.6</v>
      </c>
      <c r="W93" s="10">
        <f>+'A) Base RI'!P93</f>
        <v>139946.29999999999</v>
      </c>
      <c r="X93" s="10">
        <f>+'A) Base RI'!R93</f>
        <v>51038.65</v>
      </c>
      <c r="Y93" s="404">
        <f t="shared" si="11"/>
        <v>320579.55000000005</v>
      </c>
      <c r="Z93" s="10">
        <f>+'A) Base RI'!N93</f>
        <v>19878.05</v>
      </c>
      <c r="AA93" s="10">
        <f>'A) Base RI'!AO93</f>
        <v>1060</v>
      </c>
    </row>
    <row r="94" spans="1:27" x14ac:dyDescent="0.25">
      <c r="A94" s="8">
        <f>'A) Base RI'!A94</f>
        <v>5540</v>
      </c>
      <c r="B94" s="32" t="str">
        <f>'A) Base RI'!B94</f>
        <v>Montilliez</v>
      </c>
      <c r="C94" s="10">
        <f>'A) Base RI'!C94+'A) Base RI'!D94</f>
        <v>4300142.17</v>
      </c>
      <c r="D94" s="10">
        <f>'A) Base RI'!AP94</f>
        <v>-69478.42</v>
      </c>
      <c r="E94" s="398">
        <f>'A) Base RI'!AQ94</f>
        <v>0</v>
      </c>
      <c r="F94" s="398">
        <f>'A) Base RI'!AR94</f>
        <v>-751.17</v>
      </c>
      <c r="G94" s="404">
        <f t="shared" si="6"/>
        <v>4229912.58</v>
      </c>
      <c r="H94" s="10">
        <f>+'A) Base RI'!E94</f>
        <v>0</v>
      </c>
      <c r="I94" s="10">
        <f>+'A) Base RI'!F94</f>
        <v>0</v>
      </c>
      <c r="J94" s="10">
        <f>+'A) Base RI'!G94+'A) Base RI'!H94+'A) Base RI'!X94</f>
        <v>149408.07999999999</v>
      </c>
      <c r="K94" s="10">
        <f>+'A) Base RI'!I94</f>
        <v>0</v>
      </c>
      <c r="L94" s="10">
        <f>+'A) Base RI'!J94</f>
        <v>50648.1</v>
      </c>
      <c r="M94" s="10">
        <f>+'A) Base RI'!K94</f>
        <v>13109.85</v>
      </c>
      <c r="N94" s="10">
        <f>+'A) Base RI'!Q94</f>
        <v>9509.91</v>
      </c>
      <c r="O94" s="10">
        <f t="shared" si="7"/>
        <v>351011.25</v>
      </c>
      <c r="P94" s="10">
        <f>+'A) Base RI'!L94</f>
        <v>280809</v>
      </c>
      <c r="Q94" s="412">
        <f>'A) Base RI'!AS94</f>
        <v>0.8</v>
      </c>
      <c r="R94" s="404">
        <f t="shared" si="8"/>
        <v>4803599.7699999996</v>
      </c>
      <c r="S94" s="457">
        <f>+'A) Base RI'!AN94</f>
        <v>72.5</v>
      </c>
      <c r="T94" s="404">
        <f t="shared" si="9"/>
        <v>4439478.67</v>
      </c>
      <c r="U94" s="404">
        <f t="shared" si="10"/>
        <v>66256.548551724132</v>
      </c>
      <c r="V94" s="10">
        <f>+'A) Base RI'!O94</f>
        <v>1159.9000000000001</v>
      </c>
      <c r="W94" s="10">
        <f>+'A) Base RI'!P94</f>
        <v>111431.35</v>
      </c>
      <c r="X94" s="10">
        <f>+'A) Base RI'!R94</f>
        <v>83871.649999999994</v>
      </c>
      <c r="Y94" s="404">
        <f t="shared" si="11"/>
        <v>196462.9</v>
      </c>
      <c r="Z94" s="10">
        <f>+'A) Base RI'!N94</f>
        <v>1260.8499999999999</v>
      </c>
      <c r="AA94" s="10">
        <f>'A) Base RI'!AO94</f>
        <v>1857</v>
      </c>
    </row>
    <row r="95" spans="1:27" x14ac:dyDescent="0.25">
      <c r="A95" s="8">
        <f>'A) Base RI'!A95</f>
        <v>5541</v>
      </c>
      <c r="B95" s="32" t="str">
        <f>'A) Base RI'!B95</f>
        <v>Goumoëns</v>
      </c>
      <c r="C95" s="10">
        <f>'A) Base RI'!C95+'A) Base RI'!D95</f>
        <v>2541351.1</v>
      </c>
      <c r="D95" s="10">
        <f>'A) Base RI'!AP95</f>
        <v>-62440.43</v>
      </c>
      <c r="E95" s="398">
        <f>'A) Base RI'!AQ95</f>
        <v>0</v>
      </c>
      <c r="F95" s="398">
        <f>'A) Base RI'!AR95</f>
        <v>-27.51</v>
      </c>
      <c r="G95" s="404">
        <f t="shared" si="6"/>
        <v>2478883.16</v>
      </c>
      <c r="H95" s="10">
        <f>+'A) Base RI'!E95</f>
        <v>0</v>
      </c>
      <c r="I95" s="10">
        <f>+'A) Base RI'!F95</f>
        <v>0</v>
      </c>
      <c r="J95" s="10">
        <f>+'A) Base RI'!G95+'A) Base RI'!H95+'A) Base RI'!X95</f>
        <v>92018.76</v>
      </c>
      <c r="K95" s="10">
        <f>+'A) Base RI'!I95</f>
        <v>0</v>
      </c>
      <c r="L95" s="10">
        <f>+'A) Base RI'!J95</f>
        <v>11363.73</v>
      </c>
      <c r="M95" s="10">
        <f>+'A) Base RI'!K95</f>
        <v>1456.65</v>
      </c>
      <c r="N95" s="10">
        <f>+'A) Base RI'!Q95</f>
        <v>0</v>
      </c>
      <c r="O95" s="10">
        <f t="shared" si="7"/>
        <v>209672.85</v>
      </c>
      <c r="P95" s="10">
        <f>+'A) Base RI'!L95</f>
        <v>209672.85</v>
      </c>
      <c r="Q95" s="412">
        <f>'A) Base RI'!AS95</f>
        <v>1</v>
      </c>
      <c r="R95" s="404">
        <f t="shared" si="8"/>
        <v>2793395.15</v>
      </c>
      <c r="S95" s="457">
        <f>+'A) Base RI'!AN95</f>
        <v>75.5</v>
      </c>
      <c r="T95" s="404">
        <f t="shared" si="9"/>
        <v>2582265.65</v>
      </c>
      <c r="U95" s="404">
        <f t="shared" si="10"/>
        <v>36998.611258278142</v>
      </c>
      <c r="V95" s="10">
        <f>+'A) Base RI'!O95</f>
        <v>109740.5</v>
      </c>
      <c r="W95" s="10">
        <f>+'A) Base RI'!P95</f>
        <v>98100.45</v>
      </c>
      <c r="X95" s="10">
        <f>+'A) Base RI'!R95</f>
        <v>46579.8</v>
      </c>
      <c r="Y95" s="404">
        <f t="shared" si="11"/>
        <v>254420.75</v>
      </c>
      <c r="Z95" s="10">
        <f>+'A) Base RI'!N95</f>
        <v>9196.2999999999993</v>
      </c>
      <c r="AA95" s="10">
        <f>'A) Base RI'!AO95</f>
        <v>1153</v>
      </c>
    </row>
    <row r="96" spans="1:27" x14ac:dyDescent="0.25">
      <c r="A96" s="8">
        <f>'A) Base RI'!A96</f>
        <v>5551</v>
      </c>
      <c r="B96" s="32" t="str">
        <f>'A) Base RI'!B96</f>
        <v>Bonvillars</v>
      </c>
      <c r="C96" s="10">
        <f>'A) Base RI'!C96+'A) Base RI'!D96</f>
        <v>920815.72</v>
      </c>
      <c r="D96" s="10">
        <f>'A) Base RI'!AP96</f>
        <v>-5687.44</v>
      </c>
      <c r="E96" s="398">
        <f>'A) Base RI'!AQ96</f>
        <v>0</v>
      </c>
      <c r="F96" s="398">
        <f>'A) Base RI'!AR96</f>
        <v>-1849.91</v>
      </c>
      <c r="G96" s="404">
        <f t="shared" si="6"/>
        <v>913278.37</v>
      </c>
      <c r="H96" s="10">
        <f>+'A) Base RI'!E96</f>
        <v>0</v>
      </c>
      <c r="I96" s="10">
        <f>+'A) Base RI'!F96</f>
        <v>0</v>
      </c>
      <c r="J96" s="10">
        <f>+'A) Base RI'!G96+'A) Base RI'!H96+'A) Base RI'!X96</f>
        <v>12258.830000000002</v>
      </c>
      <c r="K96" s="10">
        <f>+'A) Base RI'!I96</f>
        <v>0</v>
      </c>
      <c r="L96" s="10">
        <f>+'A) Base RI'!J96</f>
        <v>-2026.29</v>
      </c>
      <c r="M96" s="10">
        <f>+'A) Base RI'!K96</f>
        <v>16988.400000000001</v>
      </c>
      <c r="N96" s="10">
        <f>+'A) Base RI'!Q96</f>
        <v>0</v>
      </c>
      <c r="O96" s="10">
        <f t="shared" si="7"/>
        <v>113115.6</v>
      </c>
      <c r="P96" s="10">
        <f>+'A) Base RI'!L96</f>
        <v>113115.6</v>
      </c>
      <c r="Q96" s="412">
        <f>'A) Base RI'!AS96</f>
        <v>1</v>
      </c>
      <c r="R96" s="404">
        <f t="shared" si="8"/>
        <v>1053614.9099999999</v>
      </c>
      <c r="S96" s="457">
        <f>+'A) Base RI'!AN96</f>
        <v>55</v>
      </c>
      <c r="T96" s="404">
        <f t="shared" si="9"/>
        <v>923510.90999999992</v>
      </c>
      <c r="U96" s="404">
        <f t="shared" si="10"/>
        <v>19156.634727272725</v>
      </c>
      <c r="V96" s="10">
        <f>+'A) Base RI'!O96</f>
        <v>120.5</v>
      </c>
      <c r="W96" s="10">
        <f>+'A) Base RI'!P96</f>
        <v>15785</v>
      </c>
      <c r="X96" s="10">
        <f>+'A) Base RI'!R96</f>
        <v>15577.45</v>
      </c>
      <c r="Y96" s="404">
        <f t="shared" si="11"/>
        <v>31482.95</v>
      </c>
      <c r="Z96" s="10">
        <f>+'A) Base RI'!N96</f>
        <v>30909.3</v>
      </c>
      <c r="AA96" s="10">
        <f>'A) Base RI'!AO96</f>
        <v>489</v>
      </c>
    </row>
    <row r="97" spans="1:27" x14ac:dyDescent="0.25">
      <c r="A97" s="8">
        <f>'A) Base RI'!A97</f>
        <v>5552</v>
      </c>
      <c r="B97" s="32" t="str">
        <f>'A) Base RI'!B97</f>
        <v>Bullet</v>
      </c>
      <c r="C97" s="10">
        <f>'A) Base RI'!C97+'A) Base RI'!D97</f>
        <v>1127340.1499999999</v>
      </c>
      <c r="D97" s="10">
        <f>'A) Base RI'!AP97</f>
        <v>-6720.92</v>
      </c>
      <c r="E97" s="398">
        <f>'A) Base RI'!AQ97</f>
        <v>0</v>
      </c>
      <c r="F97" s="398">
        <f>'A) Base RI'!AR97</f>
        <v>-365.96</v>
      </c>
      <c r="G97" s="404">
        <f t="shared" si="6"/>
        <v>1120253.27</v>
      </c>
      <c r="H97" s="10">
        <f>+'A) Base RI'!E97</f>
        <v>0</v>
      </c>
      <c r="I97" s="10">
        <f>+'A) Base RI'!F97</f>
        <v>0</v>
      </c>
      <c r="J97" s="10">
        <f>+'A) Base RI'!G97+'A) Base RI'!H97+'A) Base RI'!X97</f>
        <v>-4029.1799999999994</v>
      </c>
      <c r="K97" s="10">
        <f>+'A) Base RI'!I97</f>
        <v>0</v>
      </c>
      <c r="L97" s="10">
        <f>+'A) Base RI'!J97</f>
        <v>15639.79</v>
      </c>
      <c r="M97" s="10">
        <f>+'A) Base RI'!K97</f>
        <v>-502.9</v>
      </c>
      <c r="N97" s="10">
        <f>+'A) Base RI'!Q97</f>
        <v>1394.42</v>
      </c>
      <c r="O97" s="10">
        <f t="shared" si="7"/>
        <v>122528.45</v>
      </c>
      <c r="P97" s="10">
        <f>+'A) Base RI'!L97</f>
        <v>122528.45</v>
      </c>
      <c r="Q97" s="412">
        <f>'A) Base RI'!AS97</f>
        <v>1</v>
      </c>
      <c r="R97" s="404">
        <f t="shared" si="8"/>
        <v>1255283.8500000001</v>
      </c>
      <c r="S97" s="457">
        <f>+'A) Base RI'!AN97</f>
        <v>71.5</v>
      </c>
      <c r="T97" s="404">
        <f t="shared" si="9"/>
        <v>1133258.3</v>
      </c>
      <c r="U97" s="404">
        <f t="shared" si="10"/>
        <v>17556.417482517485</v>
      </c>
      <c r="V97" s="10">
        <f>+'A) Base RI'!O97</f>
        <v>3247.6</v>
      </c>
      <c r="W97" s="10">
        <f>+'A) Base RI'!P97</f>
        <v>49797</v>
      </c>
      <c r="X97" s="10">
        <f>+'A) Base RI'!R97</f>
        <v>51954.95</v>
      </c>
      <c r="Y97" s="404">
        <f t="shared" si="11"/>
        <v>104999.54999999999</v>
      </c>
      <c r="Z97" s="10">
        <f>+'A) Base RI'!N97</f>
        <v>65482.45</v>
      </c>
      <c r="AA97" s="10">
        <f>'A) Base RI'!AO97</f>
        <v>657</v>
      </c>
    </row>
    <row r="98" spans="1:27" x14ac:dyDescent="0.25">
      <c r="A98" s="8">
        <f>'A) Base RI'!A98</f>
        <v>5553</v>
      </c>
      <c r="B98" s="32" t="str">
        <f>'A) Base RI'!B98</f>
        <v>Champagne</v>
      </c>
      <c r="C98" s="10">
        <f>'A) Base RI'!C98+'A) Base RI'!D98</f>
        <v>1989145.14</v>
      </c>
      <c r="D98" s="10">
        <f>'A) Base RI'!AP98</f>
        <v>-9025.49</v>
      </c>
      <c r="E98" s="398">
        <f>'A) Base RI'!AQ98</f>
        <v>0</v>
      </c>
      <c r="F98" s="398">
        <f>'A) Base RI'!AR98</f>
        <v>-569.12</v>
      </c>
      <c r="G98" s="404">
        <f t="shared" si="6"/>
        <v>1979550.5299999998</v>
      </c>
      <c r="H98" s="10">
        <f>+'A) Base RI'!E98</f>
        <v>0</v>
      </c>
      <c r="I98" s="10">
        <f>+'A) Base RI'!F98</f>
        <v>0</v>
      </c>
      <c r="J98" s="10">
        <f>+'A) Base RI'!G98+'A) Base RI'!H98+'A) Base RI'!X98</f>
        <v>198138.09000000003</v>
      </c>
      <c r="K98" s="10">
        <f>+'A) Base RI'!I98</f>
        <v>0</v>
      </c>
      <c r="L98" s="10">
        <f>+'A) Base RI'!J98</f>
        <v>75757.75</v>
      </c>
      <c r="M98" s="10">
        <f>+'A) Base RI'!K98</f>
        <v>27799.65</v>
      </c>
      <c r="N98" s="10">
        <f>+'A) Base RI'!Q98</f>
        <v>1474.94</v>
      </c>
      <c r="O98" s="10">
        <f t="shared" si="7"/>
        <v>231568.6</v>
      </c>
      <c r="P98" s="10">
        <f>+'A) Base RI'!L98</f>
        <v>231568.6</v>
      </c>
      <c r="Q98" s="412">
        <f>'A) Base RI'!AS98</f>
        <v>1</v>
      </c>
      <c r="R98" s="404">
        <f t="shared" si="8"/>
        <v>2514289.5599999996</v>
      </c>
      <c r="S98" s="457">
        <f>+'A) Base RI'!AN98</f>
        <v>65</v>
      </c>
      <c r="T98" s="404">
        <f t="shared" si="9"/>
        <v>2254921.3099999996</v>
      </c>
      <c r="U98" s="404">
        <f t="shared" si="10"/>
        <v>38681.377846153839</v>
      </c>
      <c r="V98" s="10">
        <f>+'A) Base RI'!O98</f>
        <v>157011.4</v>
      </c>
      <c r="W98" s="10">
        <f>+'A) Base RI'!P98</f>
        <v>34246.300000000003</v>
      </c>
      <c r="X98" s="10">
        <f>+'A) Base RI'!R98</f>
        <v>19029.7</v>
      </c>
      <c r="Y98" s="404">
        <f t="shared" si="11"/>
        <v>210287.40000000002</v>
      </c>
      <c r="Z98" s="10">
        <f>+'A) Base RI'!N98</f>
        <v>172905.8</v>
      </c>
      <c r="AA98" s="10">
        <f>'A) Base RI'!AO98</f>
        <v>1061</v>
      </c>
    </row>
    <row r="99" spans="1:27" x14ac:dyDescent="0.25">
      <c r="A99" s="8">
        <f>'A) Base RI'!A99</f>
        <v>5554</v>
      </c>
      <c r="B99" s="32" t="str">
        <f>'A) Base RI'!B99</f>
        <v>Concise</v>
      </c>
      <c r="C99" s="10">
        <f>'A) Base RI'!C99+'A) Base RI'!D99</f>
        <v>2216050.67</v>
      </c>
      <c r="D99" s="10">
        <f>'A) Base RI'!AP99</f>
        <v>-27154.080000000002</v>
      </c>
      <c r="E99" s="398">
        <f>'A) Base RI'!AQ99</f>
        <v>0</v>
      </c>
      <c r="F99" s="398">
        <f>'A) Base RI'!AR99</f>
        <v>-5552</v>
      </c>
      <c r="G99" s="404">
        <f t="shared" si="6"/>
        <v>2183344.59</v>
      </c>
      <c r="H99" s="10">
        <f>+'A) Base RI'!E99</f>
        <v>0</v>
      </c>
      <c r="I99" s="10">
        <f>+'A) Base RI'!F99</f>
        <v>0</v>
      </c>
      <c r="J99" s="10">
        <f>+'A) Base RI'!G99+'A) Base RI'!H99+'A) Base RI'!X99</f>
        <v>25627.58</v>
      </c>
      <c r="K99" s="10">
        <f>+'A) Base RI'!I99</f>
        <v>0</v>
      </c>
      <c r="L99" s="10">
        <f>+'A) Base RI'!J99</f>
        <v>36519.08</v>
      </c>
      <c r="M99" s="10">
        <f>+'A) Base RI'!K99</f>
        <v>-11415.05</v>
      </c>
      <c r="N99" s="10">
        <f>+'A) Base RI'!Q99</f>
        <v>8111.93</v>
      </c>
      <c r="O99" s="10">
        <f t="shared" si="7"/>
        <v>182402.2</v>
      </c>
      <c r="P99" s="10">
        <f>+'A) Base RI'!L99</f>
        <v>182402.2</v>
      </c>
      <c r="Q99" s="412">
        <f>'A) Base RI'!AS99</f>
        <v>1</v>
      </c>
      <c r="R99" s="404">
        <f t="shared" si="8"/>
        <v>2424590.3300000005</v>
      </c>
      <c r="S99" s="457">
        <f>+'A) Base RI'!AN99</f>
        <v>75</v>
      </c>
      <c r="T99" s="404">
        <f t="shared" si="9"/>
        <v>2253603.1800000002</v>
      </c>
      <c r="U99" s="404">
        <f t="shared" si="10"/>
        <v>32327.871066666674</v>
      </c>
      <c r="V99" s="10">
        <f>+'A) Base RI'!O99</f>
        <v>106619.5</v>
      </c>
      <c r="W99" s="10">
        <f>+'A) Base RI'!P99</f>
        <v>86010.05</v>
      </c>
      <c r="X99" s="10">
        <f>+'A) Base RI'!R99</f>
        <v>55126.95</v>
      </c>
      <c r="Y99" s="404">
        <f t="shared" si="11"/>
        <v>247756.5</v>
      </c>
      <c r="Z99" s="10">
        <f>+'A) Base RI'!N99</f>
        <v>2598.0500000000002</v>
      </c>
      <c r="AA99" s="10">
        <f>'A) Base RI'!AO99</f>
        <v>1001</v>
      </c>
    </row>
    <row r="100" spans="1:27" x14ac:dyDescent="0.25">
      <c r="A100" s="8">
        <f>'A) Base RI'!A100</f>
        <v>5555</v>
      </c>
      <c r="B100" s="32" t="str">
        <f>'A) Base RI'!B100</f>
        <v>Corcelles-près-Concise</v>
      </c>
      <c r="C100" s="10">
        <f>'A) Base RI'!C100+'A) Base RI'!D100</f>
        <v>800075.37000000011</v>
      </c>
      <c r="D100" s="10">
        <f>'A) Base RI'!AP100</f>
        <v>-3578.72</v>
      </c>
      <c r="E100" s="398">
        <f>'A) Base RI'!AQ100</f>
        <v>0</v>
      </c>
      <c r="F100" s="398">
        <f>'A) Base RI'!AR100</f>
        <v>-252.22</v>
      </c>
      <c r="G100" s="404">
        <f t="shared" si="6"/>
        <v>796244.43000000017</v>
      </c>
      <c r="H100" s="10">
        <f>+'A) Base RI'!E100</f>
        <v>0</v>
      </c>
      <c r="I100" s="10">
        <f>+'A) Base RI'!F100</f>
        <v>0</v>
      </c>
      <c r="J100" s="10">
        <f>+'A) Base RI'!G100+'A) Base RI'!H100+'A) Base RI'!X100</f>
        <v>30245.059999999998</v>
      </c>
      <c r="K100" s="10">
        <f>+'A) Base RI'!I100</f>
        <v>0</v>
      </c>
      <c r="L100" s="10">
        <f>+'A) Base RI'!J100</f>
        <v>17711.75</v>
      </c>
      <c r="M100" s="10">
        <f>+'A) Base RI'!K100</f>
        <v>2094.9</v>
      </c>
      <c r="N100" s="10">
        <f>+'A) Base RI'!Q100</f>
        <v>0</v>
      </c>
      <c r="O100" s="10">
        <f t="shared" si="7"/>
        <v>92071.4</v>
      </c>
      <c r="P100" s="10">
        <f>+'A) Base RI'!L100</f>
        <v>92071.4</v>
      </c>
      <c r="Q100" s="412">
        <f>'A) Base RI'!AS100</f>
        <v>1</v>
      </c>
      <c r="R100" s="404">
        <f t="shared" si="8"/>
        <v>938367.54000000027</v>
      </c>
      <c r="S100" s="457">
        <f>+'A) Base RI'!AN100</f>
        <v>69</v>
      </c>
      <c r="T100" s="404">
        <f t="shared" si="9"/>
        <v>844201.24000000022</v>
      </c>
      <c r="U100" s="404">
        <f t="shared" si="10"/>
        <v>13599.529565217395</v>
      </c>
      <c r="V100" s="10">
        <f>+'A) Base RI'!O100</f>
        <v>100965</v>
      </c>
      <c r="W100" s="10">
        <f>+'A) Base RI'!P100</f>
        <v>46866.6</v>
      </c>
      <c r="X100" s="10">
        <f>+'A) Base RI'!R100</f>
        <v>29391.599999999999</v>
      </c>
      <c r="Y100" s="404">
        <f t="shared" si="11"/>
        <v>177223.2</v>
      </c>
      <c r="Z100" s="10">
        <f>+'A) Base RI'!N100</f>
        <v>8366.85</v>
      </c>
      <c r="AA100" s="10">
        <f>'A) Base RI'!AO100</f>
        <v>419</v>
      </c>
    </row>
    <row r="101" spans="1:27" x14ac:dyDescent="0.25">
      <c r="A101" s="8">
        <f>'A) Base RI'!A101</f>
        <v>5556</v>
      </c>
      <c r="B101" s="32" t="str">
        <f>'A) Base RI'!B101</f>
        <v>Fiez</v>
      </c>
      <c r="C101" s="10">
        <f>'A) Base RI'!C101+'A) Base RI'!D101</f>
        <v>884640.02999999991</v>
      </c>
      <c r="D101" s="10">
        <f>'A) Base RI'!AP101</f>
        <v>-40554.980000000003</v>
      </c>
      <c r="E101" s="398">
        <f>'A) Base RI'!AQ101</f>
        <v>0</v>
      </c>
      <c r="F101" s="398">
        <f>'A) Base RI'!AR101</f>
        <v>0</v>
      </c>
      <c r="G101" s="404">
        <f t="shared" si="6"/>
        <v>844085.04999999993</v>
      </c>
      <c r="H101" s="10">
        <f>+'A) Base RI'!E101</f>
        <v>0</v>
      </c>
      <c r="I101" s="10">
        <f>+'A) Base RI'!F101</f>
        <v>2420</v>
      </c>
      <c r="J101" s="10">
        <f>+'A) Base RI'!G101+'A) Base RI'!H101+'A) Base RI'!X101</f>
        <v>17894.62</v>
      </c>
      <c r="K101" s="10">
        <f>+'A) Base RI'!I101</f>
        <v>0</v>
      </c>
      <c r="L101" s="10">
        <f>+'A) Base RI'!J101</f>
        <v>14914.82</v>
      </c>
      <c r="M101" s="10">
        <f>+'A) Base RI'!K101</f>
        <v>1271.6500000000001</v>
      </c>
      <c r="N101" s="10">
        <f>+'A) Base RI'!Q101</f>
        <v>0</v>
      </c>
      <c r="O101" s="10">
        <f t="shared" si="7"/>
        <v>72747.375000000015</v>
      </c>
      <c r="P101" s="10">
        <f>+'A) Base RI'!L101</f>
        <v>87296.85</v>
      </c>
      <c r="Q101" s="412">
        <f>'A) Base RI'!AS101</f>
        <v>1.2</v>
      </c>
      <c r="R101" s="404">
        <f t="shared" si="8"/>
        <v>953333.5149999999</v>
      </c>
      <c r="S101" s="457">
        <f>+'A) Base RI'!AN101</f>
        <v>69</v>
      </c>
      <c r="T101" s="404">
        <f t="shared" si="9"/>
        <v>876894.48999999987</v>
      </c>
      <c r="U101" s="404">
        <f t="shared" si="10"/>
        <v>13816.427753623188</v>
      </c>
      <c r="V101" s="10">
        <f>+'A) Base RI'!O101</f>
        <v>0</v>
      </c>
      <c r="W101" s="10">
        <f>+'A) Base RI'!P101</f>
        <v>58162.5</v>
      </c>
      <c r="X101" s="10">
        <f>+'A) Base RI'!R101</f>
        <v>32570.45</v>
      </c>
      <c r="Y101" s="404">
        <f t="shared" si="11"/>
        <v>90732.95</v>
      </c>
      <c r="Z101" s="10">
        <f>+'A) Base RI'!N101</f>
        <v>0</v>
      </c>
      <c r="AA101" s="10">
        <f>'A) Base RI'!AO101</f>
        <v>451</v>
      </c>
    </row>
    <row r="102" spans="1:27" x14ac:dyDescent="0.25">
      <c r="A102" s="8">
        <f>'A) Base RI'!A102</f>
        <v>5557</v>
      </c>
      <c r="B102" s="32" t="str">
        <f>'A) Base RI'!B102</f>
        <v>Fontaines-sur-Grandson</v>
      </c>
      <c r="C102" s="10">
        <f>'A) Base RI'!C102+'A) Base RI'!D102</f>
        <v>382500.77999999997</v>
      </c>
      <c r="D102" s="10">
        <f>'A) Base RI'!AP102</f>
        <v>-7520.21</v>
      </c>
      <c r="E102" s="398">
        <f>'A) Base RI'!AQ102</f>
        <v>0</v>
      </c>
      <c r="F102" s="398">
        <f>'A) Base RI'!AR102</f>
        <v>-0.03</v>
      </c>
      <c r="G102" s="404">
        <f t="shared" si="6"/>
        <v>374980.53999999992</v>
      </c>
      <c r="H102" s="10">
        <f>+'A) Base RI'!E102</f>
        <v>0</v>
      </c>
      <c r="I102" s="10">
        <f>+'A) Base RI'!F102</f>
        <v>1040</v>
      </c>
      <c r="J102" s="10">
        <f>+'A) Base RI'!G102+'A) Base RI'!H102+'A) Base RI'!X102</f>
        <v>-11673.71</v>
      </c>
      <c r="K102" s="10">
        <f>+'A) Base RI'!I102</f>
        <v>0</v>
      </c>
      <c r="L102" s="10">
        <f>+'A) Base RI'!J102</f>
        <v>229.55</v>
      </c>
      <c r="M102" s="10">
        <f>+'A) Base RI'!K102</f>
        <v>1136.45</v>
      </c>
      <c r="N102" s="10">
        <f>+'A) Base RI'!Q102</f>
        <v>3338.97</v>
      </c>
      <c r="O102" s="10">
        <f t="shared" si="7"/>
        <v>36690.800000000003</v>
      </c>
      <c r="P102" s="10">
        <f>+'A) Base RI'!L102</f>
        <v>36690.800000000003</v>
      </c>
      <c r="Q102" s="412">
        <f>'A) Base RI'!AS102</f>
        <v>1</v>
      </c>
      <c r="R102" s="404">
        <f t="shared" si="8"/>
        <v>405742.59999999986</v>
      </c>
      <c r="S102" s="457">
        <f>+'A) Base RI'!AN102</f>
        <v>69</v>
      </c>
      <c r="T102" s="404">
        <f t="shared" si="9"/>
        <v>366875.34999999986</v>
      </c>
      <c r="U102" s="404">
        <f t="shared" si="10"/>
        <v>5880.3275362318818</v>
      </c>
      <c r="V102" s="10">
        <f>+'A) Base RI'!O102</f>
        <v>58410</v>
      </c>
      <c r="W102" s="10">
        <f>+'A) Base RI'!P102</f>
        <v>6329.6</v>
      </c>
      <c r="X102" s="10">
        <f>+'A) Base RI'!R102</f>
        <v>170.15</v>
      </c>
      <c r="Y102" s="404">
        <f t="shared" si="11"/>
        <v>64909.75</v>
      </c>
      <c r="Z102" s="10">
        <f>+'A) Base RI'!N102</f>
        <v>0</v>
      </c>
      <c r="AA102" s="10">
        <f>'A) Base RI'!AO102</f>
        <v>219</v>
      </c>
    </row>
    <row r="103" spans="1:27" x14ac:dyDescent="0.25">
      <c r="A103" s="8">
        <f>'A) Base RI'!A103</f>
        <v>5559</v>
      </c>
      <c r="B103" s="32" t="str">
        <f>'A) Base RI'!B103</f>
        <v>Giez</v>
      </c>
      <c r="C103" s="10">
        <f>'A) Base RI'!C103+'A) Base RI'!D103</f>
        <v>1138426.3600000001</v>
      </c>
      <c r="D103" s="10">
        <f>'A) Base RI'!AP103</f>
        <v>-10216.77</v>
      </c>
      <c r="E103" s="398">
        <f>'A) Base RI'!AQ103</f>
        <v>0</v>
      </c>
      <c r="F103" s="398">
        <f>'A) Base RI'!AR103</f>
        <v>-197.15</v>
      </c>
      <c r="G103" s="404">
        <f t="shared" si="6"/>
        <v>1128012.4400000002</v>
      </c>
      <c r="H103" s="10">
        <f>+'A) Base RI'!E103</f>
        <v>0</v>
      </c>
      <c r="I103" s="10">
        <f>+'A) Base RI'!F103</f>
        <v>0</v>
      </c>
      <c r="J103" s="10">
        <f>+'A) Base RI'!G103+'A) Base RI'!H103+'A) Base RI'!X103</f>
        <v>-129917.48</v>
      </c>
      <c r="K103" s="10">
        <f>+'A) Base RI'!I103</f>
        <v>0</v>
      </c>
      <c r="L103" s="10">
        <f>+'A) Base RI'!J103</f>
        <v>21462.39</v>
      </c>
      <c r="M103" s="10">
        <f>+'A) Base RI'!K103</f>
        <v>4011.5</v>
      </c>
      <c r="N103" s="10">
        <f>+'A) Base RI'!Q103</f>
        <v>2580.88</v>
      </c>
      <c r="O103" s="10">
        <f t="shared" si="7"/>
        <v>89093.1</v>
      </c>
      <c r="P103" s="10">
        <f>+'A) Base RI'!L103</f>
        <v>89093.1</v>
      </c>
      <c r="Q103" s="412">
        <f>'A) Base RI'!AS103</f>
        <v>1</v>
      </c>
      <c r="R103" s="404">
        <f t="shared" si="8"/>
        <v>1115242.8300000003</v>
      </c>
      <c r="S103" s="457">
        <f>+'A) Base RI'!AN103</f>
        <v>66</v>
      </c>
      <c r="T103" s="404">
        <f t="shared" si="9"/>
        <v>1022138.2300000002</v>
      </c>
      <c r="U103" s="404">
        <f t="shared" si="10"/>
        <v>16897.618636363641</v>
      </c>
      <c r="V103" s="10">
        <f>+'A) Base RI'!O103</f>
        <v>1179.0999999999999</v>
      </c>
      <c r="W103" s="10">
        <f>+'A) Base RI'!P103</f>
        <v>60948.3</v>
      </c>
      <c r="X103" s="10">
        <f>+'A) Base RI'!R103</f>
        <v>48456.75</v>
      </c>
      <c r="Y103" s="404">
        <f t="shared" si="11"/>
        <v>110584.15</v>
      </c>
      <c r="Z103" s="10">
        <f>+'A) Base RI'!N103</f>
        <v>15752.1</v>
      </c>
      <c r="AA103" s="10">
        <f>'A) Base RI'!AO103</f>
        <v>414</v>
      </c>
    </row>
    <row r="104" spans="1:27" x14ac:dyDescent="0.25">
      <c r="A104" s="8">
        <f>'A) Base RI'!A104</f>
        <v>5560</v>
      </c>
      <c r="B104" s="32" t="str">
        <f>'A) Base RI'!B104</f>
        <v>Grandevent</v>
      </c>
      <c r="C104" s="10">
        <f>'A) Base RI'!C104+'A) Base RI'!D104</f>
        <v>370813.2</v>
      </c>
      <c r="D104" s="10">
        <f>'A) Base RI'!AP104</f>
        <v>-61.04</v>
      </c>
      <c r="E104" s="398">
        <f>'A) Base RI'!AQ104</f>
        <v>0</v>
      </c>
      <c r="F104" s="398">
        <f>'A) Base RI'!AR104</f>
        <v>0</v>
      </c>
      <c r="G104" s="404">
        <f t="shared" si="6"/>
        <v>370752.16000000003</v>
      </c>
      <c r="H104" s="10">
        <f>+'A) Base RI'!E104</f>
        <v>0</v>
      </c>
      <c r="I104" s="10">
        <f>+'A) Base RI'!F104</f>
        <v>0</v>
      </c>
      <c r="J104" s="10">
        <f>+'A) Base RI'!G104+'A) Base RI'!H104+'A) Base RI'!X104</f>
        <v>1256.3</v>
      </c>
      <c r="K104" s="10">
        <f>+'A) Base RI'!I104</f>
        <v>0</v>
      </c>
      <c r="L104" s="10">
        <f>+'A) Base RI'!J104</f>
        <v>4056.5</v>
      </c>
      <c r="M104" s="10">
        <f>+'A) Base RI'!K104</f>
        <v>624.20000000000005</v>
      </c>
      <c r="N104" s="10">
        <f>+'A) Base RI'!Q104</f>
        <v>0</v>
      </c>
      <c r="O104" s="10">
        <f t="shared" si="7"/>
        <v>42727.75</v>
      </c>
      <c r="P104" s="10">
        <f>+'A) Base RI'!L104</f>
        <v>42727.75</v>
      </c>
      <c r="Q104" s="412">
        <f>'A) Base RI'!AS104</f>
        <v>1</v>
      </c>
      <c r="R104" s="404">
        <f t="shared" si="8"/>
        <v>419416.91000000003</v>
      </c>
      <c r="S104" s="457">
        <f>+'A) Base RI'!AN104</f>
        <v>68</v>
      </c>
      <c r="T104" s="404">
        <f t="shared" si="9"/>
        <v>376064.96</v>
      </c>
      <c r="U104" s="404">
        <f t="shared" si="10"/>
        <v>6167.8957352941179</v>
      </c>
      <c r="V104" s="10">
        <f>+'A) Base RI'!O104</f>
        <v>0</v>
      </c>
      <c r="W104" s="10">
        <f>+'A) Base RI'!P104</f>
        <v>15838.9</v>
      </c>
      <c r="X104" s="10">
        <f>+'A) Base RI'!R104</f>
        <v>12286.6</v>
      </c>
      <c r="Y104" s="404">
        <f t="shared" si="11"/>
        <v>28125.5</v>
      </c>
      <c r="Z104" s="10">
        <f>+'A) Base RI'!N104</f>
        <v>0</v>
      </c>
      <c r="AA104" s="10">
        <f>'A) Base RI'!AO104</f>
        <v>226</v>
      </c>
    </row>
    <row r="105" spans="1:27" x14ac:dyDescent="0.25">
      <c r="A105" s="8">
        <f>'A) Base RI'!A105</f>
        <v>5561</v>
      </c>
      <c r="B105" s="32" t="str">
        <f>'A) Base RI'!B105</f>
        <v>Grandson</v>
      </c>
      <c r="C105" s="10">
        <f>'A) Base RI'!C105+'A) Base RI'!D105</f>
        <v>7032661.0800000001</v>
      </c>
      <c r="D105" s="10">
        <f>'A) Base RI'!AP105</f>
        <v>-92039.66</v>
      </c>
      <c r="E105" s="398">
        <f>'A) Base RI'!AQ105</f>
        <v>0</v>
      </c>
      <c r="F105" s="398">
        <f>'A) Base RI'!AR105</f>
        <v>-2215.56</v>
      </c>
      <c r="G105" s="404">
        <f t="shared" si="6"/>
        <v>6938405.8600000003</v>
      </c>
      <c r="H105" s="10">
        <f>+'A) Base RI'!E105</f>
        <v>0</v>
      </c>
      <c r="I105" s="10">
        <f>+'A) Base RI'!F105</f>
        <v>0</v>
      </c>
      <c r="J105" s="10">
        <f>+'A) Base RI'!G105+'A) Base RI'!H105+'A) Base RI'!X105</f>
        <v>192182.89</v>
      </c>
      <c r="K105" s="10">
        <f>+'A) Base RI'!I105</f>
        <v>0</v>
      </c>
      <c r="L105" s="10">
        <f>+'A) Base RI'!J105</f>
        <v>98024.05</v>
      </c>
      <c r="M105" s="10">
        <f>+'A) Base RI'!K105</f>
        <v>39938</v>
      </c>
      <c r="N105" s="10">
        <f>+'A) Base RI'!Q105</f>
        <v>24183.27</v>
      </c>
      <c r="O105" s="10">
        <f t="shared" si="7"/>
        <v>625231.19999999995</v>
      </c>
      <c r="P105" s="10">
        <f>+'A) Base RI'!L105</f>
        <v>625231.19999999995</v>
      </c>
      <c r="Q105" s="412">
        <f>'A) Base RI'!AS105</f>
        <v>1</v>
      </c>
      <c r="R105" s="404">
        <f t="shared" si="8"/>
        <v>7917965.2699999996</v>
      </c>
      <c r="S105" s="457">
        <f>+'A) Base RI'!AN105</f>
        <v>69</v>
      </c>
      <c r="T105" s="404">
        <f t="shared" si="9"/>
        <v>7252796.0699999994</v>
      </c>
      <c r="U105" s="404">
        <f t="shared" si="10"/>
        <v>114753.11985507245</v>
      </c>
      <c r="V105" s="10">
        <f>+'A) Base RI'!O105</f>
        <v>33786.199999999997</v>
      </c>
      <c r="W105" s="10">
        <f>+'A) Base RI'!P105</f>
        <v>302638.40000000002</v>
      </c>
      <c r="X105" s="10">
        <f>+'A) Base RI'!R105</f>
        <v>332812.2</v>
      </c>
      <c r="Y105" s="404">
        <f t="shared" si="11"/>
        <v>669236.80000000005</v>
      </c>
      <c r="Z105" s="10">
        <f>+'A) Base RI'!N105</f>
        <v>401465.1</v>
      </c>
      <c r="AA105" s="10">
        <f>'A) Base RI'!AO105</f>
        <v>3356</v>
      </c>
    </row>
    <row r="106" spans="1:27" x14ac:dyDescent="0.25">
      <c r="A106" s="8">
        <f>'A) Base RI'!A106</f>
        <v>5562</v>
      </c>
      <c r="B106" s="32" t="str">
        <f>'A) Base RI'!B106</f>
        <v>Mauborget</v>
      </c>
      <c r="C106" s="10">
        <f>'A) Base RI'!C106+'A) Base RI'!D106</f>
        <v>387330.91000000003</v>
      </c>
      <c r="D106" s="10">
        <f>'A) Base RI'!AP106</f>
        <v>-6905.78</v>
      </c>
      <c r="E106" s="398">
        <f>'A) Base RI'!AQ106</f>
        <v>0</v>
      </c>
      <c r="F106" s="398">
        <f>'A) Base RI'!AR106</f>
        <v>-13.26</v>
      </c>
      <c r="G106" s="404">
        <f t="shared" si="6"/>
        <v>380411.87</v>
      </c>
      <c r="H106" s="10">
        <f>+'A) Base RI'!E106</f>
        <v>0</v>
      </c>
      <c r="I106" s="10">
        <f>+'A) Base RI'!F106</f>
        <v>870</v>
      </c>
      <c r="J106" s="10">
        <f>+'A) Base RI'!G106+'A) Base RI'!H106+'A) Base RI'!X106</f>
        <v>2556</v>
      </c>
      <c r="K106" s="10">
        <f>+'A) Base RI'!I106</f>
        <v>0</v>
      </c>
      <c r="L106" s="10">
        <f>+'A) Base RI'!J106</f>
        <v>6319.65</v>
      </c>
      <c r="M106" s="10">
        <f>+'A) Base RI'!K106</f>
        <v>1974.5</v>
      </c>
      <c r="N106" s="10">
        <f>+'A) Base RI'!Q106</f>
        <v>0</v>
      </c>
      <c r="O106" s="10">
        <f t="shared" si="7"/>
        <v>30469.000000000004</v>
      </c>
      <c r="P106" s="10">
        <f>+'A) Base RI'!L106</f>
        <v>36562.800000000003</v>
      </c>
      <c r="Q106" s="412">
        <f>'A) Base RI'!AS106</f>
        <v>1.2</v>
      </c>
      <c r="R106" s="404">
        <f t="shared" si="8"/>
        <v>422601.02</v>
      </c>
      <c r="S106" s="457">
        <f>+'A) Base RI'!AN106</f>
        <v>70</v>
      </c>
      <c r="T106" s="404">
        <f t="shared" si="9"/>
        <v>389287.52</v>
      </c>
      <c r="U106" s="404">
        <f t="shared" si="10"/>
        <v>6037.1574285714287</v>
      </c>
      <c r="V106" s="10">
        <f>+'A) Base RI'!O106</f>
        <v>7790.6</v>
      </c>
      <c r="W106" s="10">
        <f>+'A) Base RI'!P106</f>
        <v>5830</v>
      </c>
      <c r="X106" s="10">
        <f>+'A) Base RI'!R106</f>
        <v>11765.3</v>
      </c>
      <c r="Y106" s="404">
        <f t="shared" si="11"/>
        <v>25385.9</v>
      </c>
      <c r="Z106" s="10">
        <f>+'A) Base RI'!N106</f>
        <v>0</v>
      </c>
      <c r="AA106" s="10">
        <f>'A) Base RI'!AO106</f>
        <v>128</v>
      </c>
    </row>
    <row r="107" spans="1:27" x14ac:dyDescent="0.25">
      <c r="A107" s="8">
        <f>'A) Base RI'!A107</f>
        <v>5563</v>
      </c>
      <c r="B107" s="32" t="str">
        <f>'A) Base RI'!B107</f>
        <v>Mutrux</v>
      </c>
      <c r="C107" s="10">
        <f>'A) Base RI'!C107+'A) Base RI'!D107</f>
        <v>307519.5</v>
      </c>
      <c r="D107" s="10">
        <f>'A) Base RI'!AP107</f>
        <v>-4499.96</v>
      </c>
      <c r="E107" s="398">
        <f>'A) Base RI'!AQ107</f>
        <v>0</v>
      </c>
      <c r="F107" s="398">
        <f>'A) Base RI'!AR107</f>
        <v>-0.95</v>
      </c>
      <c r="G107" s="404">
        <f t="shared" si="6"/>
        <v>303018.58999999997</v>
      </c>
      <c r="H107" s="10">
        <f>+'A) Base RI'!E107</f>
        <v>0</v>
      </c>
      <c r="I107" s="10">
        <f>+'A) Base RI'!F107</f>
        <v>546</v>
      </c>
      <c r="J107" s="10">
        <f>+'A) Base RI'!G107+'A) Base RI'!H107+'A) Base RI'!X107</f>
        <v>509.46000000000004</v>
      </c>
      <c r="K107" s="10">
        <f>+'A) Base RI'!I107</f>
        <v>0</v>
      </c>
      <c r="L107" s="10">
        <f>+'A) Base RI'!J107</f>
        <v>0</v>
      </c>
      <c r="M107" s="10">
        <f>+'A) Base RI'!K107</f>
        <v>0</v>
      </c>
      <c r="N107" s="10">
        <f>+'A) Base RI'!Q107</f>
        <v>0</v>
      </c>
      <c r="O107" s="10">
        <f t="shared" si="7"/>
        <v>21812.55</v>
      </c>
      <c r="P107" s="10">
        <f>+'A) Base RI'!L107</f>
        <v>21812.55</v>
      </c>
      <c r="Q107" s="412">
        <f>'A) Base RI'!AS107</f>
        <v>1</v>
      </c>
      <c r="R107" s="404">
        <f t="shared" si="8"/>
        <v>325886.59999999998</v>
      </c>
      <c r="S107" s="457">
        <f>+'A) Base RI'!AN107</f>
        <v>80</v>
      </c>
      <c r="T107" s="404">
        <f t="shared" si="9"/>
        <v>303528.05</v>
      </c>
      <c r="U107" s="404">
        <f t="shared" si="10"/>
        <v>4073.5824999999995</v>
      </c>
      <c r="V107" s="10">
        <f>+'A) Base RI'!O107</f>
        <v>3229.2</v>
      </c>
      <c r="W107" s="10">
        <f>+'A) Base RI'!P107</f>
        <v>19949.599999999999</v>
      </c>
      <c r="X107" s="10">
        <f>+'A) Base RI'!R107</f>
        <v>449.15</v>
      </c>
      <c r="Y107" s="404">
        <f t="shared" si="11"/>
        <v>23627.95</v>
      </c>
      <c r="Z107" s="10">
        <f>+'A) Base RI'!N107</f>
        <v>0</v>
      </c>
      <c r="AA107" s="10">
        <f>'A) Base RI'!AO107</f>
        <v>149</v>
      </c>
    </row>
    <row r="108" spans="1:27" x14ac:dyDescent="0.25">
      <c r="A108" s="8">
        <f>'A) Base RI'!A108</f>
        <v>5564</v>
      </c>
      <c r="B108" s="32" t="str">
        <f>'A) Base RI'!B108</f>
        <v>Novalles</v>
      </c>
      <c r="C108" s="10">
        <f>'A) Base RI'!C108+'A) Base RI'!D108</f>
        <v>145477.26999999999</v>
      </c>
      <c r="D108" s="10">
        <f>'A) Base RI'!AP108</f>
        <v>-188.79</v>
      </c>
      <c r="E108" s="398">
        <f>'A) Base RI'!AQ108</f>
        <v>0</v>
      </c>
      <c r="F108" s="398">
        <f>'A) Base RI'!AR108</f>
        <v>0</v>
      </c>
      <c r="G108" s="404">
        <f t="shared" si="6"/>
        <v>145288.47999999998</v>
      </c>
      <c r="H108" s="10">
        <f>+'A) Base RI'!E108</f>
        <v>0</v>
      </c>
      <c r="I108" s="10">
        <f>+'A) Base RI'!F108</f>
        <v>0</v>
      </c>
      <c r="J108" s="10">
        <f>+'A) Base RI'!G108+'A) Base RI'!H108+'A) Base RI'!X108</f>
        <v>-16.579999999999998</v>
      </c>
      <c r="K108" s="10">
        <f>+'A) Base RI'!I108</f>
        <v>0</v>
      </c>
      <c r="L108" s="10">
        <f>+'A) Base RI'!J108</f>
        <v>0</v>
      </c>
      <c r="M108" s="10">
        <f>+'A) Base RI'!K108</f>
        <v>0</v>
      </c>
      <c r="N108" s="10">
        <f>+'A) Base RI'!Q108</f>
        <v>0</v>
      </c>
      <c r="O108" s="10">
        <f t="shared" si="7"/>
        <v>13682.4375</v>
      </c>
      <c r="P108" s="10">
        <f>+'A) Base RI'!L108</f>
        <v>10945.95</v>
      </c>
      <c r="Q108" s="412">
        <f>'A) Base RI'!AS108</f>
        <v>0.8</v>
      </c>
      <c r="R108" s="404">
        <f t="shared" si="8"/>
        <v>158954.33749999999</v>
      </c>
      <c r="S108" s="457">
        <f>+'A) Base RI'!AN108</f>
        <v>76</v>
      </c>
      <c r="T108" s="404">
        <f t="shared" si="9"/>
        <v>145271.9</v>
      </c>
      <c r="U108" s="404">
        <f t="shared" si="10"/>
        <v>2091.5044407894734</v>
      </c>
      <c r="V108" s="10">
        <f>+'A) Base RI'!O108</f>
        <v>0</v>
      </c>
      <c r="W108" s="10">
        <f>+'A) Base RI'!P108</f>
        <v>13948</v>
      </c>
      <c r="X108" s="10">
        <f>+'A) Base RI'!R108</f>
        <v>12895.3</v>
      </c>
      <c r="Y108" s="404">
        <f t="shared" si="11"/>
        <v>26843.3</v>
      </c>
      <c r="Z108" s="10">
        <f>+'A) Base RI'!N108</f>
        <v>0</v>
      </c>
      <c r="AA108" s="10">
        <f>'A) Base RI'!AO108</f>
        <v>99</v>
      </c>
    </row>
    <row r="109" spans="1:27" x14ac:dyDescent="0.25">
      <c r="A109" s="8">
        <f>'A) Base RI'!A109</f>
        <v>5565</v>
      </c>
      <c r="B109" s="32" t="str">
        <f>'A) Base RI'!B109</f>
        <v>Onnens</v>
      </c>
      <c r="C109" s="10">
        <f>'A) Base RI'!C109+'A) Base RI'!D109</f>
        <v>865486.51</v>
      </c>
      <c r="D109" s="10">
        <f>'A) Base RI'!AP109</f>
        <v>-27776.720000000001</v>
      </c>
      <c r="E109" s="398">
        <f>'A) Base RI'!AQ109</f>
        <v>0</v>
      </c>
      <c r="F109" s="398">
        <f>'A) Base RI'!AR109</f>
        <v>-11.29</v>
      </c>
      <c r="G109" s="404">
        <f t="shared" si="6"/>
        <v>837698.5</v>
      </c>
      <c r="H109" s="10">
        <f>+'A) Base RI'!E109</f>
        <v>0</v>
      </c>
      <c r="I109" s="10">
        <f>+'A) Base RI'!F109</f>
        <v>0</v>
      </c>
      <c r="J109" s="10">
        <f>+'A) Base RI'!G109+'A) Base RI'!H109+'A) Base RI'!X109</f>
        <v>246865.08000000002</v>
      </c>
      <c r="K109" s="10">
        <f>+'A) Base RI'!I109</f>
        <v>0</v>
      </c>
      <c r="L109" s="10">
        <f>+'A) Base RI'!J109</f>
        <v>7621.6</v>
      </c>
      <c r="M109" s="10">
        <f>+'A) Base RI'!K109</f>
        <v>26852.5</v>
      </c>
      <c r="N109" s="10">
        <f>+'A) Base RI'!Q109</f>
        <v>1733.33</v>
      </c>
      <c r="O109" s="10">
        <f t="shared" si="7"/>
        <v>129580.95</v>
      </c>
      <c r="P109" s="10">
        <f>+'A) Base RI'!L109</f>
        <v>129580.95</v>
      </c>
      <c r="Q109" s="412">
        <f>'A) Base RI'!AS109</f>
        <v>1</v>
      </c>
      <c r="R109" s="404">
        <f t="shared" si="8"/>
        <v>1250351.9600000002</v>
      </c>
      <c r="S109" s="457">
        <f>+'A) Base RI'!AN109</f>
        <v>63.5</v>
      </c>
      <c r="T109" s="404">
        <f t="shared" si="9"/>
        <v>1093918.5100000002</v>
      </c>
      <c r="U109" s="404">
        <f t="shared" si="10"/>
        <v>19690.582047244097</v>
      </c>
      <c r="V109" s="10">
        <f>+'A) Base RI'!O109</f>
        <v>0</v>
      </c>
      <c r="W109" s="10">
        <f>+'A) Base RI'!P109</f>
        <v>23569.200000000001</v>
      </c>
      <c r="X109" s="10">
        <f>+'A) Base RI'!R109</f>
        <v>17554.599999999999</v>
      </c>
      <c r="Y109" s="404">
        <f t="shared" si="11"/>
        <v>41123.800000000003</v>
      </c>
      <c r="Z109" s="10">
        <f>+'A) Base RI'!N109</f>
        <v>40728.550000000003</v>
      </c>
      <c r="AA109" s="10">
        <f>'A) Base RI'!AO109</f>
        <v>505</v>
      </c>
    </row>
    <row r="110" spans="1:27" x14ac:dyDescent="0.25">
      <c r="A110" s="8">
        <f>'A) Base RI'!A110</f>
        <v>5566</v>
      </c>
      <c r="B110" s="32" t="str">
        <f>'A) Base RI'!B110</f>
        <v>Provence</v>
      </c>
      <c r="C110" s="10">
        <f>'A) Base RI'!C110+'A) Base RI'!D110</f>
        <v>550431.46</v>
      </c>
      <c r="D110" s="10">
        <f>'A) Base RI'!AP110</f>
        <v>-16973.87</v>
      </c>
      <c r="E110" s="398">
        <f>'A) Base RI'!AQ110</f>
        <v>0</v>
      </c>
      <c r="F110" s="398">
        <f>'A) Base RI'!AR110</f>
        <v>0</v>
      </c>
      <c r="G110" s="404">
        <f t="shared" si="6"/>
        <v>533457.59</v>
      </c>
      <c r="H110" s="10">
        <f>+'A) Base RI'!E110</f>
        <v>0</v>
      </c>
      <c r="I110" s="10">
        <f>+'A) Base RI'!F110</f>
        <v>2560</v>
      </c>
      <c r="J110" s="10">
        <f>+'A) Base RI'!G110+'A) Base RI'!H110+'A) Base RI'!X110</f>
        <v>26528.46</v>
      </c>
      <c r="K110" s="10">
        <f>+'A) Base RI'!I110</f>
        <v>0</v>
      </c>
      <c r="L110" s="10">
        <f>+'A) Base RI'!J110</f>
        <v>-2241.41</v>
      </c>
      <c r="M110" s="10">
        <f>+'A) Base RI'!K110</f>
        <v>2992.35</v>
      </c>
      <c r="N110" s="10">
        <f>+'A) Base RI'!Q110</f>
        <v>695.42</v>
      </c>
      <c r="O110" s="10">
        <f t="shared" si="7"/>
        <v>51505.133333333331</v>
      </c>
      <c r="P110" s="10">
        <f>+'A) Base RI'!L110</f>
        <v>77257.7</v>
      </c>
      <c r="Q110" s="412">
        <f>'A) Base RI'!AS110</f>
        <v>1.5</v>
      </c>
      <c r="R110" s="404">
        <f t="shared" si="8"/>
        <v>615497.54333333322</v>
      </c>
      <c r="S110" s="457">
        <f>+'A) Base RI'!AN110</f>
        <v>81</v>
      </c>
      <c r="T110" s="404">
        <f t="shared" si="9"/>
        <v>558440.05999999994</v>
      </c>
      <c r="U110" s="404">
        <f t="shared" si="10"/>
        <v>7598.735102880657</v>
      </c>
      <c r="V110" s="10">
        <f>+'A) Base RI'!O110</f>
        <v>89681.5</v>
      </c>
      <c r="W110" s="10">
        <f>+'A) Base RI'!P110</f>
        <v>39065.35</v>
      </c>
      <c r="X110" s="10">
        <f>+'A) Base RI'!R110</f>
        <v>9511.7999999999993</v>
      </c>
      <c r="Y110" s="404">
        <f t="shared" si="11"/>
        <v>138258.65</v>
      </c>
      <c r="Z110" s="10">
        <f>+'A) Base RI'!N110</f>
        <v>28034.799999999999</v>
      </c>
      <c r="AA110" s="10">
        <f>'A) Base RI'!AO110</f>
        <v>392</v>
      </c>
    </row>
    <row r="111" spans="1:27" x14ac:dyDescent="0.25">
      <c r="A111" s="8">
        <f>'A) Base RI'!A111</f>
        <v>5568</v>
      </c>
      <c r="B111" s="32" t="str">
        <f>'A) Base RI'!B111</f>
        <v>Sainte-Croix</v>
      </c>
      <c r="C111" s="10">
        <f>'A) Base RI'!C111+'A) Base RI'!D111</f>
        <v>6441318.8799999999</v>
      </c>
      <c r="D111" s="10">
        <f>'A) Base RI'!AP111</f>
        <v>-276995.33</v>
      </c>
      <c r="E111" s="398">
        <f>'A) Base RI'!AQ111</f>
        <v>0</v>
      </c>
      <c r="F111" s="398">
        <f>'A) Base RI'!AR111</f>
        <v>-7531.87</v>
      </c>
      <c r="G111" s="404">
        <f t="shared" si="6"/>
        <v>6156791.6799999997</v>
      </c>
      <c r="H111" s="10">
        <f>+'A) Base RI'!E111</f>
        <v>0</v>
      </c>
      <c r="I111" s="10">
        <f>+'A) Base RI'!F111</f>
        <v>0</v>
      </c>
      <c r="J111" s="10">
        <f>+'A) Base RI'!G111+'A) Base RI'!H111+'A) Base RI'!X111</f>
        <v>385587.74</v>
      </c>
      <c r="K111" s="10">
        <f>+'A) Base RI'!I111</f>
        <v>34735.050000000003</v>
      </c>
      <c r="L111" s="10">
        <f>+'A) Base RI'!J111</f>
        <v>124726.16</v>
      </c>
      <c r="M111" s="10">
        <f>+'A) Base RI'!K111</f>
        <v>42009.7</v>
      </c>
      <c r="N111" s="10">
        <f>+'A) Base RI'!Q111</f>
        <v>73754.06</v>
      </c>
      <c r="O111" s="10">
        <f t="shared" si="7"/>
        <v>638478.94999999995</v>
      </c>
      <c r="P111" s="10">
        <f>+'A) Base RI'!L111</f>
        <v>638478.94999999995</v>
      </c>
      <c r="Q111" s="412">
        <f>'A) Base RI'!AS111</f>
        <v>1</v>
      </c>
      <c r="R111" s="404">
        <f t="shared" si="8"/>
        <v>7456083.3399999999</v>
      </c>
      <c r="S111" s="457">
        <f>+'A) Base RI'!AN111</f>
        <v>70</v>
      </c>
      <c r="T111" s="404">
        <f t="shared" si="9"/>
        <v>6775594.6899999995</v>
      </c>
      <c r="U111" s="404">
        <f t="shared" si="10"/>
        <v>106515.47628571428</v>
      </c>
      <c r="V111" s="10">
        <f>+'A) Base RI'!O111</f>
        <v>397671.2</v>
      </c>
      <c r="W111" s="10">
        <f>+'A) Base RI'!P111</f>
        <v>272858.75</v>
      </c>
      <c r="X111" s="10">
        <f>+'A) Base RI'!R111</f>
        <v>275736.40000000002</v>
      </c>
      <c r="Y111" s="404">
        <f t="shared" si="11"/>
        <v>946266.35</v>
      </c>
      <c r="Z111" s="10">
        <f>+'A) Base RI'!N111</f>
        <v>1941083.25</v>
      </c>
      <c r="AA111" s="10">
        <f>'A) Base RI'!AO111</f>
        <v>4917</v>
      </c>
    </row>
    <row r="112" spans="1:27" x14ac:dyDescent="0.25">
      <c r="A112" s="8">
        <f>'A) Base RI'!A112</f>
        <v>5571</v>
      </c>
      <c r="B112" s="32" t="str">
        <f>'A) Base RI'!B112</f>
        <v>Tévenon</v>
      </c>
      <c r="C112" s="10">
        <f>'A) Base RI'!C112+'A) Base RI'!D112</f>
        <v>1350031.3900000001</v>
      </c>
      <c r="D112" s="10">
        <f>'A) Base RI'!AP112</f>
        <v>-25560.43</v>
      </c>
      <c r="E112" s="398">
        <f>'A) Base RI'!AQ112</f>
        <v>0</v>
      </c>
      <c r="F112" s="398">
        <f>'A) Base RI'!AR112</f>
        <v>-0.11</v>
      </c>
      <c r="G112" s="404">
        <f t="shared" si="6"/>
        <v>1324470.8500000001</v>
      </c>
      <c r="H112" s="10">
        <f>+'A) Base RI'!E112</f>
        <v>0</v>
      </c>
      <c r="I112" s="10">
        <f>+'A) Base RI'!F112</f>
        <v>0</v>
      </c>
      <c r="J112" s="10">
        <f>+'A) Base RI'!G112+'A) Base RI'!H112+'A) Base RI'!X112</f>
        <v>16458.009999999998</v>
      </c>
      <c r="K112" s="10">
        <f>+'A) Base RI'!I112</f>
        <v>0</v>
      </c>
      <c r="L112" s="10">
        <f>+'A) Base RI'!J112</f>
        <v>12529.03</v>
      </c>
      <c r="M112" s="10">
        <f>+'A) Base RI'!K112</f>
        <v>8767.2000000000007</v>
      </c>
      <c r="N112" s="10">
        <f>+'A) Base RI'!Q112</f>
        <v>-21.02</v>
      </c>
      <c r="O112" s="10">
        <f t="shared" si="7"/>
        <v>166472.16666666669</v>
      </c>
      <c r="P112" s="10">
        <f>+'A) Base RI'!L112</f>
        <v>199766.6</v>
      </c>
      <c r="Q112" s="412">
        <f>'A) Base RI'!AS112</f>
        <v>1.2</v>
      </c>
      <c r="R112" s="404">
        <f t="shared" si="8"/>
        <v>1528676.2366666668</v>
      </c>
      <c r="S112" s="457">
        <f>+'A) Base RI'!AN112</f>
        <v>71.5</v>
      </c>
      <c r="T112" s="404">
        <f t="shared" si="9"/>
        <v>1353436.87</v>
      </c>
      <c r="U112" s="404">
        <f t="shared" si="10"/>
        <v>21380.087226107229</v>
      </c>
      <c r="V112" s="10">
        <f>+'A) Base RI'!O112</f>
        <v>21402.799999999999</v>
      </c>
      <c r="W112" s="10">
        <f>+'A) Base RI'!P112</f>
        <v>70205.5</v>
      </c>
      <c r="X112" s="10">
        <f>+'A) Base RI'!R112</f>
        <v>32604.15</v>
      </c>
      <c r="Y112" s="404">
        <f t="shared" si="11"/>
        <v>124212.45000000001</v>
      </c>
      <c r="Z112" s="10">
        <f>+'A) Base RI'!N112</f>
        <v>43934.400000000001</v>
      </c>
      <c r="AA112" s="10">
        <f>'A) Base RI'!AO112</f>
        <v>894</v>
      </c>
    </row>
    <row r="113" spans="1:27" x14ac:dyDescent="0.25">
      <c r="A113" s="8">
        <f>'A) Base RI'!A113</f>
        <v>5581</v>
      </c>
      <c r="B113" s="32" t="str">
        <f>'A) Base RI'!B113</f>
        <v>Belmont-sur-Lausanne</v>
      </c>
      <c r="C113" s="10">
        <f>'A) Base RI'!C113+'A) Base RI'!D113</f>
        <v>13950950.27</v>
      </c>
      <c r="D113" s="10">
        <f>'A) Base RI'!AP113</f>
        <v>-119092.76</v>
      </c>
      <c r="E113" s="398">
        <f>'A) Base RI'!AQ113</f>
        <v>0</v>
      </c>
      <c r="F113" s="398">
        <f>'A) Base RI'!AR113</f>
        <v>-13459.88</v>
      </c>
      <c r="G113" s="404">
        <f t="shared" si="6"/>
        <v>13818397.629999999</v>
      </c>
      <c r="H113" s="10">
        <f>+'A) Base RI'!E113</f>
        <v>0</v>
      </c>
      <c r="I113" s="10">
        <f>+'A) Base RI'!F113</f>
        <v>0</v>
      </c>
      <c r="J113" s="10">
        <f>+'A) Base RI'!G113+'A) Base RI'!H113+'A) Base RI'!X113</f>
        <v>172186.74</v>
      </c>
      <c r="K113" s="10">
        <f>+'A) Base RI'!I113</f>
        <v>131942.20000000001</v>
      </c>
      <c r="L113" s="10">
        <f>+'A) Base RI'!J113</f>
        <v>188125.99</v>
      </c>
      <c r="M113" s="10">
        <f>+'A) Base RI'!K113</f>
        <v>46451.95</v>
      </c>
      <c r="N113" s="10">
        <f>+'A) Base RI'!Q113</f>
        <v>2457.84</v>
      </c>
      <c r="O113" s="10">
        <f t="shared" si="7"/>
        <v>936524.5</v>
      </c>
      <c r="P113" s="10">
        <f>+'A) Base RI'!L113</f>
        <v>1404786.75</v>
      </c>
      <c r="Q113" s="412">
        <f>'A) Base RI'!AS113</f>
        <v>1.5</v>
      </c>
      <c r="R113" s="404">
        <f t="shared" si="8"/>
        <v>15296086.849999998</v>
      </c>
      <c r="S113" s="457">
        <f>+'A) Base RI'!AN113</f>
        <v>72</v>
      </c>
      <c r="T113" s="404">
        <f t="shared" si="9"/>
        <v>14313110.399999999</v>
      </c>
      <c r="U113" s="404">
        <f t="shared" si="10"/>
        <v>212445.65069444443</v>
      </c>
      <c r="V113" s="10">
        <f>+'A) Base RI'!O113</f>
        <v>403696.7</v>
      </c>
      <c r="W113" s="10">
        <f>+'A) Base RI'!P113</f>
        <v>817770.75</v>
      </c>
      <c r="X113" s="10">
        <f>+'A) Base RI'!R113</f>
        <v>404928.55</v>
      </c>
      <c r="Y113" s="404">
        <f t="shared" si="11"/>
        <v>1626396</v>
      </c>
      <c r="Z113" s="10">
        <f>+'A) Base RI'!N113</f>
        <v>6504.65</v>
      </c>
      <c r="AA113" s="10">
        <f>'A) Base RI'!AO113</f>
        <v>3756</v>
      </c>
    </row>
    <row r="114" spans="1:27" x14ac:dyDescent="0.25">
      <c r="A114" s="8">
        <f>'A) Base RI'!A114</f>
        <v>5582</v>
      </c>
      <c r="B114" s="32" t="str">
        <f>'A) Base RI'!B114</f>
        <v>Cheseaux-sur-Lausanne</v>
      </c>
      <c r="C114" s="10">
        <f>'A) Base RI'!C114+'A) Base RI'!D114</f>
        <v>10187405.949999999</v>
      </c>
      <c r="D114" s="10">
        <f>'A) Base RI'!AP114</f>
        <v>-110947.42</v>
      </c>
      <c r="E114" s="398">
        <f>'A) Base RI'!AQ114</f>
        <v>0</v>
      </c>
      <c r="F114" s="398">
        <f>'A) Base RI'!AR114</f>
        <v>-2152.39</v>
      </c>
      <c r="G114" s="404">
        <f t="shared" si="6"/>
        <v>10074306.139999999</v>
      </c>
      <c r="H114" s="10">
        <f>+'A) Base RI'!E114</f>
        <v>0</v>
      </c>
      <c r="I114" s="10">
        <f>+'A) Base RI'!F114</f>
        <v>0</v>
      </c>
      <c r="J114" s="10">
        <f>+'A) Base RI'!G114+'A) Base RI'!H114+'A) Base RI'!X114</f>
        <v>443564.71</v>
      </c>
      <c r="K114" s="10">
        <f>+'A) Base RI'!I114</f>
        <v>69493.399999999994</v>
      </c>
      <c r="L114" s="10">
        <f>+'A) Base RI'!J114</f>
        <v>325747.37</v>
      </c>
      <c r="M114" s="10">
        <f>+'A) Base RI'!K114</f>
        <v>81995.5</v>
      </c>
      <c r="N114" s="10">
        <f>+'A) Base RI'!Q114</f>
        <v>39706.730000000003</v>
      </c>
      <c r="O114" s="10">
        <f t="shared" si="7"/>
        <v>921147.6</v>
      </c>
      <c r="P114" s="10">
        <f>+'A) Base RI'!L114</f>
        <v>921147.6</v>
      </c>
      <c r="Q114" s="412">
        <f>'A) Base RI'!AS114</f>
        <v>1</v>
      </c>
      <c r="R114" s="404">
        <f t="shared" si="8"/>
        <v>11955961.449999999</v>
      </c>
      <c r="S114" s="457">
        <f>+'A) Base RI'!AN114</f>
        <v>73</v>
      </c>
      <c r="T114" s="404">
        <f t="shared" si="9"/>
        <v>10952818.35</v>
      </c>
      <c r="U114" s="404">
        <f t="shared" si="10"/>
        <v>163780.29383561644</v>
      </c>
      <c r="V114" s="10">
        <f>+'A) Base RI'!O114</f>
        <v>121067</v>
      </c>
      <c r="W114" s="10">
        <f>+'A) Base RI'!P114</f>
        <v>279093.84999999998</v>
      </c>
      <c r="X114" s="10">
        <f>+'A) Base RI'!R114</f>
        <v>197899.8</v>
      </c>
      <c r="Y114" s="404">
        <f t="shared" si="11"/>
        <v>598060.64999999991</v>
      </c>
      <c r="Z114" s="10">
        <f>+'A) Base RI'!N114</f>
        <v>472098.15</v>
      </c>
      <c r="AA114" s="10">
        <f>'A) Base RI'!AO114</f>
        <v>4367</v>
      </c>
    </row>
    <row r="115" spans="1:27" x14ac:dyDescent="0.25">
      <c r="A115" s="8">
        <f>'A) Base RI'!A115</f>
        <v>5583</v>
      </c>
      <c r="B115" s="32" t="str">
        <f>'A) Base RI'!B115</f>
        <v>Crissier</v>
      </c>
      <c r="C115" s="10">
        <f>'A) Base RI'!C115+'A) Base RI'!D115</f>
        <v>14394064.869999999</v>
      </c>
      <c r="D115" s="10">
        <f>'A) Base RI'!AP115</f>
        <v>-331383.8</v>
      </c>
      <c r="E115" s="398">
        <f>'A) Base RI'!AQ115</f>
        <v>0</v>
      </c>
      <c r="F115" s="398">
        <f>'A) Base RI'!AR115</f>
        <v>-4299.21</v>
      </c>
      <c r="G115" s="404">
        <f t="shared" si="6"/>
        <v>14058381.859999998</v>
      </c>
      <c r="H115" s="10">
        <f>+'A) Base RI'!E115</f>
        <v>0</v>
      </c>
      <c r="I115" s="10">
        <f>+'A) Base RI'!F115</f>
        <v>0</v>
      </c>
      <c r="J115" s="10">
        <f>+'A) Base RI'!G115+'A) Base RI'!H115+'A) Base RI'!X115</f>
        <v>5392739.0600000005</v>
      </c>
      <c r="K115" s="10">
        <f>+'A) Base RI'!I115</f>
        <v>0</v>
      </c>
      <c r="L115" s="10">
        <f>+'A) Base RI'!J115</f>
        <v>1042296.27</v>
      </c>
      <c r="M115" s="10">
        <f>+'A) Base RI'!K115</f>
        <v>354891.75</v>
      </c>
      <c r="N115" s="10">
        <f>+'A) Base RI'!Q115</f>
        <v>49453.58</v>
      </c>
      <c r="O115" s="10">
        <f t="shared" si="7"/>
        <v>2476289.65</v>
      </c>
      <c r="P115" s="10">
        <f>+'A) Base RI'!L115</f>
        <v>2476289.65</v>
      </c>
      <c r="Q115" s="412">
        <f>'A) Base RI'!AS115</f>
        <v>1</v>
      </c>
      <c r="R115" s="404">
        <f t="shared" si="8"/>
        <v>23374052.169999994</v>
      </c>
      <c r="S115" s="457">
        <f>+'A) Base RI'!AN115</f>
        <v>63.5</v>
      </c>
      <c r="T115" s="404">
        <f t="shared" si="9"/>
        <v>20542870.769999996</v>
      </c>
      <c r="U115" s="404">
        <f t="shared" si="10"/>
        <v>368095.30976377946</v>
      </c>
      <c r="V115" s="10">
        <f>+'A) Base RI'!O115</f>
        <v>134944.04999999999</v>
      </c>
      <c r="W115" s="10">
        <f>+'A) Base RI'!P115</f>
        <v>967869.6</v>
      </c>
      <c r="X115" s="10">
        <f>+'A) Base RI'!R115</f>
        <v>407895.5</v>
      </c>
      <c r="Y115" s="404">
        <f t="shared" si="11"/>
        <v>1510709.15</v>
      </c>
      <c r="Z115" s="10">
        <f>+'A) Base RI'!N115</f>
        <v>2295455.25</v>
      </c>
      <c r="AA115" s="10">
        <f>'A) Base RI'!AO115</f>
        <v>8700</v>
      </c>
    </row>
    <row r="116" spans="1:27" x14ac:dyDescent="0.25">
      <c r="A116" s="8">
        <f>'A) Base RI'!A116</f>
        <v>5584</v>
      </c>
      <c r="B116" s="32" t="str">
        <f>'A) Base RI'!B116</f>
        <v>Epalinges</v>
      </c>
      <c r="C116" s="10">
        <f>'A) Base RI'!C116+'A) Base RI'!D116</f>
        <v>27173103.280000001</v>
      </c>
      <c r="D116" s="10">
        <f>'A) Base RI'!AP116</f>
        <v>-297070.43</v>
      </c>
      <c r="E116" s="398">
        <f>'A) Base RI'!AQ116</f>
        <v>0</v>
      </c>
      <c r="F116" s="398">
        <f>'A) Base RI'!AR116</f>
        <v>-81514.34</v>
      </c>
      <c r="G116" s="404">
        <f t="shared" si="6"/>
        <v>26794518.510000002</v>
      </c>
      <c r="H116" s="10">
        <f>+'A) Base RI'!E116</f>
        <v>0</v>
      </c>
      <c r="I116" s="10">
        <f>+'A) Base RI'!F116</f>
        <v>0</v>
      </c>
      <c r="J116" s="10">
        <f>+'A) Base RI'!G116+'A) Base RI'!H116+'A) Base RI'!X116</f>
        <v>952219.05</v>
      </c>
      <c r="K116" s="10">
        <f>+'A) Base RI'!I116</f>
        <v>285041.2</v>
      </c>
      <c r="L116" s="10">
        <f>+'A) Base RI'!J116</f>
        <v>398882.56</v>
      </c>
      <c r="M116" s="10">
        <f>+'A) Base RI'!K116</f>
        <v>272356.65000000002</v>
      </c>
      <c r="N116" s="10">
        <f>+'A) Base RI'!Q116</f>
        <v>93414.96</v>
      </c>
      <c r="O116" s="10">
        <f t="shared" si="7"/>
        <v>2300043.75</v>
      </c>
      <c r="P116" s="10">
        <f>+'A) Base RI'!L116</f>
        <v>2300043.75</v>
      </c>
      <c r="Q116" s="412">
        <f>'A) Base RI'!AS116</f>
        <v>1</v>
      </c>
      <c r="R116" s="404">
        <f t="shared" si="8"/>
        <v>31096476.68</v>
      </c>
      <c r="S116" s="457">
        <f>+'A) Base RI'!AN116</f>
        <v>64.5</v>
      </c>
      <c r="T116" s="404">
        <f t="shared" si="9"/>
        <v>28524076.280000001</v>
      </c>
      <c r="U116" s="404">
        <f t="shared" si="10"/>
        <v>482115.91751937981</v>
      </c>
      <c r="V116" s="10">
        <f>+'A) Base RI'!O116</f>
        <v>801108.5</v>
      </c>
      <c r="W116" s="10">
        <f>+'A) Base RI'!P116</f>
        <v>1422716.85</v>
      </c>
      <c r="X116" s="10">
        <f>+'A) Base RI'!R116</f>
        <v>1316494.45</v>
      </c>
      <c r="Y116" s="404">
        <f t="shared" si="11"/>
        <v>3540319.8</v>
      </c>
      <c r="Z116" s="10">
        <f>+'A) Base RI'!N116</f>
        <v>308569.90000000002</v>
      </c>
      <c r="AA116" s="10">
        <f>'A) Base RI'!AO116</f>
        <v>9755</v>
      </c>
    </row>
    <row r="117" spans="1:27" x14ac:dyDescent="0.25">
      <c r="A117" s="8">
        <f>'A) Base RI'!A117</f>
        <v>5585</v>
      </c>
      <c r="B117" s="32" t="str">
        <f>'A) Base RI'!B117</f>
        <v>Jouxtens-Mézery</v>
      </c>
      <c r="C117" s="10">
        <f>'A) Base RI'!C117+'A) Base RI'!D117</f>
        <v>10956117.23</v>
      </c>
      <c r="D117" s="10">
        <f>'A) Base RI'!AP117</f>
        <v>-10146.69</v>
      </c>
      <c r="E117" s="398">
        <f>'A) Base RI'!AQ117</f>
        <v>0</v>
      </c>
      <c r="F117" s="398">
        <f>'A) Base RI'!AR117</f>
        <v>-15778.42</v>
      </c>
      <c r="G117" s="404">
        <f t="shared" si="6"/>
        <v>10930192.120000001</v>
      </c>
      <c r="H117" s="10">
        <f>+'A) Base RI'!E117</f>
        <v>0</v>
      </c>
      <c r="I117" s="10">
        <f>+'A) Base RI'!F117</f>
        <v>0</v>
      </c>
      <c r="J117" s="10">
        <f>+'A) Base RI'!G117+'A) Base RI'!H117+'A) Base RI'!X117</f>
        <v>94283.01</v>
      </c>
      <c r="K117" s="10">
        <f>+'A) Base RI'!I117</f>
        <v>296758.96000000002</v>
      </c>
      <c r="L117" s="10">
        <f>+'A) Base RI'!J117</f>
        <v>48157.27</v>
      </c>
      <c r="M117" s="10">
        <f>+'A) Base RI'!K117</f>
        <v>8097.1</v>
      </c>
      <c r="N117" s="10">
        <f>+'A) Base RI'!Q117</f>
        <v>0</v>
      </c>
      <c r="O117" s="10">
        <f t="shared" si="7"/>
        <v>569301.85</v>
      </c>
      <c r="P117" s="10">
        <f>+'A) Base RI'!L117</f>
        <v>569301.85</v>
      </c>
      <c r="Q117" s="412">
        <f>'A) Base RI'!AS117</f>
        <v>1</v>
      </c>
      <c r="R117" s="404">
        <f t="shared" si="8"/>
        <v>11946790.310000001</v>
      </c>
      <c r="S117" s="457">
        <f>+'A) Base RI'!AN117</f>
        <v>59</v>
      </c>
      <c r="T117" s="404">
        <f t="shared" si="9"/>
        <v>11369391.360000001</v>
      </c>
      <c r="U117" s="404">
        <f t="shared" si="10"/>
        <v>202487.97135593221</v>
      </c>
      <c r="V117" s="10">
        <f>+'A) Base RI'!O117</f>
        <v>435141.9</v>
      </c>
      <c r="W117" s="10">
        <f>+'A) Base RI'!P117</f>
        <v>291775.95</v>
      </c>
      <c r="X117" s="10">
        <f>+'A) Base RI'!R117</f>
        <v>369624.65</v>
      </c>
      <c r="Y117" s="404">
        <f t="shared" si="11"/>
        <v>1096542.5</v>
      </c>
      <c r="Z117" s="10">
        <f>+'A) Base RI'!N117</f>
        <v>1302.3</v>
      </c>
      <c r="AA117" s="10">
        <f>'A) Base RI'!AO117</f>
        <v>1411</v>
      </c>
    </row>
    <row r="118" spans="1:27" x14ac:dyDescent="0.25">
      <c r="A118" s="8">
        <f>'A) Base RI'!A118</f>
        <v>5586</v>
      </c>
      <c r="B118" s="32" t="str">
        <f>'A) Base RI'!B118</f>
        <v>Lausanne</v>
      </c>
      <c r="C118" s="10">
        <f>'A) Base RI'!C118+'A) Base RI'!D118</f>
        <v>342038140.25</v>
      </c>
      <c r="D118" s="10">
        <f>'A) Base RI'!AP118</f>
        <v>-6854187.4400000004</v>
      </c>
      <c r="E118" s="398">
        <f>'A) Base RI'!AQ118</f>
        <v>0</v>
      </c>
      <c r="F118" s="398">
        <f>'A) Base RI'!AR118</f>
        <v>-740552.9</v>
      </c>
      <c r="G118" s="404">
        <f t="shared" si="6"/>
        <v>334443399.91000003</v>
      </c>
      <c r="H118" s="10">
        <f>+'A) Base RI'!E118</f>
        <v>0</v>
      </c>
      <c r="I118" s="10">
        <f>+'A) Base RI'!F118</f>
        <v>0</v>
      </c>
      <c r="J118" s="10">
        <f>+'A) Base RI'!G118+'A) Base RI'!H118+'A) Base RI'!X118</f>
        <v>90933629.170000002</v>
      </c>
      <c r="K118" s="10">
        <f>+'A) Base RI'!I118</f>
        <v>5562328.7800000003</v>
      </c>
      <c r="L118" s="10">
        <f>+'A) Base RI'!J118</f>
        <v>24474697.559999999</v>
      </c>
      <c r="M118" s="10">
        <f>+'A) Base RI'!K118</f>
        <v>6699861.25</v>
      </c>
      <c r="N118" s="10">
        <f>+'A) Base RI'!Q118</f>
        <v>1648272.55</v>
      </c>
      <c r="O118" s="10">
        <f t="shared" si="7"/>
        <v>28618406.766666666</v>
      </c>
      <c r="P118" s="10">
        <f>+'A) Base RI'!L118</f>
        <v>42927610.149999999</v>
      </c>
      <c r="Q118" s="412">
        <f>'A) Base RI'!AS118</f>
        <v>1.5</v>
      </c>
      <c r="R118" s="404">
        <f t="shared" si="8"/>
        <v>492380595.98666668</v>
      </c>
      <c r="S118" s="457">
        <f>+'A) Base RI'!AN118</f>
        <v>78.5</v>
      </c>
      <c r="T118" s="404">
        <f t="shared" si="9"/>
        <v>457062327.97000003</v>
      </c>
      <c r="U118" s="404">
        <f t="shared" si="10"/>
        <v>6272364.2800849257</v>
      </c>
      <c r="V118" s="10">
        <f>+'A) Base RI'!O118</f>
        <v>12289230.4</v>
      </c>
      <c r="W118" s="10">
        <f>+'A) Base RI'!P118</f>
        <v>11894547.550000001</v>
      </c>
      <c r="X118" s="10">
        <f>+'A) Base RI'!R118</f>
        <v>12773118.1</v>
      </c>
      <c r="Y118" s="404">
        <f t="shared" si="11"/>
        <v>36956896.050000004</v>
      </c>
      <c r="Z118" s="10">
        <f>+'A) Base RI'!N118</f>
        <v>13812872.5</v>
      </c>
      <c r="AA118" s="10">
        <f>'A) Base RI'!AO118</f>
        <v>140430</v>
      </c>
    </row>
    <row r="119" spans="1:27" x14ac:dyDescent="0.25">
      <c r="A119" s="8">
        <f>'A) Base RI'!A119</f>
        <v>5587</v>
      </c>
      <c r="B119" s="32" t="str">
        <f>'A) Base RI'!B119</f>
        <v>Le Mont-sur-Lausanne</v>
      </c>
      <c r="C119" s="10">
        <f>'A) Base RI'!C119+'A) Base RI'!D119</f>
        <v>28351500.41</v>
      </c>
      <c r="D119" s="10">
        <f>'A) Base RI'!AP119</f>
        <v>-1660558.52</v>
      </c>
      <c r="E119" s="398">
        <f>'A) Base RI'!AQ119</f>
        <v>0</v>
      </c>
      <c r="F119" s="398">
        <f>'A) Base RI'!AR119</f>
        <v>-42495.95</v>
      </c>
      <c r="G119" s="404">
        <f t="shared" si="6"/>
        <v>26648445.940000001</v>
      </c>
      <c r="H119" s="10">
        <f>+'A) Base RI'!E119</f>
        <v>0</v>
      </c>
      <c r="I119" s="10">
        <f>+'A) Base RI'!F119</f>
        <v>0</v>
      </c>
      <c r="J119" s="10">
        <f>+'A) Base RI'!G119+'A) Base RI'!H119+'A) Base RI'!X119</f>
        <v>2175787.39</v>
      </c>
      <c r="K119" s="10">
        <f>+'A) Base RI'!I119</f>
        <v>303939.15000000002</v>
      </c>
      <c r="L119" s="10">
        <f>+'A) Base RI'!J119</f>
        <v>487004.75</v>
      </c>
      <c r="M119" s="10">
        <f>+'A) Base RI'!K119</f>
        <v>327992.5</v>
      </c>
      <c r="N119" s="10">
        <f>+'A) Base RI'!Q119</f>
        <v>57226.67</v>
      </c>
      <c r="O119" s="10">
        <f t="shared" si="7"/>
        <v>2549868</v>
      </c>
      <c r="P119" s="10">
        <f>+'A) Base RI'!L119</f>
        <v>3059841.6</v>
      </c>
      <c r="Q119" s="412">
        <f>'A) Base RI'!AS119</f>
        <v>1.2</v>
      </c>
      <c r="R119" s="404">
        <f t="shared" si="8"/>
        <v>32550264.400000002</v>
      </c>
      <c r="S119" s="457">
        <f>+'A) Base RI'!AN119</f>
        <v>73.5</v>
      </c>
      <c r="T119" s="404">
        <f t="shared" si="9"/>
        <v>29672403.900000002</v>
      </c>
      <c r="U119" s="404">
        <f t="shared" si="10"/>
        <v>442860.74013605446</v>
      </c>
      <c r="V119" s="10">
        <f>+'A) Base RI'!O119</f>
        <v>1395734.6</v>
      </c>
      <c r="W119" s="10">
        <f>+'A) Base RI'!P119</f>
        <v>1269317.8</v>
      </c>
      <c r="X119" s="10">
        <f>+'A) Base RI'!R119</f>
        <v>506246</v>
      </c>
      <c r="Y119" s="404">
        <f t="shared" si="11"/>
        <v>3171298.4000000004</v>
      </c>
      <c r="Z119" s="10">
        <f>+'A) Base RI'!N119</f>
        <v>522589.6</v>
      </c>
      <c r="AA119" s="10">
        <f>'A) Base RI'!AO119</f>
        <v>9136</v>
      </c>
    </row>
    <row r="120" spans="1:27" x14ac:dyDescent="0.25">
      <c r="A120" s="8">
        <f>'A) Base RI'!A120</f>
        <v>5588</v>
      </c>
      <c r="B120" s="32" t="str">
        <f>'A) Base RI'!B120</f>
        <v>Paudex</v>
      </c>
      <c r="C120" s="10">
        <f>'A) Base RI'!C120+'A) Base RI'!D120</f>
        <v>5948318.2999999998</v>
      </c>
      <c r="D120" s="10">
        <f>'A) Base RI'!AP120</f>
        <v>-21713.48</v>
      </c>
      <c r="E120" s="398">
        <f>'A) Base RI'!AQ120</f>
        <v>0</v>
      </c>
      <c r="F120" s="398">
        <f>'A) Base RI'!AR120</f>
        <v>-53249.09</v>
      </c>
      <c r="G120" s="404">
        <f t="shared" si="6"/>
        <v>5873355.7299999995</v>
      </c>
      <c r="H120" s="10">
        <f>+'A) Base RI'!E120</f>
        <v>0</v>
      </c>
      <c r="I120" s="10">
        <f>+'A) Base RI'!F120</f>
        <v>0</v>
      </c>
      <c r="J120" s="10">
        <f>+'A) Base RI'!G120+'A) Base RI'!H120+'A) Base RI'!X120</f>
        <v>420067.20999999996</v>
      </c>
      <c r="K120" s="10">
        <f>+'A) Base RI'!I120</f>
        <v>1773887.12</v>
      </c>
      <c r="L120" s="10">
        <f>+'A) Base RI'!J120</f>
        <v>312946.12</v>
      </c>
      <c r="M120" s="10">
        <f>+'A) Base RI'!K120</f>
        <v>53488.55</v>
      </c>
      <c r="N120" s="10">
        <f>+'A) Base RI'!Q120</f>
        <v>4490.5600000000004</v>
      </c>
      <c r="O120" s="10">
        <f t="shared" si="7"/>
        <v>569095.78571428568</v>
      </c>
      <c r="P120" s="10">
        <f>+'A) Base RI'!L120</f>
        <v>398367.05</v>
      </c>
      <c r="Q120" s="412">
        <f>'A) Base RI'!AS120</f>
        <v>0.7</v>
      </c>
      <c r="R120" s="404">
        <f t="shared" si="8"/>
        <v>9007331.0757142864</v>
      </c>
      <c r="S120" s="457">
        <f>+'A) Base RI'!AN120</f>
        <v>66.5</v>
      </c>
      <c r="T120" s="404">
        <f t="shared" si="9"/>
        <v>8384746.7399999993</v>
      </c>
      <c r="U120" s="404">
        <f t="shared" si="10"/>
        <v>135448.58760472611</v>
      </c>
      <c r="V120" s="10">
        <f>+'A) Base RI'!O120</f>
        <v>0</v>
      </c>
      <c r="W120" s="10">
        <f>+'A) Base RI'!P120</f>
        <v>324217.90000000002</v>
      </c>
      <c r="X120" s="10">
        <f>+'A) Base RI'!R120</f>
        <v>210737.25</v>
      </c>
      <c r="Y120" s="404">
        <f t="shared" si="11"/>
        <v>534955.15</v>
      </c>
      <c r="Z120" s="10">
        <f>+'A) Base RI'!N120</f>
        <v>18272.150000000001</v>
      </c>
      <c r="AA120" s="10">
        <f>'A) Base RI'!AO120</f>
        <v>1538</v>
      </c>
    </row>
    <row r="121" spans="1:27" x14ac:dyDescent="0.25">
      <c r="A121" s="8">
        <f>'A) Base RI'!A121</f>
        <v>5589</v>
      </c>
      <c r="B121" s="32" t="str">
        <f>'A) Base RI'!B121</f>
        <v>Prilly</v>
      </c>
      <c r="C121" s="10">
        <f>'A) Base RI'!C121+'A) Base RI'!D121</f>
        <v>21807574.990000002</v>
      </c>
      <c r="D121" s="10">
        <f>'A) Base RI'!AP121</f>
        <v>-335813.23</v>
      </c>
      <c r="E121" s="398">
        <f>'A) Base RI'!AQ121</f>
        <v>0</v>
      </c>
      <c r="F121" s="398">
        <f>'A) Base RI'!AR121</f>
        <v>-18843.54</v>
      </c>
      <c r="G121" s="404">
        <f t="shared" si="6"/>
        <v>21452918.220000003</v>
      </c>
      <c r="H121" s="10">
        <f>+'A) Base RI'!E121</f>
        <v>0</v>
      </c>
      <c r="I121" s="10">
        <f>+'A) Base RI'!F121</f>
        <v>0</v>
      </c>
      <c r="J121" s="10">
        <f>+'A) Base RI'!G121+'A) Base RI'!H121+'A) Base RI'!X121</f>
        <v>6907454.5700000003</v>
      </c>
      <c r="K121" s="10">
        <f>+'A) Base RI'!I121</f>
        <v>194742.55</v>
      </c>
      <c r="L121" s="10">
        <f>+'A) Base RI'!J121</f>
        <v>1577734.95</v>
      </c>
      <c r="M121" s="10">
        <f>+'A) Base RI'!K121</f>
        <v>476420.1</v>
      </c>
      <c r="N121" s="10">
        <f>+'A) Base RI'!Q121</f>
        <v>64448.13</v>
      </c>
      <c r="O121" s="10">
        <f t="shared" si="7"/>
        <v>2315030.269230769</v>
      </c>
      <c r="P121" s="10">
        <f>+'A) Base RI'!L121</f>
        <v>3009539.35</v>
      </c>
      <c r="Q121" s="412">
        <f>'A) Base RI'!AS121</f>
        <v>1.3</v>
      </c>
      <c r="R121" s="404">
        <f t="shared" si="8"/>
        <v>32988748.789230771</v>
      </c>
      <c r="S121" s="457">
        <f>+'A) Base RI'!AN121</f>
        <v>72.5</v>
      </c>
      <c r="T121" s="404">
        <f t="shared" si="9"/>
        <v>30197298.420000002</v>
      </c>
      <c r="U121" s="404">
        <f t="shared" si="10"/>
        <v>455017.22467904515</v>
      </c>
      <c r="V121" s="10">
        <f>+'A) Base RI'!O121</f>
        <v>710258.8</v>
      </c>
      <c r="W121" s="10">
        <f>+'A) Base RI'!P121</f>
        <v>666016.44999999995</v>
      </c>
      <c r="X121" s="10">
        <f>+'A) Base RI'!R121</f>
        <v>566627.85</v>
      </c>
      <c r="Y121" s="404">
        <f t="shared" si="11"/>
        <v>1942903.1</v>
      </c>
      <c r="Z121" s="10">
        <f>+'A) Base RI'!N121</f>
        <v>1167452.6499999999</v>
      </c>
      <c r="AA121" s="10">
        <f>'A) Base RI'!AO121</f>
        <v>12383</v>
      </c>
    </row>
    <row r="122" spans="1:27" x14ac:dyDescent="0.25">
      <c r="A122" s="8">
        <f>'A) Base RI'!A122</f>
        <v>5590</v>
      </c>
      <c r="B122" s="32" t="str">
        <f>'A) Base RI'!B122</f>
        <v>Pully</v>
      </c>
      <c r="C122" s="10">
        <f>'A) Base RI'!C122+'A) Base RI'!D122</f>
        <v>72947899.200000003</v>
      </c>
      <c r="D122" s="10">
        <f>'A) Base RI'!AP122</f>
        <v>-425355.01</v>
      </c>
      <c r="E122" s="398">
        <f>'A) Base RI'!AQ122</f>
        <v>0</v>
      </c>
      <c r="F122" s="398">
        <f>'A) Base RI'!AR122</f>
        <v>-766422.94</v>
      </c>
      <c r="G122" s="404">
        <f t="shared" si="6"/>
        <v>71756121.25</v>
      </c>
      <c r="H122" s="10">
        <f>+'A) Base RI'!E122</f>
        <v>0</v>
      </c>
      <c r="I122" s="10">
        <f>+'A) Base RI'!F122</f>
        <v>0</v>
      </c>
      <c r="J122" s="10">
        <f>+'A) Base RI'!G122+'A) Base RI'!H122+'A) Base RI'!X122</f>
        <v>8594876.0199999996</v>
      </c>
      <c r="K122" s="10">
        <f>+'A) Base RI'!I122</f>
        <v>2885824.78</v>
      </c>
      <c r="L122" s="10">
        <f>+'A) Base RI'!J122</f>
        <v>1229871.8899999999</v>
      </c>
      <c r="M122" s="10">
        <f>+'A) Base RI'!K122</f>
        <v>372675.2</v>
      </c>
      <c r="N122" s="10">
        <f>+'A) Base RI'!Q122</f>
        <v>97237.75</v>
      </c>
      <c r="O122" s="10">
        <f t="shared" si="7"/>
        <v>5281147.7857142864</v>
      </c>
      <c r="P122" s="10">
        <f>+'A) Base RI'!L122</f>
        <v>3696803.45</v>
      </c>
      <c r="Q122" s="412">
        <f>'A) Base RI'!AS122</f>
        <v>0.7</v>
      </c>
      <c r="R122" s="404">
        <f t="shared" si="8"/>
        <v>90217754.675714284</v>
      </c>
      <c r="S122" s="457">
        <f>+'A) Base RI'!AN122</f>
        <v>61</v>
      </c>
      <c r="T122" s="404">
        <f t="shared" si="9"/>
        <v>84563931.689999998</v>
      </c>
      <c r="U122" s="404">
        <f t="shared" si="10"/>
        <v>1478979.5848477751</v>
      </c>
      <c r="V122" s="10">
        <f>+'A) Base RI'!O122</f>
        <v>1762846</v>
      </c>
      <c r="W122" s="10">
        <f>+'A) Base RI'!P122</f>
        <v>4021807.65</v>
      </c>
      <c r="X122" s="10">
        <f>+'A) Base RI'!R122</f>
        <v>3175239.05</v>
      </c>
      <c r="Y122" s="404">
        <f t="shared" si="11"/>
        <v>8959892.6999999993</v>
      </c>
      <c r="Z122" s="10">
        <f>+'A) Base RI'!N122</f>
        <v>153086.15</v>
      </c>
      <c r="AA122" s="10">
        <f>'A) Base RI'!AO122</f>
        <v>18688</v>
      </c>
    </row>
    <row r="123" spans="1:27" x14ac:dyDescent="0.25">
      <c r="A123" s="8">
        <f>'A) Base RI'!A123</f>
        <v>5591</v>
      </c>
      <c r="B123" s="32" t="str">
        <f>'A) Base RI'!B123</f>
        <v>Renens</v>
      </c>
      <c r="C123" s="10">
        <f>'A) Base RI'!C123+'A) Base RI'!D123</f>
        <v>32775631.699999999</v>
      </c>
      <c r="D123" s="10">
        <f>'A) Base RI'!AP123</f>
        <v>-1308350.45</v>
      </c>
      <c r="E123" s="398">
        <f>'A) Base RI'!AQ123</f>
        <v>0</v>
      </c>
      <c r="F123" s="398">
        <f>'A) Base RI'!AR123</f>
        <v>-8754.91</v>
      </c>
      <c r="G123" s="404">
        <f t="shared" si="6"/>
        <v>31458526.34</v>
      </c>
      <c r="H123" s="10">
        <f>+'A) Base RI'!E123</f>
        <v>0</v>
      </c>
      <c r="I123" s="10">
        <f>+'A) Base RI'!F123</f>
        <v>0</v>
      </c>
      <c r="J123" s="10">
        <f>+'A) Base RI'!G123+'A) Base RI'!H123+'A) Base RI'!X123</f>
        <v>7386408.2000000002</v>
      </c>
      <c r="K123" s="10">
        <f>+'A) Base RI'!I123</f>
        <v>0</v>
      </c>
      <c r="L123" s="10">
        <f>+'A) Base RI'!J123</f>
        <v>2464233.13</v>
      </c>
      <c r="M123" s="10">
        <f>+'A) Base RI'!K123</f>
        <v>728905.4</v>
      </c>
      <c r="N123" s="10">
        <f>+'A) Base RI'!Q123</f>
        <v>329854.67</v>
      </c>
      <c r="O123" s="10">
        <f t="shared" si="7"/>
        <v>3581714.6785714286</v>
      </c>
      <c r="P123" s="10">
        <f>+'A) Base RI'!L123</f>
        <v>5014400.55</v>
      </c>
      <c r="Q123" s="412">
        <f>'A) Base RI'!AS123</f>
        <v>1.4</v>
      </c>
      <c r="R123" s="404">
        <f t="shared" si="8"/>
        <v>45949642.418571427</v>
      </c>
      <c r="S123" s="457">
        <f>+'A) Base RI'!AN123</f>
        <v>77</v>
      </c>
      <c r="T123" s="404">
        <f t="shared" si="9"/>
        <v>41639022.340000004</v>
      </c>
      <c r="U123" s="404">
        <f t="shared" si="10"/>
        <v>596748.60283858993</v>
      </c>
      <c r="V123" s="10">
        <f>+'A) Base RI'!O123</f>
        <v>1102475.1000000001</v>
      </c>
      <c r="W123" s="10">
        <f>+'A) Base RI'!P123</f>
        <v>2169137.5</v>
      </c>
      <c r="X123" s="10">
        <f>+'A) Base RI'!R123</f>
        <v>1117007.05</v>
      </c>
      <c r="Y123" s="404">
        <f t="shared" si="11"/>
        <v>4388619.6500000004</v>
      </c>
      <c r="Z123" s="10">
        <f>+'A) Base RI'!N123</f>
        <v>2364789</v>
      </c>
      <c r="AA123" s="10">
        <f>'A) Base RI'!AO123</f>
        <v>20863</v>
      </c>
    </row>
    <row r="124" spans="1:27" x14ac:dyDescent="0.25">
      <c r="A124" s="8">
        <f>'A) Base RI'!A124</f>
        <v>5592</v>
      </c>
      <c r="B124" s="32" t="str">
        <f>'A) Base RI'!B124</f>
        <v>Romanel-sur-Lausanne</v>
      </c>
      <c r="C124" s="10">
        <f>'A) Base RI'!C124+'A) Base RI'!D124</f>
        <v>6871404.5299999993</v>
      </c>
      <c r="D124" s="10">
        <f>'A) Base RI'!AP124</f>
        <v>-117204.62</v>
      </c>
      <c r="E124" s="398">
        <f>'A) Base RI'!AQ124</f>
        <v>0</v>
      </c>
      <c r="F124" s="398">
        <f>'A) Base RI'!AR124</f>
        <v>-12135.29</v>
      </c>
      <c r="G124" s="404">
        <f t="shared" si="6"/>
        <v>6742064.6199999992</v>
      </c>
      <c r="H124" s="10">
        <f>+'A) Base RI'!E124</f>
        <v>0</v>
      </c>
      <c r="I124" s="10">
        <f>+'A) Base RI'!F124</f>
        <v>0</v>
      </c>
      <c r="J124" s="10">
        <f>+'A) Base RI'!G124+'A) Base RI'!H124+'A) Base RI'!X124</f>
        <v>707451.35</v>
      </c>
      <c r="K124" s="10">
        <f>+'A) Base RI'!I124</f>
        <v>45581.35</v>
      </c>
      <c r="L124" s="10">
        <f>+'A) Base RI'!J124</f>
        <v>186916.63</v>
      </c>
      <c r="M124" s="10">
        <f>+'A) Base RI'!K124</f>
        <v>141567.75</v>
      </c>
      <c r="N124" s="10">
        <f>+'A) Base RI'!Q124</f>
        <v>50808.95</v>
      </c>
      <c r="O124" s="10">
        <f t="shared" si="7"/>
        <v>676712.76</v>
      </c>
      <c r="P124" s="10">
        <f>+'A) Base RI'!L124</f>
        <v>845890.95</v>
      </c>
      <c r="Q124" s="412">
        <f>'A) Base RI'!AS124</f>
        <v>1.25</v>
      </c>
      <c r="R124" s="404">
        <f t="shared" si="8"/>
        <v>8551103.4099999983</v>
      </c>
      <c r="S124" s="457">
        <f>+'A) Base RI'!AN124</f>
        <v>70.5</v>
      </c>
      <c r="T124" s="404">
        <f t="shared" si="9"/>
        <v>7732822.8999999985</v>
      </c>
      <c r="U124" s="404">
        <f t="shared" si="10"/>
        <v>121292.24695035459</v>
      </c>
      <c r="V124" s="10">
        <f>+'A) Base RI'!O124</f>
        <v>83.5</v>
      </c>
      <c r="W124" s="10">
        <f>+'A) Base RI'!P124</f>
        <v>301143.25</v>
      </c>
      <c r="X124" s="10">
        <f>+'A) Base RI'!R124</f>
        <v>112571.65</v>
      </c>
      <c r="Y124" s="404">
        <f t="shared" si="11"/>
        <v>413798.40000000002</v>
      </c>
      <c r="Z124" s="10">
        <f>+'A) Base RI'!N124</f>
        <v>220475.4</v>
      </c>
      <c r="AA124" s="10">
        <f>'A) Base RI'!AO124</f>
        <v>3247</v>
      </c>
    </row>
    <row r="125" spans="1:27" x14ac:dyDescent="0.25">
      <c r="A125" s="8">
        <f>'A) Base RI'!A125</f>
        <v>5601</v>
      </c>
      <c r="B125" s="32" t="str">
        <f>'A) Base RI'!B125</f>
        <v>Chexbres</v>
      </c>
      <c r="C125" s="10">
        <f>'A) Base RI'!C125+'A) Base RI'!D125</f>
        <v>5939369.3099999996</v>
      </c>
      <c r="D125" s="10">
        <f>'A) Base RI'!AP125</f>
        <v>-12673.96</v>
      </c>
      <c r="E125" s="398">
        <f>'A) Base RI'!AQ125</f>
        <v>0</v>
      </c>
      <c r="F125" s="398">
        <f>'A) Base RI'!AR125</f>
        <v>-7708.02</v>
      </c>
      <c r="G125" s="404">
        <f t="shared" si="6"/>
        <v>5918987.3300000001</v>
      </c>
      <c r="H125" s="10">
        <f>+'A) Base RI'!E125</f>
        <v>0</v>
      </c>
      <c r="I125" s="10">
        <f>+'A) Base RI'!F125</f>
        <v>0</v>
      </c>
      <c r="J125" s="10">
        <f>+'A) Base RI'!G125+'A) Base RI'!H125+'A) Base RI'!X125</f>
        <v>67122.17</v>
      </c>
      <c r="K125" s="10">
        <f>+'A) Base RI'!I125</f>
        <v>13068.55</v>
      </c>
      <c r="L125" s="10">
        <f>+'A) Base RI'!J125</f>
        <v>121037.52</v>
      </c>
      <c r="M125" s="10">
        <f>+'A) Base RI'!K125</f>
        <v>7556.7</v>
      </c>
      <c r="N125" s="10">
        <f>+'A) Base RI'!Q125</f>
        <v>1536.82</v>
      </c>
      <c r="O125" s="10">
        <f t="shared" si="7"/>
        <v>490552.9</v>
      </c>
      <c r="P125" s="10">
        <f>+'A) Base RI'!L125</f>
        <v>490552.9</v>
      </c>
      <c r="Q125" s="412">
        <f>'A) Base RI'!AS125</f>
        <v>1</v>
      </c>
      <c r="R125" s="404">
        <f t="shared" si="8"/>
        <v>6619861.9900000002</v>
      </c>
      <c r="S125" s="457">
        <f>+'A) Base RI'!AN125</f>
        <v>67.5</v>
      </c>
      <c r="T125" s="404">
        <f t="shared" si="9"/>
        <v>6121752.3899999997</v>
      </c>
      <c r="U125" s="404">
        <f t="shared" si="10"/>
        <v>98072.029481481484</v>
      </c>
      <c r="V125" s="10">
        <f>+'A) Base RI'!O125</f>
        <v>310583.40000000002</v>
      </c>
      <c r="W125" s="10">
        <f>+'A) Base RI'!P125</f>
        <v>590638.19999999995</v>
      </c>
      <c r="X125" s="10">
        <f>+'A) Base RI'!R125</f>
        <v>763633.75</v>
      </c>
      <c r="Y125" s="404">
        <f t="shared" si="11"/>
        <v>1664855.35</v>
      </c>
      <c r="Z125" s="10">
        <f>+'A) Base RI'!N125</f>
        <v>47732.35</v>
      </c>
      <c r="AA125" s="10">
        <f>'A) Base RI'!AO125</f>
        <v>2251</v>
      </c>
    </row>
    <row r="126" spans="1:27" x14ac:dyDescent="0.25">
      <c r="A126" s="8">
        <f>'A) Base RI'!A126</f>
        <v>5604</v>
      </c>
      <c r="B126" s="32" t="str">
        <f>'A) Base RI'!B126</f>
        <v>Forel (Lavaux)</v>
      </c>
      <c r="C126" s="10">
        <f>'A) Base RI'!C126+'A) Base RI'!D126</f>
        <v>4281467.7799999993</v>
      </c>
      <c r="D126" s="10">
        <f>'A) Base RI'!AP126</f>
        <v>-43233.91</v>
      </c>
      <c r="E126" s="398">
        <f>'A) Base RI'!AQ126</f>
        <v>0</v>
      </c>
      <c r="F126" s="398">
        <f>'A) Base RI'!AR126</f>
        <v>-1455.11</v>
      </c>
      <c r="G126" s="404">
        <f t="shared" si="6"/>
        <v>4236778.7599999988</v>
      </c>
      <c r="H126" s="10">
        <f>+'A) Base RI'!E126</f>
        <v>0</v>
      </c>
      <c r="I126" s="10">
        <f>+'A) Base RI'!F126</f>
        <v>0</v>
      </c>
      <c r="J126" s="10">
        <f>+'A) Base RI'!G126+'A) Base RI'!H126+'A) Base RI'!X126</f>
        <v>154797.71</v>
      </c>
      <c r="K126" s="10">
        <f>+'A) Base RI'!I126</f>
        <v>0</v>
      </c>
      <c r="L126" s="10">
        <f>+'A) Base RI'!J126</f>
        <v>86748.479999999996</v>
      </c>
      <c r="M126" s="10">
        <f>+'A) Base RI'!K126</f>
        <v>20348.599999999999</v>
      </c>
      <c r="N126" s="10">
        <f>+'A) Base RI'!Q126</f>
        <v>16420.169999999998</v>
      </c>
      <c r="O126" s="10">
        <f t="shared" si="7"/>
        <v>405290.4</v>
      </c>
      <c r="P126" s="10">
        <f>+'A) Base RI'!L126</f>
        <v>405290.4</v>
      </c>
      <c r="Q126" s="412">
        <f>'A) Base RI'!AS126</f>
        <v>1</v>
      </c>
      <c r="R126" s="404">
        <f t="shared" si="8"/>
        <v>4920384.1199999992</v>
      </c>
      <c r="S126" s="457">
        <f>+'A) Base RI'!AN126</f>
        <v>69</v>
      </c>
      <c r="T126" s="404">
        <f t="shared" si="9"/>
        <v>4494745.1199999992</v>
      </c>
      <c r="U126" s="404">
        <f t="shared" si="10"/>
        <v>71309.914782608685</v>
      </c>
      <c r="V126" s="10">
        <f>+'A) Base RI'!O126</f>
        <v>-54.75</v>
      </c>
      <c r="W126" s="10">
        <f>+'A) Base RI'!P126</f>
        <v>210749.5</v>
      </c>
      <c r="X126" s="10">
        <f>+'A) Base RI'!R126</f>
        <v>103810.7</v>
      </c>
      <c r="Y126" s="404">
        <f t="shared" si="11"/>
        <v>314505.45</v>
      </c>
      <c r="Z126" s="10">
        <f>+'A) Base RI'!N126</f>
        <v>105948.3</v>
      </c>
      <c r="AA126" s="10">
        <f>'A) Base RI'!AO126</f>
        <v>2105</v>
      </c>
    </row>
    <row r="127" spans="1:27" x14ac:dyDescent="0.25">
      <c r="A127" s="8">
        <f>'A) Base RI'!A127</f>
        <v>5606</v>
      </c>
      <c r="B127" s="32" t="str">
        <f>'A) Base RI'!B127</f>
        <v>Lutry</v>
      </c>
      <c r="C127" s="10">
        <f>'A) Base RI'!C127+'A) Base RI'!D127</f>
        <v>39751059.530000001</v>
      </c>
      <c r="D127" s="10">
        <f>'A) Base RI'!AP127</f>
        <v>-128103.74</v>
      </c>
      <c r="E127" s="398">
        <f>'A) Base RI'!AQ127</f>
        <v>0</v>
      </c>
      <c r="F127" s="398">
        <f>'A) Base RI'!AR127</f>
        <v>-111574.46</v>
      </c>
      <c r="G127" s="404">
        <f t="shared" si="6"/>
        <v>39511381.329999998</v>
      </c>
      <c r="H127" s="10">
        <f>+'A) Base RI'!E127</f>
        <v>0</v>
      </c>
      <c r="I127" s="10">
        <f>+'A) Base RI'!F127</f>
        <v>0</v>
      </c>
      <c r="J127" s="10">
        <f>+'A) Base RI'!G127+'A) Base RI'!H127+'A) Base RI'!X127</f>
        <v>2873275.42</v>
      </c>
      <c r="K127" s="10">
        <f>+'A) Base RI'!I127</f>
        <v>1361832.33</v>
      </c>
      <c r="L127" s="10">
        <f>+'A) Base RI'!J127</f>
        <v>271196.74</v>
      </c>
      <c r="M127" s="10">
        <f>+'A) Base RI'!K127</f>
        <v>139267.6</v>
      </c>
      <c r="N127" s="10">
        <f>+'A) Base RI'!Q127</f>
        <v>-90098.94</v>
      </c>
      <c r="O127" s="10">
        <f t="shared" si="7"/>
        <v>3195585.6428571432</v>
      </c>
      <c r="P127" s="10">
        <f>+'A) Base RI'!L127</f>
        <v>2236909.9500000002</v>
      </c>
      <c r="Q127" s="412">
        <f>'A) Base RI'!AS127</f>
        <v>0.7</v>
      </c>
      <c r="R127" s="404">
        <f t="shared" si="8"/>
        <v>47262440.122857146</v>
      </c>
      <c r="S127" s="457">
        <f>+'A) Base RI'!AN127</f>
        <v>54</v>
      </c>
      <c r="T127" s="404">
        <f t="shared" si="9"/>
        <v>43927586.880000003</v>
      </c>
      <c r="U127" s="404">
        <f t="shared" si="10"/>
        <v>875230.37264550268</v>
      </c>
      <c r="V127" s="10">
        <f>+'A) Base RI'!O127</f>
        <v>1698280.7</v>
      </c>
      <c r="W127" s="10">
        <f>+'A) Base RI'!P127</f>
        <v>2307429.0499999998</v>
      </c>
      <c r="X127" s="10">
        <f>+'A) Base RI'!R127</f>
        <v>1525779.6</v>
      </c>
      <c r="Y127" s="404">
        <f t="shared" si="11"/>
        <v>5531489.3499999996</v>
      </c>
      <c r="Z127" s="10">
        <f>+'A) Base RI'!N127</f>
        <v>149368.25</v>
      </c>
      <c r="AA127" s="10">
        <f>'A) Base RI'!AO127</f>
        <v>10455</v>
      </c>
    </row>
    <row r="128" spans="1:27" x14ac:dyDescent="0.25">
      <c r="A128" s="8">
        <f>'A) Base RI'!A128</f>
        <v>5607</v>
      </c>
      <c r="B128" s="32" t="str">
        <f>'A) Base RI'!B128</f>
        <v>Puidoux</v>
      </c>
      <c r="C128" s="10">
        <f>'A) Base RI'!C128+'A) Base RI'!D128</f>
        <v>5438473.3399999999</v>
      </c>
      <c r="D128" s="10">
        <f>'A) Base RI'!AP128</f>
        <v>-109442.74</v>
      </c>
      <c r="E128" s="398">
        <f>'A) Base RI'!AQ128</f>
        <v>0</v>
      </c>
      <c r="F128" s="398">
        <f>'A) Base RI'!AR128</f>
        <v>-3269.53</v>
      </c>
      <c r="G128" s="404">
        <f t="shared" si="6"/>
        <v>5325761.0699999994</v>
      </c>
      <c r="H128" s="10">
        <f>+'A) Base RI'!E128</f>
        <v>0</v>
      </c>
      <c r="I128" s="10">
        <f>+'A) Base RI'!F128</f>
        <v>0</v>
      </c>
      <c r="J128" s="10">
        <f>+'A) Base RI'!G128+'A) Base RI'!H128+'A) Base RI'!X128</f>
        <v>690999.33</v>
      </c>
      <c r="K128" s="10">
        <f>+'A) Base RI'!I128</f>
        <v>-135.85</v>
      </c>
      <c r="L128" s="10">
        <f>+'A) Base RI'!J128</f>
        <v>211359.3</v>
      </c>
      <c r="M128" s="10">
        <f>+'A) Base RI'!K128</f>
        <v>119887.6</v>
      </c>
      <c r="N128" s="10">
        <f>+'A) Base RI'!Q128</f>
        <v>-2283.14</v>
      </c>
      <c r="O128" s="10">
        <f t="shared" si="7"/>
        <v>706142.47826086963</v>
      </c>
      <c r="P128" s="10">
        <f>+'A) Base RI'!L128</f>
        <v>812063.85</v>
      </c>
      <c r="Q128" s="412">
        <f>'A) Base RI'!AS128</f>
        <v>1.1499999999999999</v>
      </c>
      <c r="R128" s="404">
        <f t="shared" si="8"/>
        <v>7051730.7882608697</v>
      </c>
      <c r="S128" s="457">
        <f>+'A) Base RI'!AN128</f>
        <v>68.5</v>
      </c>
      <c r="T128" s="404">
        <f t="shared" si="9"/>
        <v>6225700.71</v>
      </c>
      <c r="U128" s="404">
        <f t="shared" si="10"/>
        <v>102944.97501110758</v>
      </c>
      <c r="V128" s="10">
        <f>+'A) Base RI'!O128</f>
        <v>22786.7</v>
      </c>
      <c r="W128" s="10">
        <f>+'A) Base RI'!P128</f>
        <v>644550.9</v>
      </c>
      <c r="X128" s="10">
        <f>+'A) Base RI'!R128</f>
        <v>478937.4</v>
      </c>
      <c r="Y128" s="404">
        <f t="shared" si="11"/>
        <v>1146275</v>
      </c>
      <c r="Z128" s="10">
        <f>+'A) Base RI'!N128</f>
        <v>241469.15</v>
      </c>
      <c r="AA128" s="10">
        <f>'A) Base RI'!AO128</f>
        <v>2894</v>
      </c>
    </row>
    <row r="129" spans="1:27" x14ac:dyDescent="0.25">
      <c r="A129" s="8">
        <f>'A) Base RI'!A129</f>
        <v>5609</v>
      </c>
      <c r="B129" s="32" t="str">
        <f>'A) Base RI'!B129</f>
        <v>Rivaz</v>
      </c>
      <c r="C129" s="10">
        <f>'A) Base RI'!C129+'A) Base RI'!D129</f>
        <v>871687.7699999999</v>
      </c>
      <c r="D129" s="10">
        <f>'A) Base RI'!AP129</f>
        <v>-6552.11</v>
      </c>
      <c r="E129" s="398">
        <f>'A) Base RI'!AQ129</f>
        <v>0</v>
      </c>
      <c r="F129" s="398">
        <f>'A) Base RI'!AR129</f>
        <v>-460.48</v>
      </c>
      <c r="G129" s="404">
        <f t="shared" si="6"/>
        <v>864675.17999999993</v>
      </c>
      <c r="H129" s="10">
        <f>+'A) Base RI'!E129</f>
        <v>0</v>
      </c>
      <c r="I129" s="10">
        <f>+'A) Base RI'!F129</f>
        <v>0</v>
      </c>
      <c r="J129" s="10">
        <f>+'A) Base RI'!G129+'A) Base RI'!H129+'A) Base RI'!X129</f>
        <v>10048.049999999999</v>
      </c>
      <c r="K129" s="10">
        <f>+'A) Base RI'!I129</f>
        <v>0</v>
      </c>
      <c r="L129" s="10">
        <f>+'A) Base RI'!J129</f>
        <v>59004.01</v>
      </c>
      <c r="M129" s="10">
        <f>+'A) Base RI'!K129</f>
        <v>185.9</v>
      </c>
      <c r="N129" s="10">
        <f>+'A) Base RI'!Q129</f>
        <v>2003.79</v>
      </c>
      <c r="O129" s="10">
        <f t="shared" si="7"/>
        <v>59111.8</v>
      </c>
      <c r="P129" s="10">
        <f>+'A) Base RI'!L129</f>
        <v>59111.8</v>
      </c>
      <c r="Q129" s="412">
        <f>'A) Base RI'!AS129</f>
        <v>1</v>
      </c>
      <c r="R129" s="404">
        <f t="shared" si="8"/>
        <v>995028.7300000001</v>
      </c>
      <c r="S129" s="457">
        <f>+'A) Base RI'!AN129</f>
        <v>62</v>
      </c>
      <c r="T129" s="404">
        <f t="shared" si="9"/>
        <v>935731.03</v>
      </c>
      <c r="U129" s="404">
        <f t="shared" si="10"/>
        <v>16048.850483870969</v>
      </c>
      <c r="V129" s="10">
        <f>+'A) Base RI'!O129</f>
        <v>0</v>
      </c>
      <c r="W129" s="10">
        <f>+'A) Base RI'!P129</f>
        <v>22715</v>
      </c>
      <c r="X129" s="10">
        <f>+'A) Base RI'!R129</f>
        <v>42729.15</v>
      </c>
      <c r="Y129" s="404">
        <f t="shared" si="11"/>
        <v>65444.15</v>
      </c>
      <c r="Z129" s="10">
        <f>+'A) Base RI'!N129</f>
        <v>0</v>
      </c>
      <c r="AA129" s="10">
        <f>'A) Base RI'!AO129</f>
        <v>337</v>
      </c>
    </row>
    <row r="130" spans="1:27" x14ac:dyDescent="0.25">
      <c r="A130" s="8">
        <f>'A) Base RI'!A130</f>
        <v>5610</v>
      </c>
      <c r="B130" s="32" t="str">
        <f>'A) Base RI'!B130</f>
        <v>St-Saphorin (Lavaux)</v>
      </c>
      <c r="C130" s="10">
        <f>'A) Base RI'!C130+'A) Base RI'!D130</f>
        <v>1225623.1099999999</v>
      </c>
      <c r="D130" s="10">
        <f>'A) Base RI'!AP130</f>
        <v>-6131.57</v>
      </c>
      <c r="E130" s="398">
        <f>'A) Base RI'!AQ130</f>
        <v>0</v>
      </c>
      <c r="F130" s="398">
        <f>'A) Base RI'!AR130</f>
        <v>-5216.2700000000004</v>
      </c>
      <c r="G130" s="404">
        <f t="shared" si="6"/>
        <v>1214275.2699999998</v>
      </c>
      <c r="H130" s="10">
        <f>+'A) Base RI'!E130</f>
        <v>0</v>
      </c>
      <c r="I130" s="10">
        <f>+'A) Base RI'!F130</f>
        <v>0</v>
      </c>
      <c r="J130" s="10">
        <f>+'A) Base RI'!G130+'A) Base RI'!H130+'A) Base RI'!X130</f>
        <v>6119.67</v>
      </c>
      <c r="K130" s="10">
        <f>+'A) Base RI'!I130</f>
        <v>42593.15</v>
      </c>
      <c r="L130" s="10">
        <f>+'A) Base RI'!J130</f>
        <v>26916.85</v>
      </c>
      <c r="M130" s="10">
        <f>+'A) Base RI'!K130</f>
        <v>6697.85</v>
      </c>
      <c r="N130" s="10">
        <f>+'A) Base RI'!Q130</f>
        <v>-13472.35</v>
      </c>
      <c r="O130" s="10">
        <f t="shared" si="7"/>
        <v>100257.66666666667</v>
      </c>
      <c r="P130" s="10">
        <f>+'A) Base RI'!L130</f>
        <v>120309.2</v>
      </c>
      <c r="Q130" s="412">
        <f>'A) Base RI'!AS130</f>
        <v>1.2</v>
      </c>
      <c r="R130" s="404">
        <f t="shared" si="8"/>
        <v>1383388.1066666665</v>
      </c>
      <c r="S130" s="457">
        <f>+'A) Base RI'!AN130</f>
        <v>72</v>
      </c>
      <c r="T130" s="404">
        <f t="shared" si="9"/>
        <v>1276432.5899999996</v>
      </c>
      <c r="U130" s="404">
        <f t="shared" si="10"/>
        <v>19213.723703703701</v>
      </c>
      <c r="V130" s="10">
        <f>+'A) Base RI'!O130</f>
        <v>5785.2</v>
      </c>
      <c r="W130" s="10">
        <f>+'A) Base RI'!P130</f>
        <v>55309.1</v>
      </c>
      <c r="X130" s="10">
        <f>+'A) Base RI'!R130</f>
        <v>65663</v>
      </c>
      <c r="Y130" s="404">
        <f t="shared" si="11"/>
        <v>126757.29999999999</v>
      </c>
      <c r="Z130" s="10">
        <f>+'A) Base RI'!N130</f>
        <v>1817.85</v>
      </c>
      <c r="AA130" s="10">
        <f>'A) Base RI'!AO130</f>
        <v>388</v>
      </c>
    </row>
    <row r="131" spans="1:27" x14ac:dyDescent="0.25">
      <c r="A131" s="8">
        <f>'A) Base RI'!A131</f>
        <v>5611</v>
      </c>
      <c r="B131" s="32" t="str">
        <f>'A) Base RI'!B131</f>
        <v>Savigny</v>
      </c>
      <c r="C131" s="10">
        <f>'A) Base RI'!C131+'A) Base RI'!D131</f>
        <v>8179834.54</v>
      </c>
      <c r="D131" s="10">
        <f>'A) Base RI'!AP131</f>
        <v>-49490.14</v>
      </c>
      <c r="E131" s="398">
        <f>'A) Base RI'!AQ131</f>
        <v>0</v>
      </c>
      <c r="F131" s="398">
        <f>'A) Base RI'!AR131</f>
        <v>-6573</v>
      </c>
      <c r="G131" s="404">
        <f t="shared" si="6"/>
        <v>8123771.4000000004</v>
      </c>
      <c r="H131" s="10">
        <f>+'A) Base RI'!E131</f>
        <v>0</v>
      </c>
      <c r="I131" s="10">
        <f>+'A) Base RI'!F131</f>
        <v>0</v>
      </c>
      <c r="J131" s="10">
        <f>+'A) Base RI'!G131+'A) Base RI'!H131+'A) Base RI'!X131</f>
        <v>403904.80999999994</v>
      </c>
      <c r="K131" s="10">
        <f>+'A) Base RI'!I131</f>
        <v>90726.6</v>
      </c>
      <c r="L131" s="10">
        <f>+'A) Base RI'!J131</f>
        <v>106210.31</v>
      </c>
      <c r="M131" s="10">
        <f>+'A) Base RI'!K131</f>
        <v>18582.650000000001</v>
      </c>
      <c r="N131" s="10">
        <f>+'A) Base RI'!Q131</f>
        <v>21308.07</v>
      </c>
      <c r="O131" s="10">
        <f t="shared" si="7"/>
        <v>668854.54166666663</v>
      </c>
      <c r="P131" s="10">
        <f>+'A) Base RI'!L131</f>
        <v>802625.45</v>
      </c>
      <c r="Q131" s="412">
        <f>'A) Base RI'!AS131</f>
        <v>1.2</v>
      </c>
      <c r="R131" s="404">
        <f t="shared" si="8"/>
        <v>9433358.3816666678</v>
      </c>
      <c r="S131" s="457">
        <f>+'A) Base RI'!AN131</f>
        <v>69</v>
      </c>
      <c r="T131" s="404">
        <f t="shared" si="9"/>
        <v>8745921.1900000013</v>
      </c>
      <c r="U131" s="404">
        <f t="shared" si="10"/>
        <v>136715.33886473431</v>
      </c>
      <c r="V131" s="10">
        <f>+'A) Base RI'!O131</f>
        <v>360273.6</v>
      </c>
      <c r="W131" s="10">
        <f>+'A) Base RI'!P131</f>
        <v>433066.7</v>
      </c>
      <c r="X131" s="10">
        <f>+'A) Base RI'!R131</f>
        <v>195452.3</v>
      </c>
      <c r="Y131" s="404">
        <f t="shared" si="11"/>
        <v>988792.60000000009</v>
      </c>
      <c r="Z131" s="10">
        <f>+'A) Base RI'!N131</f>
        <v>108590.3</v>
      </c>
      <c r="AA131" s="10">
        <f>'A) Base RI'!AO131</f>
        <v>3348</v>
      </c>
    </row>
    <row r="132" spans="1:27" x14ac:dyDescent="0.25">
      <c r="A132" s="8">
        <f>'A) Base RI'!A132</f>
        <v>5613</v>
      </c>
      <c r="B132" s="32" t="str">
        <f>'A) Base RI'!B132</f>
        <v>Bourg-en-Lavaux</v>
      </c>
      <c r="C132" s="10">
        <f>'A) Base RI'!C132+'A) Base RI'!D132</f>
        <v>18943640.329999998</v>
      </c>
      <c r="D132" s="10">
        <f>'A) Base RI'!AP132</f>
        <v>-40257.919999999998</v>
      </c>
      <c r="E132" s="398">
        <f>'A) Base RI'!AQ132</f>
        <v>0</v>
      </c>
      <c r="F132" s="398">
        <f>'A) Base RI'!AR132</f>
        <v>-36921.5</v>
      </c>
      <c r="G132" s="404">
        <f t="shared" si="6"/>
        <v>18866460.909999996</v>
      </c>
      <c r="H132" s="10">
        <f>+'A) Base RI'!E132</f>
        <v>0</v>
      </c>
      <c r="I132" s="10">
        <f>+'A) Base RI'!F132</f>
        <v>0</v>
      </c>
      <c r="J132" s="10">
        <f>+'A) Base RI'!G132+'A) Base RI'!H132+'A) Base RI'!X132</f>
        <v>270219.09999999998</v>
      </c>
      <c r="K132" s="10">
        <f>+'A) Base RI'!I132</f>
        <v>247378.1</v>
      </c>
      <c r="L132" s="10">
        <f>+'A) Base RI'!J132</f>
        <v>527617.93000000005</v>
      </c>
      <c r="M132" s="10">
        <f>+'A) Base RI'!K132</f>
        <v>38012.449999999997</v>
      </c>
      <c r="N132" s="10">
        <f>+'A) Base RI'!Q132</f>
        <v>70473.53</v>
      </c>
      <c r="O132" s="10">
        <f t="shared" si="7"/>
        <v>1469099</v>
      </c>
      <c r="P132" s="10">
        <f>+'A) Base RI'!L132</f>
        <v>2203648.5</v>
      </c>
      <c r="Q132" s="412">
        <f>'A) Base RI'!AS132</f>
        <v>1.5</v>
      </c>
      <c r="R132" s="404">
        <f t="shared" si="8"/>
        <v>21489261.02</v>
      </c>
      <c r="S132" s="457">
        <f>+'A) Base RI'!AN132</f>
        <v>62.5</v>
      </c>
      <c r="T132" s="404">
        <f t="shared" si="9"/>
        <v>19982149.57</v>
      </c>
      <c r="U132" s="404">
        <f t="shared" si="10"/>
        <v>343828.17631999997</v>
      </c>
      <c r="V132" s="10">
        <f>+'A) Base RI'!O132</f>
        <v>124049.9</v>
      </c>
      <c r="W132" s="10">
        <f>+'A) Base RI'!P132</f>
        <v>749989.65</v>
      </c>
      <c r="X132" s="10">
        <f>+'A) Base RI'!R132</f>
        <v>817678.05</v>
      </c>
      <c r="Y132" s="404">
        <f t="shared" si="11"/>
        <v>1691717.6</v>
      </c>
      <c r="Z132" s="10">
        <f>+'A) Base RI'!N132</f>
        <v>31370.7</v>
      </c>
      <c r="AA132" s="10">
        <f>'A) Base RI'!AO132</f>
        <v>5389</v>
      </c>
    </row>
    <row r="133" spans="1:27" x14ac:dyDescent="0.25">
      <c r="A133" s="8">
        <f>'A) Base RI'!A133</f>
        <v>5621</v>
      </c>
      <c r="B133" s="32" t="str">
        <f>'A) Base RI'!B133</f>
        <v>Aclens</v>
      </c>
      <c r="C133" s="10">
        <f>'A) Base RI'!C133+'A) Base RI'!D133</f>
        <v>1151452.5</v>
      </c>
      <c r="D133" s="10">
        <f>'A) Base RI'!AP133</f>
        <v>-9314.2800000000007</v>
      </c>
      <c r="E133" s="398">
        <f>'A) Base RI'!AQ133</f>
        <v>0</v>
      </c>
      <c r="F133" s="398">
        <f>'A) Base RI'!AR133</f>
        <v>-204.26</v>
      </c>
      <c r="G133" s="404">
        <f t="shared" si="6"/>
        <v>1141933.96</v>
      </c>
      <c r="H133" s="10">
        <f>+'A) Base RI'!E133</f>
        <v>0</v>
      </c>
      <c r="I133" s="10">
        <f>+'A) Base RI'!F133</f>
        <v>0</v>
      </c>
      <c r="J133" s="10">
        <f>+'A) Base RI'!G133+'A) Base RI'!H133+'A) Base RI'!X133</f>
        <v>472827.23999999993</v>
      </c>
      <c r="K133" s="10">
        <f>+'A) Base RI'!I133</f>
        <v>0</v>
      </c>
      <c r="L133" s="10">
        <f>+'A) Base RI'!J133</f>
        <v>69241.11</v>
      </c>
      <c r="M133" s="10">
        <f>+'A) Base RI'!K133</f>
        <v>28236.75</v>
      </c>
      <c r="N133" s="10">
        <f>+'A) Base RI'!Q133</f>
        <v>4629.88</v>
      </c>
      <c r="O133" s="10">
        <f t="shared" si="7"/>
        <v>292669.63636363629</v>
      </c>
      <c r="P133" s="10">
        <f>+'A) Base RI'!L133</f>
        <v>321936.59999999998</v>
      </c>
      <c r="Q133" s="412">
        <f>'A) Base RI'!AS133</f>
        <v>1.1000000000000001</v>
      </c>
      <c r="R133" s="404">
        <f t="shared" si="8"/>
        <v>2009538.5763636362</v>
      </c>
      <c r="S133" s="457">
        <f>+'A) Base RI'!AN133</f>
        <v>62</v>
      </c>
      <c r="T133" s="404">
        <f t="shared" si="9"/>
        <v>1688632.19</v>
      </c>
      <c r="U133" s="404">
        <f t="shared" si="10"/>
        <v>32411.912521994131</v>
      </c>
      <c r="V133" s="10">
        <f>+'A) Base RI'!O133</f>
        <v>0.2</v>
      </c>
      <c r="W133" s="10">
        <f>+'A) Base RI'!P133</f>
        <v>82032.5</v>
      </c>
      <c r="X133" s="10">
        <f>+'A) Base RI'!R133</f>
        <v>34672.9</v>
      </c>
      <c r="Y133" s="404">
        <f t="shared" si="11"/>
        <v>116705.60000000001</v>
      </c>
      <c r="Z133" s="10">
        <f>+'A) Base RI'!N133</f>
        <v>292461.5</v>
      </c>
      <c r="AA133" s="10">
        <f>'A) Base RI'!AO133</f>
        <v>528</v>
      </c>
    </row>
    <row r="134" spans="1:27" x14ac:dyDescent="0.25">
      <c r="A134" s="8">
        <f>'A) Base RI'!A134</f>
        <v>5622</v>
      </c>
      <c r="B134" s="32" t="str">
        <f>'A) Base RI'!B134</f>
        <v>Bremblens</v>
      </c>
      <c r="C134" s="10">
        <f>'A) Base RI'!C134+'A) Base RI'!D134</f>
        <v>1707933.0999999999</v>
      </c>
      <c r="D134" s="10">
        <f>'A) Base RI'!AP134</f>
        <v>-1602.49</v>
      </c>
      <c r="E134" s="398">
        <f>'A) Base RI'!AQ134</f>
        <v>0</v>
      </c>
      <c r="F134" s="398">
        <f>'A) Base RI'!AR134</f>
        <v>-332.81</v>
      </c>
      <c r="G134" s="404">
        <f t="shared" si="6"/>
        <v>1705997.7999999998</v>
      </c>
      <c r="H134" s="10">
        <f>+'A) Base RI'!E134</f>
        <v>0</v>
      </c>
      <c r="I134" s="10">
        <f>+'A) Base RI'!F134</f>
        <v>0</v>
      </c>
      <c r="J134" s="10">
        <f>+'A) Base RI'!G134+'A) Base RI'!H134+'A) Base RI'!X134</f>
        <v>15198.58</v>
      </c>
      <c r="K134" s="10">
        <f>+'A) Base RI'!I134</f>
        <v>0</v>
      </c>
      <c r="L134" s="10">
        <f>+'A) Base RI'!J134</f>
        <v>14665.45</v>
      </c>
      <c r="M134" s="10">
        <f>+'A) Base RI'!K134</f>
        <v>3690.5</v>
      </c>
      <c r="N134" s="10">
        <f>+'A) Base RI'!Q134</f>
        <v>0</v>
      </c>
      <c r="O134" s="10">
        <f t="shared" si="7"/>
        <v>151065.4</v>
      </c>
      <c r="P134" s="10">
        <f>+'A) Base RI'!L134</f>
        <v>151065.4</v>
      </c>
      <c r="Q134" s="412">
        <f>'A) Base RI'!AS134</f>
        <v>1</v>
      </c>
      <c r="R134" s="404">
        <f t="shared" si="8"/>
        <v>1890617.7299999997</v>
      </c>
      <c r="S134" s="457">
        <f>+'A) Base RI'!AN134</f>
        <v>68</v>
      </c>
      <c r="T134" s="404">
        <f t="shared" si="9"/>
        <v>1735861.8299999998</v>
      </c>
      <c r="U134" s="404">
        <f t="shared" si="10"/>
        <v>27803.201911764703</v>
      </c>
      <c r="V134" s="10">
        <f>+'A) Base RI'!O134</f>
        <v>0</v>
      </c>
      <c r="W134" s="10">
        <f>+'A) Base RI'!P134</f>
        <v>54697.5</v>
      </c>
      <c r="X134" s="10">
        <f>+'A) Base RI'!R134</f>
        <v>39404.65</v>
      </c>
      <c r="Y134" s="404">
        <f t="shared" si="11"/>
        <v>94102.15</v>
      </c>
      <c r="Z134" s="10">
        <f>+'A) Base RI'!N134</f>
        <v>26810.25</v>
      </c>
      <c r="AA134" s="10">
        <f>'A) Base RI'!AO134</f>
        <v>583</v>
      </c>
    </row>
    <row r="135" spans="1:27" x14ac:dyDescent="0.25">
      <c r="A135" s="8">
        <f>'A) Base RI'!A135</f>
        <v>5623</v>
      </c>
      <c r="B135" s="32" t="str">
        <f>'A) Base RI'!B135</f>
        <v>Buchillon</v>
      </c>
      <c r="C135" s="10">
        <f>'A) Base RI'!C135+'A) Base RI'!D135</f>
        <v>4453526.62</v>
      </c>
      <c r="D135" s="10">
        <f>'A) Base RI'!AP135</f>
        <v>-22779.51</v>
      </c>
      <c r="E135" s="398">
        <f>'A) Base RI'!AQ135</f>
        <v>0</v>
      </c>
      <c r="F135" s="398">
        <f>'A) Base RI'!AR135</f>
        <v>-63718.03</v>
      </c>
      <c r="G135" s="404">
        <f t="shared" si="6"/>
        <v>4367029.08</v>
      </c>
      <c r="H135" s="10">
        <f>+'A) Base RI'!E135</f>
        <v>0</v>
      </c>
      <c r="I135" s="10">
        <f>+'A) Base RI'!F135</f>
        <v>0</v>
      </c>
      <c r="J135" s="10">
        <f>+'A) Base RI'!G135+'A) Base RI'!H135+'A) Base RI'!X135</f>
        <v>-53999.86</v>
      </c>
      <c r="K135" s="10">
        <f>+'A) Base RI'!I135</f>
        <v>172845.75</v>
      </c>
      <c r="L135" s="10">
        <f>+'A) Base RI'!J135</f>
        <v>55295.25</v>
      </c>
      <c r="M135" s="10">
        <f>+'A) Base RI'!K135</f>
        <v>-987</v>
      </c>
      <c r="N135" s="10">
        <f>+'A) Base RI'!Q135</f>
        <v>14447.47</v>
      </c>
      <c r="O135" s="10">
        <f t="shared" si="7"/>
        <v>353857.95</v>
      </c>
      <c r="P135" s="10">
        <f>+'A) Base RI'!L135</f>
        <v>353857.95</v>
      </c>
      <c r="Q135" s="412">
        <f>'A) Base RI'!AS135</f>
        <v>1</v>
      </c>
      <c r="R135" s="404">
        <f t="shared" si="8"/>
        <v>4908488.6399999997</v>
      </c>
      <c r="S135" s="457">
        <f>+'A) Base RI'!AN135</f>
        <v>52</v>
      </c>
      <c r="T135" s="404">
        <f t="shared" si="9"/>
        <v>4555617.6899999995</v>
      </c>
      <c r="U135" s="404">
        <f t="shared" si="10"/>
        <v>94394.012307692305</v>
      </c>
      <c r="V135" s="10">
        <f>+'A) Base RI'!O135</f>
        <v>0</v>
      </c>
      <c r="W135" s="10">
        <f>+'A) Base RI'!P135</f>
        <v>67045</v>
      </c>
      <c r="X135" s="10">
        <f>+'A) Base RI'!R135</f>
        <v>181888.8</v>
      </c>
      <c r="Y135" s="404">
        <f t="shared" si="11"/>
        <v>248933.8</v>
      </c>
      <c r="Z135" s="10">
        <f>+'A) Base RI'!N135</f>
        <v>2588.25</v>
      </c>
      <c r="AA135" s="10">
        <f>'A) Base RI'!AO135</f>
        <v>686</v>
      </c>
    </row>
    <row r="136" spans="1:27" x14ac:dyDescent="0.25">
      <c r="A136" s="8">
        <f>'A) Base RI'!A136</f>
        <v>5624</v>
      </c>
      <c r="B136" s="32" t="str">
        <f>'A) Base RI'!B136</f>
        <v>Bussigny</v>
      </c>
      <c r="C136" s="10">
        <f>'A) Base RI'!C136+'A) Base RI'!D136</f>
        <v>15948517.08</v>
      </c>
      <c r="D136" s="10">
        <f>'A) Base RI'!AP136</f>
        <v>-467050.49</v>
      </c>
      <c r="E136" s="398">
        <f>'A) Base RI'!AQ136</f>
        <v>0</v>
      </c>
      <c r="F136" s="398">
        <f>'A) Base RI'!AR136</f>
        <v>-199.73</v>
      </c>
      <c r="G136" s="404">
        <f t="shared" ref="G136:G199" si="12">SUM(C136:F136)</f>
        <v>15481266.859999999</v>
      </c>
      <c r="H136" s="10">
        <f>+'A) Base RI'!E136</f>
        <v>0</v>
      </c>
      <c r="I136" s="10">
        <f>+'A) Base RI'!F136</f>
        <v>0</v>
      </c>
      <c r="J136" s="10">
        <f>+'A) Base RI'!G136+'A) Base RI'!H136+'A) Base RI'!X136</f>
        <v>3078978.48</v>
      </c>
      <c r="K136" s="10">
        <f>+'A) Base RI'!I136</f>
        <v>0</v>
      </c>
      <c r="L136" s="10">
        <f>+'A) Base RI'!J136</f>
        <v>827180.89</v>
      </c>
      <c r="M136" s="10">
        <f>+'A) Base RI'!K136</f>
        <v>388139.95</v>
      </c>
      <c r="N136" s="10">
        <f>+'A) Base RI'!Q136</f>
        <v>23694.2</v>
      </c>
      <c r="O136" s="10">
        <f t="shared" ref="O136:O199" si="13">(P136/Q136)*1</f>
        <v>2192995.4</v>
      </c>
      <c r="P136" s="10">
        <f>+'A) Base RI'!L136</f>
        <v>2741244.25</v>
      </c>
      <c r="Q136" s="412">
        <f>'A) Base RI'!AS136</f>
        <v>1.25</v>
      </c>
      <c r="R136" s="404">
        <f t="shared" ref="R136:R199" si="14">SUM(G136:O136)</f>
        <v>21992255.779999997</v>
      </c>
      <c r="S136" s="457">
        <f>+'A) Base RI'!AN136</f>
        <v>62.5</v>
      </c>
      <c r="T136" s="404">
        <f t="shared" ref="T136:T199" si="15">(G136+H136+J136+K136+L136+N136)</f>
        <v>19411120.43</v>
      </c>
      <c r="U136" s="404">
        <f t="shared" ref="U136:U199" si="16">R136/S136</f>
        <v>351876.09247999993</v>
      </c>
      <c r="V136" s="10">
        <f>+'A) Base RI'!O136</f>
        <v>5816</v>
      </c>
      <c r="W136" s="10">
        <f>+'A) Base RI'!P136</f>
        <v>1752239.15</v>
      </c>
      <c r="X136" s="10">
        <f>+'A) Base RI'!R136</f>
        <v>1002009.7</v>
      </c>
      <c r="Y136" s="404">
        <f t="shared" ref="Y136:Y199" si="17">SUM(V136:X136)</f>
        <v>2760064.8499999996</v>
      </c>
      <c r="Z136" s="10">
        <f>+'A) Base RI'!N136</f>
        <v>1067420.95</v>
      </c>
      <c r="AA136" s="10">
        <f>'A) Base RI'!AO136</f>
        <v>9614</v>
      </c>
    </row>
    <row r="137" spans="1:27" x14ac:dyDescent="0.25">
      <c r="A137" s="8">
        <f>'A) Base RI'!A137</f>
        <v>5625</v>
      </c>
      <c r="B137" s="32" t="str">
        <f>'A) Base RI'!B137</f>
        <v>Bussy-Chardonney</v>
      </c>
      <c r="C137" s="10">
        <f>'A) Base RI'!C137+'A) Base RI'!D137</f>
        <v>1213702.81</v>
      </c>
      <c r="D137" s="10">
        <f>'A) Base RI'!AP137</f>
        <v>-88.77</v>
      </c>
      <c r="E137" s="398">
        <f>'A) Base RI'!AQ137</f>
        <v>0</v>
      </c>
      <c r="F137" s="398">
        <f>'A) Base RI'!AR137</f>
        <v>0</v>
      </c>
      <c r="G137" s="404">
        <f t="shared" si="12"/>
        <v>1213614.04</v>
      </c>
      <c r="H137" s="10">
        <f>+'A) Base RI'!E137</f>
        <v>0</v>
      </c>
      <c r="I137" s="10">
        <f>+'A) Base RI'!F137</f>
        <v>0</v>
      </c>
      <c r="J137" s="10">
        <f>+'A) Base RI'!G137+'A) Base RI'!H137+'A) Base RI'!X137</f>
        <v>20279.72</v>
      </c>
      <c r="K137" s="10">
        <f>+'A) Base RI'!I137</f>
        <v>0</v>
      </c>
      <c r="L137" s="10">
        <f>+'A) Base RI'!J137</f>
        <v>25906.17</v>
      </c>
      <c r="M137" s="10">
        <f>+'A) Base RI'!K137</f>
        <v>9282.5</v>
      </c>
      <c r="N137" s="10">
        <f>+'A) Base RI'!Q137</f>
        <v>0</v>
      </c>
      <c r="O137" s="10">
        <f t="shared" si="13"/>
        <v>96935</v>
      </c>
      <c r="P137" s="10">
        <f>+'A) Base RI'!L137</f>
        <v>116322</v>
      </c>
      <c r="Q137" s="412">
        <f>'A) Base RI'!AS137</f>
        <v>1.2</v>
      </c>
      <c r="R137" s="404">
        <f t="shared" si="14"/>
        <v>1366017.43</v>
      </c>
      <c r="S137" s="457">
        <f>+'A) Base RI'!AN137</f>
        <v>77</v>
      </c>
      <c r="T137" s="404">
        <f t="shared" si="15"/>
        <v>1259799.93</v>
      </c>
      <c r="U137" s="404">
        <f t="shared" si="16"/>
        <v>17740.486103896103</v>
      </c>
      <c r="V137" s="10">
        <f>+'A) Base RI'!O137</f>
        <v>0</v>
      </c>
      <c r="W137" s="10">
        <f>+'A) Base RI'!P137</f>
        <v>144952.45000000001</v>
      </c>
      <c r="X137" s="10">
        <f>+'A) Base RI'!R137</f>
        <v>43281.7</v>
      </c>
      <c r="Y137" s="404">
        <f t="shared" si="17"/>
        <v>188234.15000000002</v>
      </c>
      <c r="Z137" s="10">
        <f>+'A) Base RI'!N137</f>
        <v>0</v>
      </c>
      <c r="AA137" s="10">
        <f>'A) Base RI'!AO137</f>
        <v>404</v>
      </c>
    </row>
    <row r="138" spans="1:27" x14ac:dyDescent="0.25">
      <c r="A138" s="8">
        <f>'A) Base RI'!A138</f>
        <v>5627</v>
      </c>
      <c r="B138" s="32" t="str">
        <f>'A) Base RI'!B138</f>
        <v>Chavannes-près-Renens</v>
      </c>
      <c r="C138" s="10">
        <f>'A) Base RI'!C138+'A) Base RI'!D138</f>
        <v>11045907.140000001</v>
      </c>
      <c r="D138" s="10">
        <f>'A) Base RI'!AP138</f>
        <v>-355491.9</v>
      </c>
      <c r="E138" s="398">
        <f>'A) Base RI'!AQ138</f>
        <v>0</v>
      </c>
      <c r="F138" s="398">
        <f>'A) Base RI'!AR138</f>
        <v>-1921.6</v>
      </c>
      <c r="G138" s="404">
        <f t="shared" si="12"/>
        <v>10688493.640000001</v>
      </c>
      <c r="H138" s="10">
        <f>+'A) Base RI'!E138</f>
        <v>0</v>
      </c>
      <c r="I138" s="10">
        <f>+'A) Base RI'!F138</f>
        <v>0</v>
      </c>
      <c r="J138" s="10">
        <f>+'A) Base RI'!G138+'A) Base RI'!H138+'A) Base RI'!X138</f>
        <v>-379464.77</v>
      </c>
      <c r="K138" s="10">
        <f>+'A) Base RI'!I138</f>
        <v>0</v>
      </c>
      <c r="L138" s="10">
        <f>+'A) Base RI'!J138</f>
        <v>811299.64</v>
      </c>
      <c r="M138" s="10">
        <f>+'A) Base RI'!K138</f>
        <v>226072.5</v>
      </c>
      <c r="N138" s="10">
        <f>+'A) Base RI'!Q138</f>
        <v>116725.81</v>
      </c>
      <c r="O138" s="10">
        <f t="shared" si="13"/>
        <v>1084255.0666666667</v>
      </c>
      <c r="P138" s="10">
        <f>+'A) Base RI'!L138</f>
        <v>1626382.6</v>
      </c>
      <c r="Q138" s="412">
        <f>'A) Base RI'!AS138</f>
        <v>1.5</v>
      </c>
      <c r="R138" s="404">
        <f t="shared" si="14"/>
        <v>12547381.886666669</v>
      </c>
      <c r="S138" s="457">
        <f>+'A) Base RI'!AN138</f>
        <v>77.5</v>
      </c>
      <c r="T138" s="404">
        <f t="shared" si="15"/>
        <v>11237054.320000002</v>
      </c>
      <c r="U138" s="404">
        <f t="shared" si="16"/>
        <v>161901.70176344088</v>
      </c>
      <c r="V138" s="10">
        <f>+'A) Base RI'!O138</f>
        <v>26414.2</v>
      </c>
      <c r="W138" s="10">
        <f>+'A) Base RI'!P138</f>
        <v>663135.1</v>
      </c>
      <c r="X138" s="10">
        <f>+'A) Base RI'!R138</f>
        <v>129165</v>
      </c>
      <c r="Y138" s="404">
        <f t="shared" si="17"/>
        <v>818714.29999999993</v>
      </c>
      <c r="Z138" s="10">
        <f>+'A) Base RI'!N138</f>
        <v>351553.85</v>
      </c>
      <c r="AA138" s="10">
        <f>'A) Base RI'!AO138</f>
        <v>8487</v>
      </c>
    </row>
    <row r="139" spans="1:27" x14ac:dyDescent="0.25">
      <c r="A139" s="8">
        <f>'A) Base RI'!A139</f>
        <v>5628</v>
      </c>
      <c r="B139" s="32" t="str">
        <f>'A) Base RI'!B139</f>
        <v>Chigny</v>
      </c>
      <c r="C139" s="10">
        <f>'A) Base RI'!C139+'A) Base RI'!D139</f>
        <v>1368519.47</v>
      </c>
      <c r="D139" s="10">
        <f>'A) Base RI'!AP139</f>
        <v>-10689.49</v>
      </c>
      <c r="E139" s="398">
        <f>'A) Base RI'!AQ139</f>
        <v>0</v>
      </c>
      <c r="F139" s="398">
        <f>'A) Base RI'!AR139</f>
        <v>0</v>
      </c>
      <c r="G139" s="404">
        <f t="shared" si="12"/>
        <v>1357829.98</v>
      </c>
      <c r="H139" s="10">
        <f>+'A) Base RI'!E139</f>
        <v>0</v>
      </c>
      <c r="I139" s="10">
        <f>+'A) Base RI'!F139</f>
        <v>0</v>
      </c>
      <c r="J139" s="10">
        <f>+'A) Base RI'!G139+'A) Base RI'!H139+'A) Base RI'!X139</f>
        <v>6430.62</v>
      </c>
      <c r="K139" s="10">
        <f>+'A) Base RI'!I139</f>
        <v>0</v>
      </c>
      <c r="L139" s="10">
        <f>+'A) Base RI'!J139</f>
        <v>62499.47</v>
      </c>
      <c r="M139" s="10">
        <f>+'A) Base RI'!K139</f>
        <v>859.5</v>
      </c>
      <c r="N139" s="10">
        <f>+'A) Base RI'!Q139</f>
        <v>0</v>
      </c>
      <c r="O139" s="10">
        <f t="shared" si="13"/>
        <v>99101.3</v>
      </c>
      <c r="P139" s="10">
        <f>+'A) Base RI'!L139</f>
        <v>99101.3</v>
      </c>
      <c r="Q139" s="412">
        <f>'A) Base RI'!AS139</f>
        <v>1</v>
      </c>
      <c r="R139" s="404">
        <f t="shared" si="14"/>
        <v>1526720.87</v>
      </c>
      <c r="S139" s="457">
        <f>+'A) Base RI'!AN139</f>
        <v>62</v>
      </c>
      <c r="T139" s="404">
        <f t="shared" si="15"/>
        <v>1426760.07</v>
      </c>
      <c r="U139" s="404">
        <f t="shared" si="16"/>
        <v>24624.530161290324</v>
      </c>
      <c r="V139" s="10">
        <f>+'A) Base RI'!O139</f>
        <v>0</v>
      </c>
      <c r="W139" s="10">
        <f>+'A) Base RI'!P139</f>
        <v>61502.9</v>
      </c>
      <c r="X139" s="10">
        <f>+'A) Base RI'!R139</f>
        <v>62570.9</v>
      </c>
      <c r="Y139" s="404">
        <f t="shared" si="17"/>
        <v>124073.8</v>
      </c>
      <c r="Z139" s="10">
        <f>+'A) Base RI'!N139</f>
        <v>9088.4500000000007</v>
      </c>
      <c r="AA139" s="10">
        <f>'A) Base RI'!AO139</f>
        <v>396</v>
      </c>
    </row>
    <row r="140" spans="1:27" x14ac:dyDescent="0.25">
      <c r="A140" s="8">
        <f>'A) Base RI'!A140</f>
        <v>5629</v>
      </c>
      <c r="B140" s="32" t="str">
        <f>'A) Base RI'!B140</f>
        <v>Clarmont</v>
      </c>
      <c r="C140" s="10">
        <f>'A) Base RI'!C140+'A) Base RI'!D140</f>
        <v>582754.06999999995</v>
      </c>
      <c r="D140" s="10">
        <f>'A) Base RI'!AP140</f>
        <v>-15345.52</v>
      </c>
      <c r="E140" s="398">
        <f>'A) Base RI'!AQ140</f>
        <v>0</v>
      </c>
      <c r="F140" s="398">
        <f>'A) Base RI'!AR140</f>
        <v>0</v>
      </c>
      <c r="G140" s="404">
        <f t="shared" si="12"/>
        <v>567408.54999999993</v>
      </c>
      <c r="H140" s="10">
        <f>+'A) Base RI'!E140</f>
        <v>0</v>
      </c>
      <c r="I140" s="10">
        <f>+'A) Base RI'!F140</f>
        <v>0</v>
      </c>
      <c r="J140" s="10">
        <f>+'A) Base RI'!G140+'A) Base RI'!H140+'A) Base RI'!X140</f>
        <v>2396.2399999999998</v>
      </c>
      <c r="K140" s="10">
        <f>+'A) Base RI'!I140</f>
        <v>0</v>
      </c>
      <c r="L140" s="10">
        <f>+'A) Base RI'!J140</f>
        <v>18243.009999999998</v>
      </c>
      <c r="M140" s="10">
        <f>+'A) Base RI'!K140</f>
        <v>715.55</v>
      </c>
      <c r="N140" s="10">
        <f>+'A) Base RI'!Q140</f>
        <v>0</v>
      </c>
      <c r="O140" s="10">
        <f t="shared" si="13"/>
        <v>37549.25</v>
      </c>
      <c r="P140" s="10">
        <f>+'A) Base RI'!L140</f>
        <v>37549.25</v>
      </c>
      <c r="Q140" s="412">
        <f>'A) Base RI'!AS140</f>
        <v>1</v>
      </c>
      <c r="R140" s="404">
        <f t="shared" si="14"/>
        <v>626312.6</v>
      </c>
      <c r="S140" s="457">
        <f>+'A) Base RI'!AN140</f>
        <v>73.5</v>
      </c>
      <c r="T140" s="404">
        <f t="shared" si="15"/>
        <v>588047.79999999993</v>
      </c>
      <c r="U140" s="404">
        <f t="shared" si="16"/>
        <v>8521.2598639455773</v>
      </c>
      <c r="V140" s="10">
        <f>+'A) Base RI'!O140</f>
        <v>0</v>
      </c>
      <c r="W140" s="10">
        <f>+'A) Base RI'!P140</f>
        <v>2557.5</v>
      </c>
      <c r="X140" s="10">
        <f>+'A) Base RI'!R140</f>
        <v>1508.35</v>
      </c>
      <c r="Y140" s="404">
        <f t="shared" si="17"/>
        <v>4065.85</v>
      </c>
      <c r="Z140" s="10">
        <f>+'A) Base RI'!N140</f>
        <v>0</v>
      </c>
      <c r="AA140" s="10">
        <f>'A) Base RI'!AO140</f>
        <v>201</v>
      </c>
    </row>
    <row r="141" spans="1:27" x14ac:dyDescent="0.25">
      <c r="A141" s="8">
        <f>'A) Base RI'!A141</f>
        <v>5631</v>
      </c>
      <c r="B141" s="32" t="str">
        <f>'A) Base RI'!B141</f>
        <v>Denens</v>
      </c>
      <c r="C141" s="10">
        <f>'A) Base RI'!C141+'A) Base RI'!D141</f>
        <v>2613471.36</v>
      </c>
      <c r="D141" s="10">
        <f>'A) Base RI'!AP141</f>
        <v>-45226</v>
      </c>
      <c r="E141" s="398">
        <f>'A) Base RI'!AQ141</f>
        <v>0</v>
      </c>
      <c r="F141" s="398">
        <f>'A) Base RI'!AR141</f>
        <v>-11006.35</v>
      </c>
      <c r="G141" s="404">
        <f t="shared" si="12"/>
        <v>2557239.0099999998</v>
      </c>
      <c r="H141" s="10">
        <f>+'A) Base RI'!E141</f>
        <v>0</v>
      </c>
      <c r="I141" s="10">
        <f>+'A) Base RI'!F141</f>
        <v>0</v>
      </c>
      <c r="J141" s="10">
        <f>+'A) Base RI'!G141+'A) Base RI'!H141+'A) Base RI'!X141</f>
        <v>39756.71</v>
      </c>
      <c r="K141" s="10">
        <f>+'A) Base RI'!I141</f>
        <v>78240</v>
      </c>
      <c r="L141" s="10">
        <f>+'A) Base RI'!J141</f>
        <v>69432.86</v>
      </c>
      <c r="M141" s="10">
        <f>+'A) Base RI'!K141</f>
        <v>3267.65</v>
      </c>
      <c r="N141" s="10">
        <f>+'A) Base RI'!Q141</f>
        <v>0</v>
      </c>
      <c r="O141" s="10">
        <f t="shared" si="13"/>
        <v>207013.45</v>
      </c>
      <c r="P141" s="10">
        <f>+'A) Base RI'!L141</f>
        <v>207013.45</v>
      </c>
      <c r="Q141" s="412">
        <f>'A) Base RI'!AS141</f>
        <v>1</v>
      </c>
      <c r="R141" s="404">
        <f t="shared" si="14"/>
        <v>2954949.6799999997</v>
      </c>
      <c r="S141" s="457">
        <f>+'A) Base RI'!AN141</f>
        <v>68</v>
      </c>
      <c r="T141" s="404">
        <f t="shared" si="15"/>
        <v>2744668.5799999996</v>
      </c>
      <c r="U141" s="404">
        <f t="shared" si="16"/>
        <v>43455.14235294117</v>
      </c>
      <c r="V141" s="10">
        <f>+'A) Base RI'!O141</f>
        <v>209452.6</v>
      </c>
      <c r="W141" s="10">
        <f>+'A) Base RI'!P141</f>
        <v>103772.75</v>
      </c>
      <c r="X141" s="10">
        <f>+'A) Base RI'!R141</f>
        <v>66947</v>
      </c>
      <c r="Y141" s="404">
        <f t="shared" si="17"/>
        <v>380172.35</v>
      </c>
      <c r="Z141" s="10">
        <f>+'A) Base RI'!N141</f>
        <v>1561.75</v>
      </c>
      <c r="AA141" s="10">
        <f>'A) Base RI'!AO141</f>
        <v>742</v>
      </c>
    </row>
    <row r="142" spans="1:27" x14ac:dyDescent="0.25">
      <c r="A142" s="8">
        <f>'A) Base RI'!A142</f>
        <v>5632</v>
      </c>
      <c r="B142" s="32" t="str">
        <f>'A) Base RI'!B142</f>
        <v>Denges</v>
      </c>
      <c r="C142" s="10">
        <f>'A) Base RI'!C142+'A) Base RI'!D142</f>
        <v>3948839.86</v>
      </c>
      <c r="D142" s="10">
        <f>'A) Base RI'!AP142</f>
        <v>-43095.32</v>
      </c>
      <c r="E142" s="398">
        <f>'A) Base RI'!AQ142</f>
        <v>0</v>
      </c>
      <c r="F142" s="398">
        <f>'A) Base RI'!AR142</f>
        <v>-1532.09</v>
      </c>
      <c r="G142" s="404">
        <f t="shared" si="12"/>
        <v>3904212.45</v>
      </c>
      <c r="H142" s="10">
        <f>+'A) Base RI'!E142</f>
        <v>0</v>
      </c>
      <c r="I142" s="10">
        <f>+'A) Base RI'!F142</f>
        <v>0</v>
      </c>
      <c r="J142" s="10">
        <f>+'A) Base RI'!G142+'A) Base RI'!H142+'A) Base RI'!X142</f>
        <v>250272.97999999998</v>
      </c>
      <c r="K142" s="10">
        <f>+'A) Base RI'!I142</f>
        <v>0</v>
      </c>
      <c r="L142" s="10">
        <f>+'A) Base RI'!J142</f>
        <v>210458.31</v>
      </c>
      <c r="M142" s="10">
        <f>+'A) Base RI'!K142</f>
        <v>23646.6</v>
      </c>
      <c r="N142" s="10">
        <f>+'A) Base RI'!Q142</f>
        <v>4195.5</v>
      </c>
      <c r="O142" s="10">
        <f t="shared" si="13"/>
        <v>348972.1</v>
      </c>
      <c r="P142" s="10">
        <f>+'A) Base RI'!L142</f>
        <v>348972.1</v>
      </c>
      <c r="Q142" s="412">
        <f>'A) Base RI'!AS142</f>
        <v>1</v>
      </c>
      <c r="R142" s="404">
        <f t="shared" si="14"/>
        <v>4741757.9399999995</v>
      </c>
      <c r="S142" s="457">
        <f>+'A) Base RI'!AN142</f>
        <v>62</v>
      </c>
      <c r="T142" s="404">
        <f t="shared" si="15"/>
        <v>4369139.24</v>
      </c>
      <c r="U142" s="404">
        <f t="shared" si="16"/>
        <v>76479.966774193541</v>
      </c>
      <c r="V142" s="10">
        <f>+'A) Base RI'!O142</f>
        <v>0</v>
      </c>
      <c r="W142" s="10">
        <f>+'A) Base RI'!P142</f>
        <v>285035.40000000002</v>
      </c>
      <c r="X142" s="10">
        <f>+'A) Base RI'!R142</f>
        <v>95165.3</v>
      </c>
      <c r="Y142" s="404">
        <f t="shared" si="17"/>
        <v>380200.7</v>
      </c>
      <c r="Z142" s="10">
        <f>+'A) Base RI'!N142</f>
        <v>74620.800000000003</v>
      </c>
      <c r="AA142" s="10">
        <f>'A) Base RI'!AO142</f>
        <v>1730</v>
      </c>
    </row>
    <row r="143" spans="1:27" x14ac:dyDescent="0.25">
      <c r="A143" s="8">
        <f>'A) Base RI'!A143</f>
        <v>5633</v>
      </c>
      <c r="B143" s="32" t="str">
        <f>'A) Base RI'!B143</f>
        <v>Echandens</v>
      </c>
      <c r="C143" s="10">
        <f>'A) Base RI'!C143+'A) Base RI'!D143</f>
        <v>7585728.7000000002</v>
      </c>
      <c r="D143" s="10">
        <f>'A) Base RI'!AP143</f>
        <v>-40672.81</v>
      </c>
      <c r="E143" s="398">
        <f>'A) Base RI'!AQ143</f>
        <v>0</v>
      </c>
      <c r="F143" s="398">
        <f>'A) Base RI'!AR143</f>
        <v>0</v>
      </c>
      <c r="G143" s="404">
        <f t="shared" si="12"/>
        <v>7545055.8900000006</v>
      </c>
      <c r="H143" s="10">
        <f>+'A) Base RI'!E143</f>
        <v>0</v>
      </c>
      <c r="I143" s="10">
        <f>+'A) Base RI'!F143</f>
        <v>0</v>
      </c>
      <c r="J143" s="10">
        <f>+'A) Base RI'!G143+'A) Base RI'!H143+'A) Base RI'!X143</f>
        <v>545217.86</v>
      </c>
      <c r="K143" s="10">
        <f>+'A) Base RI'!I143</f>
        <v>0</v>
      </c>
      <c r="L143" s="10">
        <f>+'A) Base RI'!J143</f>
        <v>204276.94</v>
      </c>
      <c r="M143" s="10">
        <f>+'A) Base RI'!K143</f>
        <v>32221.7</v>
      </c>
      <c r="N143" s="10">
        <f>+'A) Base RI'!Q143</f>
        <v>2267.2600000000002</v>
      </c>
      <c r="O143" s="10">
        <f t="shared" si="13"/>
        <v>654603.94999999995</v>
      </c>
      <c r="P143" s="10">
        <f>+'A) Base RI'!L143</f>
        <v>654603.94999999995</v>
      </c>
      <c r="Q143" s="412">
        <f>'A) Base RI'!AS143</f>
        <v>1</v>
      </c>
      <c r="R143" s="404">
        <f t="shared" si="14"/>
        <v>8983643.6000000015</v>
      </c>
      <c r="S143" s="457">
        <f>+'A) Base RI'!AN143</f>
        <v>60.5</v>
      </c>
      <c r="T143" s="404">
        <f t="shared" si="15"/>
        <v>8296817.9500000011</v>
      </c>
      <c r="U143" s="404">
        <f t="shared" si="16"/>
        <v>148489.97685950415</v>
      </c>
      <c r="V143" s="10">
        <f>+'A) Base RI'!O143</f>
        <v>442498.3</v>
      </c>
      <c r="W143" s="10">
        <f>+'A) Base RI'!P143</f>
        <v>530269.5</v>
      </c>
      <c r="X143" s="10">
        <f>+'A) Base RI'!R143</f>
        <v>476944.2</v>
      </c>
      <c r="Y143" s="404">
        <f t="shared" si="17"/>
        <v>1449712</v>
      </c>
      <c r="Z143" s="10">
        <f>+'A) Base RI'!N143</f>
        <v>197742.25</v>
      </c>
      <c r="AA143" s="10">
        <f>'A) Base RI'!AO143</f>
        <v>2743</v>
      </c>
    </row>
    <row r="144" spans="1:27" x14ac:dyDescent="0.25">
      <c r="A144" s="8">
        <f>'A) Base RI'!A144</f>
        <v>5634</v>
      </c>
      <c r="B144" s="32" t="str">
        <f>'A) Base RI'!B144</f>
        <v>Echichens</v>
      </c>
      <c r="C144" s="10">
        <f>'A) Base RI'!C144+'A) Base RI'!D144</f>
        <v>9540721.9000000004</v>
      </c>
      <c r="D144" s="10">
        <f>'A) Base RI'!AP144</f>
        <v>1122.06</v>
      </c>
      <c r="E144" s="398">
        <f>'A) Base RI'!AQ144</f>
        <v>0</v>
      </c>
      <c r="F144" s="398">
        <f>'A) Base RI'!AR144</f>
        <v>-16430.84</v>
      </c>
      <c r="G144" s="404">
        <f t="shared" si="12"/>
        <v>9525413.120000001</v>
      </c>
      <c r="H144" s="10">
        <f>+'A) Base RI'!E144</f>
        <v>0</v>
      </c>
      <c r="I144" s="10">
        <f>+'A) Base RI'!F144</f>
        <v>0</v>
      </c>
      <c r="J144" s="10">
        <f>+'A) Base RI'!G144+'A) Base RI'!H144+'A) Base RI'!X144</f>
        <v>390824.9</v>
      </c>
      <c r="K144" s="10">
        <f>+'A) Base RI'!I144</f>
        <v>79996.100000000006</v>
      </c>
      <c r="L144" s="10">
        <f>+'A) Base RI'!J144</f>
        <v>114182.63</v>
      </c>
      <c r="M144" s="10">
        <f>+'A) Base RI'!K144</f>
        <v>30661.9</v>
      </c>
      <c r="N144" s="10">
        <f>+'A) Base RI'!Q144</f>
        <v>-22414.37</v>
      </c>
      <c r="O144" s="10">
        <f t="shared" si="13"/>
        <v>717057.2</v>
      </c>
      <c r="P144" s="10">
        <f>+'A) Base RI'!L144</f>
        <v>717057.2</v>
      </c>
      <c r="Q144" s="412">
        <f>'A) Base RI'!AS144</f>
        <v>1</v>
      </c>
      <c r="R144" s="404">
        <f t="shared" si="14"/>
        <v>10835721.480000002</v>
      </c>
      <c r="S144" s="457">
        <f>+'A) Base RI'!AN144</f>
        <v>66</v>
      </c>
      <c r="T144" s="404">
        <f t="shared" si="15"/>
        <v>10088002.380000003</v>
      </c>
      <c r="U144" s="404">
        <f t="shared" si="16"/>
        <v>164177.5981818182</v>
      </c>
      <c r="V144" s="10">
        <f>+'A) Base RI'!O144</f>
        <v>110134.1</v>
      </c>
      <c r="W144" s="10">
        <f>+'A) Base RI'!P144</f>
        <v>419119.95</v>
      </c>
      <c r="X144" s="10">
        <f>+'A) Base RI'!R144</f>
        <v>301776.34999999998</v>
      </c>
      <c r="Y144" s="404">
        <f t="shared" si="17"/>
        <v>831030.4</v>
      </c>
      <c r="Z144" s="10">
        <f>+'A) Base RI'!N144</f>
        <v>34427.1</v>
      </c>
      <c r="AA144" s="10">
        <f>'A) Base RI'!AO144</f>
        <v>3127</v>
      </c>
    </row>
    <row r="145" spans="1:27" x14ac:dyDescent="0.25">
      <c r="A145" s="8">
        <f>'A) Base RI'!A145</f>
        <v>5635</v>
      </c>
      <c r="B145" s="32" t="str">
        <f>'A) Base RI'!B145</f>
        <v>Ecublens</v>
      </c>
      <c r="C145" s="10">
        <f>'A) Base RI'!C145+'A) Base RI'!D145</f>
        <v>21962150.350000001</v>
      </c>
      <c r="D145" s="10">
        <f>'A) Base RI'!AP145</f>
        <v>-620064.99</v>
      </c>
      <c r="E145" s="398">
        <f>'A) Base RI'!AQ145</f>
        <v>0</v>
      </c>
      <c r="F145" s="398">
        <f>'A) Base RI'!AR145</f>
        <v>-25901.47</v>
      </c>
      <c r="G145" s="404">
        <f t="shared" si="12"/>
        <v>21316183.890000004</v>
      </c>
      <c r="H145" s="10">
        <f>+'A) Base RI'!E145</f>
        <v>0</v>
      </c>
      <c r="I145" s="10">
        <f>+'A) Base RI'!F145</f>
        <v>0</v>
      </c>
      <c r="J145" s="10">
        <f>+'A) Base RI'!G145+'A) Base RI'!H145+'A) Base RI'!X145</f>
        <v>16588508.439999999</v>
      </c>
      <c r="K145" s="10">
        <f>+'A) Base RI'!I145</f>
        <v>0</v>
      </c>
      <c r="L145" s="10">
        <f>+'A) Base RI'!J145</f>
        <v>1749282.28</v>
      </c>
      <c r="M145" s="10">
        <f>+'A) Base RI'!K145</f>
        <v>453708.3</v>
      </c>
      <c r="N145" s="10">
        <f>+'A) Base RI'!Q145</f>
        <v>76637.2</v>
      </c>
      <c r="O145" s="10">
        <f t="shared" si="13"/>
        <v>2424391.9583333335</v>
      </c>
      <c r="P145" s="10">
        <f>+'A) Base RI'!L145</f>
        <v>2909270.35</v>
      </c>
      <c r="Q145" s="412">
        <f>'A) Base RI'!AS145</f>
        <v>1.2</v>
      </c>
      <c r="R145" s="404">
        <f t="shared" si="14"/>
        <v>42608712.068333343</v>
      </c>
      <c r="S145" s="457">
        <f>+'A) Base RI'!AN145</f>
        <v>62.5</v>
      </c>
      <c r="T145" s="404">
        <f t="shared" si="15"/>
        <v>39730611.81000001</v>
      </c>
      <c r="U145" s="404">
        <f t="shared" si="16"/>
        <v>681739.39309333346</v>
      </c>
      <c r="V145" s="10">
        <f>+'A) Base RI'!O145</f>
        <v>328899.90000000002</v>
      </c>
      <c r="W145" s="10">
        <f>+'A) Base RI'!P145</f>
        <v>1907493.5</v>
      </c>
      <c r="X145" s="10">
        <f>+'A) Base RI'!R145</f>
        <v>676244.1</v>
      </c>
      <c r="Y145" s="404">
        <f t="shared" si="17"/>
        <v>2912637.5</v>
      </c>
      <c r="Z145" s="10">
        <f>+'A) Base RI'!N145</f>
        <v>2487367.85</v>
      </c>
      <c r="AA145" s="10">
        <f>'A) Base RI'!AO145</f>
        <v>13164</v>
      </c>
    </row>
    <row r="146" spans="1:27" x14ac:dyDescent="0.25">
      <c r="A146" s="8">
        <f>'A) Base RI'!A146</f>
        <v>5636</v>
      </c>
      <c r="B146" s="32" t="str">
        <f>'A) Base RI'!B146</f>
        <v>Etoy</v>
      </c>
      <c r="C146" s="10">
        <f>'A) Base RI'!C146+'A) Base RI'!D146</f>
        <v>6858006.46</v>
      </c>
      <c r="D146" s="10">
        <f>'A) Base RI'!AP146</f>
        <v>-79322.78</v>
      </c>
      <c r="E146" s="398">
        <f>'A) Base RI'!AQ146</f>
        <v>0</v>
      </c>
      <c r="F146" s="398">
        <f>'A) Base RI'!AR146</f>
        <v>-3378.24</v>
      </c>
      <c r="G146" s="404">
        <f t="shared" si="12"/>
        <v>6775305.4399999995</v>
      </c>
      <c r="H146" s="10">
        <f>+'A) Base RI'!E146</f>
        <v>0</v>
      </c>
      <c r="I146" s="10">
        <f>+'A) Base RI'!F146</f>
        <v>0</v>
      </c>
      <c r="J146" s="10">
        <f>+'A) Base RI'!G146+'A) Base RI'!H146+'A) Base RI'!X146</f>
        <v>1635017.51</v>
      </c>
      <c r="K146" s="10">
        <f>+'A) Base RI'!I146</f>
        <v>0</v>
      </c>
      <c r="L146" s="10">
        <f>+'A) Base RI'!J146</f>
        <v>357527.27</v>
      </c>
      <c r="M146" s="10">
        <f>+'A) Base RI'!K146</f>
        <v>284447.09999999998</v>
      </c>
      <c r="N146" s="10">
        <f>+'A) Base RI'!Q146</f>
        <v>728.49</v>
      </c>
      <c r="O146" s="10">
        <f t="shared" si="13"/>
        <v>1189901.8500000001</v>
      </c>
      <c r="P146" s="10">
        <f>+'A) Base RI'!L146</f>
        <v>1189901.8500000001</v>
      </c>
      <c r="Q146" s="412">
        <f>'A) Base RI'!AS146</f>
        <v>1</v>
      </c>
      <c r="R146" s="404">
        <f t="shared" si="14"/>
        <v>10242927.659999998</v>
      </c>
      <c r="S146" s="457">
        <f>+'A) Base RI'!AN146</f>
        <v>60</v>
      </c>
      <c r="T146" s="404">
        <f t="shared" si="15"/>
        <v>8768578.709999999</v>
      </c>
      <c r="U146" s="404">
        <f t="shared" si="16"/>
        <v>170715.46099999998</v>
      </c>
      <c r="V146" s="10">
        <f>+'A) Base RI'!O146</f>
        <v>211610.6</v>
      </c>
      <c r="W146" s="10">
        <f>+'A) Base RI'!P146</f>
        <v>400593</v>
      </c>
      <c r="X146" s="10">
        <f>+'A) Base RI'!R146</f>
        <v>366210.85</v>
      </c>
      <c r="Y146" s="404">
        <f t="shared" si="17"/>
        <v>978414.45</v>
      </c>
      <c r="Z146" s="10">
        <f>+'A) Base RI'!N146</f>
        <v>619311.94999999995</v>
      </c>
      <c r="AA146" s="10">
        <f>'A) Base RI'!AO146</f>
        <v>2909</v>
      </c>
    </row>
    <row r="147" spans="1:27" x14ac:dyDescent="0.25">
      <c r="A147" s="8">
        <f>'A) Base RI'!A147</f>
        <v>5637</v>
      </c>
      <c r="B147" s="32" t="str">
        <f>'A) Base RI'!B147</f>
        <v>Lavigny</v>
      </c>
      <c r="C147" s="10">
        <f>'A) Base RI'!C147+'A) Base RI'!D147</f>
        <v>2750212.11</v>
      </c>
      <c r="D147" s="10">
        <f>'A) Base RI'!AP147</f>
        <v>-32228.12</v>
      </c>
      <c r="E147" s="398">
        <f>'A) Base RI'!AQ147</f>
        <v>0</v>
      </c>
      <c r="F147" s="398">
        <f>'A) Base RI'!AR147</f>
        <v>-1637.58</v>
      </c>
      <c r="G147" s="404">
        <f t="shared" si="12"/>
        <v>2716346.4099999997</v>
      </c>
      <c r="H147" s="10">
        <f>+'A) Base RI'!E147</f>
        <v>0</v>
      </c>
      <c r="I147" s="10">
        <f>+'A) Base RI'!F147</f>
        <v>0</v>
      </c>
      <c r="J147" s="10">
        <f>+'A) Base RI'!G147+'A) Base RI'!H147+'A) Base RI'!X147</f>
        <v>13498.89</v>
      </c>
      <c r="K147" s="10">
        <f>+'A) Base RI'!I147</f>
        <v>0</v>
      </c>
      <c r="L147" s="10">
        <f>+'A) Base RI'!J147</f>
        <v>75916.59</v>
      </c>
      <c r="M147" s="10">
        <f>+'A) Base RI'!K147</f>
        <v>5748.85</v>
      </c>
      <c r="N147" s="10">
        <f>+'A) Base RI'!Q147</f>
        <v>2396.9899999999998</v>
      </c>
      <c r="O147" s="10">
        <f t="shared" si="13"/>
        <v>193302.39999999999</v>
      </c>
      <c r="P147" s="10">
        <f>+'A) Base RI'!L147</f>
        <v>289953.59999999998</v>
      </c>
      <c r="Q147" s="412">
        <f>'A) Base RI'!AS147</f>
        <v>1.5</v>
      </c>
      <c r="R147" s="404">
        <f t="shared" si="14"/>
        <v>3007210.13</v>
      </c>
      <c r="S147" s="457">
        <f>+'A) Base RI'!AN147</f>
        <v>73</v>
      </c>
      <c r="T147" s="404">
        <f t="shared" si="15"/>
        <v>2808158.88</v>
      </c>
      <c r="U147" s="404">
        <f t="shared" si="16"/>
        <v>41194.659315068493</v>
      </c>
      <c r="V147" s="10">
        <f>+'A) Base RI'!O147</f>
        <v>9743.7999999999993</v>
      </c>
      <c r="W147" s="10">
        <f>+'A) Base RI'!P147</f>
        <v>111469.3</v>
      </c>
      <c r="X147" s="10">
        <f>+'A) Base RI'!R147</f>
        <v>102752.3</v>
      </c>
      <c r="Y147" s="404">
        <f t="shared" si="17"/>
        <v>223965.40000000002</v>
      </c>
      <c r="Z147" s="10">
        <f>+'A) Base RI'!N147</f>
        <v>222888.05</v>
      </c>
      <c r="AA147" s="10">
        <f>'A) Base RI'!AO147</f>
        <v>1008</v>
      </c>
    </row>
    <row r="148" spans="1:27" x14ac:dyDescent="0.25">
      <c r="A148" s="8">
        <f>'A) Base RI'!A148</f>
        <v>5638</v>
      </c>
      <c r="B148" s="32" t="str">
        <f>'A) Base RI'!B148</f>
        <v>Lonay</v>
      </c>
      <c r="C148" s="10">
        <f>'A) Base RI'!C148+'A) Base RI'!D148</f>
        <v>6812727.2400000002</v>
      </c>
      <c r="D148" s="10">
        <f>'A) Base RI'!AP148</f>
        <v>-53189.35</v>
      </c>
      <c r="E148" s="398">
        <f>'A) Base RI'!AQ148</f>
        <v>0</v>
      </c>
      <c r="F148" s="398">
        <f>'A) Base RI'!AR148</f>
        <v>-14646.69</v>
      </c>
      <c r="G148" s="404">
        <f t="shared" si="12"/>
        <v>6744891.2000000002</v>
      </c>
      <c r="H148" s="10">
        <f>+'A) Base RI'!E148</f>
        <v>0</v>
      </c>
      <c r="I148" s="10">
        <f>+'A) Base RI'!F148</f>
        <v>0</v>
      </c>
      <c r="J148" s="10">
        <f>+'A) Base RI'!G148+'A) Base RI'!H148+'A) Base RI'!X148</f>
        <v>51374.32</v>
      </c>
      <c r="K148" s="10">
        <f>+'A) Base RI'!I148</f>
        <v>317203.75</v>
      </c>
      <c r="L148" s="10">
        <f>+'A) Base RI'!J148</f>
        <v>128647.64</v>
      </c>
      <c r="M148" s="10">
        <f>+'A) Base RI'!K148</f>
        <v>64583.25</v>
      </c>
      <c r="N148" s="10">
        <f>+'A) Base RI'!Q148</f>
        <v>17148.830000000002</v>
      </c>
      <c r="O148" s="10">
        <f t="shared" si="13"/>
        <v>678102.1</v>
      </c>
      <c r="P148" s="10">
        <f>+'A) Base RI'!L148</f>
        <v>678102.1</v>
      </c>
      <c r="Q148" s="412">
        <f>'A) Base RI'!AS148</f>
        <v>1</v>
      </c>
      <c r="R148" s="404">
        <f t="shared" si="14"/>
        <v>8001951.0899999999</v>
      </c>
      <c r="S148" s="457">
        <f>+'A) Base RI'!AN148</f>
        <v>55</v>
      </c>
      <c r="T148" s="404">
        <f t="shared" si="15"/>
        <v>7259265.7400000002</v>
      </c>
      <c r="U148" s="404">
        <f t="shared" si="16"/>
        <v>145490.01981818181</v>
      </c>
      <c r="V148" s="10">
        <f>+'A) Base RI'!O148</f>
        <v>1585561.3</v>
      </c>
      <c r="W148" s="10">
        <f>+'A) Base RI'!P148</f>
        <v>317299.65000000002</v>
      </c>
      <c r="X148" s="10">
        <f>+'A) Base RI'!R148</f>
        <v>218303.75</v>
      </c>
      <c r="Y148" s="404">
        <f t="shared" si="17"/>
        <v>2121164.7000000002</v>
      </c>
      <c r="Z148" s="10">
        <f>+'A) Base RI'!N148</f>
        <v>290954.15000000002</v>
      </c>
      <c r="AA148" s="10">
        <f>'A) Base RI'!AO148</f>
        <v>2679</v>
      </c>
    </row>
    <row r="149" spans="1:27" x14ac:dyDescent="0.25">
      <c r="A149" s="8">
        <f>'A) Base RI'!A149</f>
        <v>5639</v>
      </c>
      <c r="B149" s="32" t="str">
        <f>'A) Base RI'!B149</f>
        <v>Lully</v>
      </c>
      <c r="C149" s="10">
        <f>'A) Base RI'!C149+'A) Base RI'!D149</f>
        <v>2651852.83</v>
      </c>
      <c r="D149" s="10">
        <f>'A) Base RI'!AP149</f>
        <v>-11017.54</v>
      </c>
      <c r="E149" s="398">
        <f>'A) Base RI'!AQ149</f>
        <v>0</v>
      </c>
      <c r="F149" s="398">
        <f>'A) Base RI'!AR149</f>
        <v>0</v>
      </c>
      <c r="G149" s="404">
        <f t="shared" si="12"/>
        <v>2640835.29</v>
      </c>
      <c r="H149" s="10">
        <f>+'A) Base RI'!E149</f>
        <v>0</v>
      </c>
      <c r="I149" s="10">
        <f>+'A) Base RI'!F149</f>
        <v>0</v>
      </c>
      <c r="J149" s="10">
        <f>+'A) Base RI'!G149+'A) Base RI'!H149+'A) Base RI'!X149</f>
        <v>-64942.92</v>
      </c>
      <c r="K149" s="10">
        <f>+'A) Base RI'!I149</f>
        <v>0</v>
      </c>
      <c r="L149" s="10">
        <f>+'A) Base RI'!J149</f>
        <v>9023.2800000000007</v>
      </c>
      <c r="M149" s="10">
        <f>+'A) Base RI'!K149</f>
        <v>-8250.15</v>
      </c>
      <c r="N149" s="10">
        <f>+'A) Base RI'!Q149</f>
        <v>669.49</v>
      </c>
      <c r="O149" s="10">
        <f t="shared" si="13"/>
        <v>205673.76</v>
      </c>
      <c r="P149" s="10">
        <f>+'A) Base RI'!L149</f>
        <v>257092.2</v>
      </c>
      <c r="Q149" s="412">
        <f>'A) Base RI'!AS149</f>
        <v>1.25</v>
      </c>
      <c r="R149" s="404">
        <f t="shared" si="14"/>
        <v>2783008.75</v>
      </c>
      <c r="S149" s="457">
        <f>+'A) Base RI'!AN149</f>
        <v>61</v>
      </c>
      <c r="T149" s="404">
        <f t="shared" si="15"/>
        <v>2585585.14</v>
      </c>
      <c r="U149" s="404">
        <f t="shared" si="16"/>
        <v>45623.094262295082</v>
      </c>
      <c r="V149" s="10">
        <f>+'A) Base RI'!O149</f>
        <v>3045.2</v>
      </c>
      <c r="W149" s="10">
        <f>+'A) Base RI'!P149</f>
        <v>129002.9</v>
      </c>
      <c r="X149" s="10">
        <f>+'A) Base RI'!R149</f>
        <v>20303.5</v>
      </c>
      <c r="Y149" s="404">
        <f t="shared" si="17"/>
        <v>152351.6</v>
      </c>
      <c r="Z149" s="10">
        <f>+'A) Base RI'!N149</f>
        <v>15484.7</v>
      </c>
      <c r="AA149" s="10">
        <f>'A) Base RI'!AO149</f>
        <v>825</v>
      </c>
    </row>
    <row r="150" spans="1:27" x14ac:dyDescent="0.25">
      <c r="A150" s="8">
        <f>'A) Base RI'!A150</f>
        <v>5640</v>
      </c>
      <c r="B150" s="32" t="str">
        <f>'A) Base RI'!B150</f>
        <v>Lussy-sur-Morges</v>
      </c>
      <c r="C150" s="10">
        <f>'A) Base RI'!C150+'A) Base RI'!D150</f>
        <v>3389836.15</v>
      </c>
      <c r="D150" s="10">
        <f>'A) Base RI'!AP150</f>
        <v>-3891.6</v>
      </c>
      <c r="E150" s="398">
        <f>'A) Base RI'!AQ150</f>
        <v>0</v>
      </c>
      <c r="F150" s="398">
        <f>'A) Base RI'!AR150</f>
        <v>-2209.71</v>
      </c>
      <c r="G150" s="404">
        <f t="shared" si="12"/>
        <v>3383734.84</v>
      </c>
      <c r="H150" s="10">
        <f>+'A) Base RI'!E150</f>
        <v>0</v>
      </c>
      <c r="I150" s="10">
        <f>+'A) Base RI'!F150</f>
        <v>0</v>
      </c>
      <c r="J150" s="10">
        <f>+'A) Base RI'!G150+'A) Base RI'!H150+'A) Base RI'!X150</f>
        <v>29521.46</v>
      </c>
      <c r="K150" s="10">
        <f>+'A) Base RI'!I150</f>
        <v>123554.25</v>
      </c>
      <c r="L150" s="10">
        <f>+'A) Base RI'!J150</f>
        <v>23735.61</v>
      </c>
      <c r="M150" s="10">
        <f>+'A) Base RI'!K150</f>
        <v>3322.35</v>
      </c>
      <c r="N150" s="10">
        <f>+'A) Base RI'!Q150</f>
        <v>123.98</v>
      </c>
      <c r="O150" s="10">
        <f t="shared" si="13"/>
        <v>200088.65</v>
      </c>
      <c r="P150" s="10">
        <f>+'A) Base RI'!L150</f>
        <v>200088.65</v>
      </c>
      <c r="Q150" s="412">
        <f>'A) Base RI'!AS150</f>
        <v>1</v>
      </c>
      <c r="R150" s="404">
        <f t="shared" si="14"/>
        <v>3764081.1399999997</v>
      </c>
      <c r="S150" s="457">
        <f>+'A) Base RI'!AN150</f>
        <v>66</v>
      </c>
      <c r="T150" s="404">
        <f t="shared" si="15"/>
        <v>3560670.1399999997</v>
      </c>
      <c r="U150" s="404">
        <f t="shared" si="16"/>
        <v>57031.532424242418</v>
      </c>
      <c r="V150" s="10">
        <f>+'A) Base RI'!O150</f>
        <v>73401.600000000006</v>
      </c>
      <c r="W150" s="10">
        <f>+'A) Base RI'!P150</f>
        <v>158128.6</v>
      </c>
      <c r="X150" s="10">
        <f>+'A) Base RI'!R150</f>
        <v>111804.6</v>
      </c>
      <c r="Y150" s="404">
        <f t="shared" si="17"/>
        <v>343334.80000000005</v>
      </c>
      <c r="Z150" s="10">
        <f>+'A) Base RI'!N150</f>
        <v>14468.85</v>
      </c>
      <c r="AA150" s="10">
        <f>'A) Base RI'!AO150</f>
        <v>722</v>
      </c>
    </row>
    <row r="151" spans="1:27" x14ac:dyDescent="0.25">
      <c r="A151" s="8">
        <f>'A) Base RI'!A151</f>
        <v>5642</v>
      </c>
      <c r="B151" s="32" t="str">
        <f>'A) Base RI'!B151</f>
        <v>Morges</v>
      </c>
      <c r="C151" s="10">
        <f>'A) Base RI'!C151+'A) Base RI'!D151</f>
        <v>41287968.010000005</v>
      </c>
      <c r="D151" s="10">
        <f>'A) Base RI'!AP151</f>
        <v>-1266950.6599999999</v>
      </c>
      <c r="E151" s="398">
        <f>'A) Base RI'!AQ151</f>
        <v>0</v>
      </c>
      <c r="F151" s="398">
        <f>'A) Base RI'!AR151</f>
        <v>-65343.82</v>
      </c>
      <c r="G151" s="404">
        <f t="shared" si="12"/>
        <v>39955673.530000009</v>
      </c>
      <c r="H151" s="10">
        <f>+'A) Base RI'!E151</f>
        <v>0</v>
      </c>
      <c r="I151" s="10">
        <f>+'A) Base RI'!F151</f>
        <v>0</v>
      </c>
      <c r="J151" s="10">
        <f>+'A) Base RI'!G151+'A) Base RI'!H151+'A) Base RI'!X151</f>
        <v>5330760.75</v>
      </c>
      <c r="K151" s="10">
        <f>+'A) Base RI'!I151</f>
        <v>1785593.95</v>
      </c>
      <c r="L151" s="10">
        <f>+'A) Base RI'!J151</f>
        <v>1767628.67</v>
      </c>
      <c r="M151" s="10">
        <f>+'A) Base RI'!K151</f>
        <v>528585.69999999995</v>
      </c>
      <c r="N151" s="10">
        <f>+'A) Base RI'!Q151</f>
        <v>124680.94</v>
      </c>
      <c r="O151" s="10">
        <f t="shared" si="13"/>
        <v>3270455.1</v>
      </c>
      <c r="P151" s="10">
        <f>+'A) Base RI'!L151</f>
        <v>3270455.1</v>
      </c>
      <c r="Q151" s="412">
        <f>'A) Base RI'!AS151</f>
        <v>1</v>
      </c>
      <c r="R151" s="404">
        <f t="shared" si="14"/>
        <v>52763378.640000015</v>
      </c>
      <c r="S151" s="457">
        <f>+'A) Base RI'!AN151</f>
        <v>67</v>
      </c>
      <c r="T151" s="404">
        <f t="shared" si="15"/>
        <v>48964337.840000011</v>
      </c>
      <c r="U151" s="404">
        <f t="shared" si="16"/>
        <v>787513.11402985093</v>
      </c>
      <c r="V151" s="10">
        <f>+'A) Base RI'!O151</f>
        <v>1575229.1</v>
      </c>
      <c r="W151" s="10">
        <f>+'A) Base RI'!P151</f>
        <v>1876741.5</v>
      </c>
      <c r="X151" s="10">
        <f>+'A) Base RI'!R151</f>
        <v>1985121.55</v>
      </c>
      <c r="Y151" s="404">
        <f t="shared" si="17"/>
        <v>5437092.1500000004</v>
      </c>
      <c r="Z151" s="10">
        <f>+'A) Base RI'!N151</f>
        <v>1316828.75</v>
      </c>
      <c r="AA151" s="10">
        <f>'A) Base RI'!AO151</f>
        <v>16095</v>
      </c>
    </row>
    <row r="152" spans="1:27" x14ac:dyDescent="0.25">
      <c r="A152" s="8">
        <f>'A) Base RI'!A152</f>
        <v>5643</v>
      </c>
      <c r="B152" s="32" t="str">
        <f>'A) Base RI'!B152</f>
        <v>Préverenges</v>
      </c>
      <c r="C152" s="10">
        <f>'A) Base RI'!C152+'A) Base RI'!D152</f>
        <v>14122542.82</v>
      </c>
      <c r="D152" s="10">
        <f>'A) Base RI'!AP152</f>
        <v>-195126.12</v>
      </c>
      <c r="E152" s="398">
        <f>'A) Base RI'!AQ152</f>
        <v>0</v>
      </c>
      <c r="F152" s="398">
        <f>'A) Base RI'!AR152</f>
        <v>-37519.589999999997</v>
      </c>
      <c r="G152" s="404">
        <f t="shared" si="12"/>
        <v>13889897.110000001</v>
      </c>
      <c r="H152" s="10">
        <f>+'A) Base RI'!E152</f>
        <v>0</v>
      </c>
      <c r="I152" s="10">
        <f>+'A) Base RI'!F152</f>
        <v>0</v>
      </c>
      <c r="J152" s="10">
        <f>+'A) Base RI'!G152+'A) Base RI'!H152+'A) Base RI'!X152</f>
        <v>506748.36</v>
      </c>
      <c r="K152" s="10">
        <f>+'A) Base RI'!I152</f>
        <v>447354.21</v>
      </c>
      <c r="L152" s="10">
        <f>+'A) Base RI'!J152</f>
        <v>265216.28000000003</v>
      </c>
      <c r="M152" s="10">
        <f>+'A) Base RI'!K152</f>
        <v>126037</v>
      </c>
      <c r="N152" s="10">
        <f>+'A) Base RI'!Q152</f>
        <v>34745.64</v>
      </c>
      <c r="O152" s="10">
        <f t="shared" si="13"/>
        <v>1126087.1299999999</v>
      </c>
      <c r="P152" s="10">
        <f>+'A) Base RI'!L152</f>
        <v>1126087.1299999999</v>
      </c>
      <c r="Q152" s="412">
        <f>'A) Base RI'!AS152</f>
        <v>1</v>
      </c>
      <c r="R152" s="404">
        <f t="shared" si="14"/>
        <v>16396085.73</v>
      </c>
      <c r="S152" s="457">
        <f>+'A) Base RI'!AN152</f>
        <v>62.5</v>
      </c>
      <c r="T152" s="404">
        <f t="shared" si="15"/>
        <v>15143961.600000001</v>
      </c>
      <c r="U152" s="404">
        <f t="shared" si="16"/>
        <v>262337.37167999998</v>
      </c>
      <c r="V152" s="10">
        <f>+'A) Base RI'!O152</f>
        <v>90172</v>
      </c>
      <c r="W152" s="10">
        <f>+'A) Base RI'!P152</f>
        <v>427353.4</v>
      </c>
      <c r="X152" s="10">
        <f>+'A) Base RI'!R152</f>
        <v>292102.59999999998</v>
      </c>
      <c r="Y152" s="404">
        <f t="shared" si="17"/>
        <v>809628</v>
      </c>
      <c r="Z152" s="10">
        <f>+'A) Base RI'!N152</f>
        <v>212698.65</v>
      </c>
      <c r="AA152" s="10">
        <f>'A) Base RI'!AO152</f>
        <v>5241</v>
      </c>
    </row>
    <row r="153" spans="1:27" x14ac:dyDescent="0.25">
      <c r="A153" s="8">
        <f>'A) Base RI'!A153</f>
        <v>5644</v>
      </c>
      <c r="B153" s="32" t="str">
        <f>'A) Base RI'!B153</f>
        <v>Reverolle</v>
      </c>
      <c r="C153" s="10">
        <f>'A) Base RI'!C153+'A) Base RI'!D153</f>
        <v>1070640.1000000001</v>
      </c>
      <c r="D153" s="10">
        <f>'A) Base RI'!AP153</f>
        <v>-30.02</v>
      </c>
      <c r="E153" s="398">
        <f>'A) Base RI'!AQ153</f>
        <v>0</v>
      </c>
      <c r="F153" s="398">
        <f>'A) Base RI'!AR153</f>
        <v>-392.34</v>
      </c>
      <c r="G153" s="404">
        <f t="shared" si="12"/>
        <v>1070217.74</v>
      </c>
      <c r="H153" s="10">
        <f>+'A) Base RI'!E153</f>
        <v>0</v>
      </c>
      <c r="I153" s="10">
        <f>+'A) Base RI'!F153</f>
        <v>0</v>
      </c>
      <c r="J153" s="10">
        <f>+'A) Base RI'!G153+'A) Base RI'!H153+'A) Base RI'!X153</f>
        <v>29070.010000000002</v>
      </c>
      <c r="K153" s="10">
        <f>+'A) Base RI'!I153</f>
        <v>0</v>
      </c>
      <c r="L153" s="10">
        <f>+'A) Base RI'!J153</f>
        <v>3739.98</v>
      </c>
      <c r="M153" s="10">
        <f>+'A) Base RI'!K153</f>
        <v>-150</v>
      </c>
      <c r="N153" s="10">
        <f>+'A) Base RI'!Q153</f>
        <v>0</v>
      </c>
      <c r="O153" s="10">
        <f t="shared" si="13"/>
        <v>82657.55</v>
      </c>
      <c r="P153" s="10">
        <f>+'A) Base RI'!L153</f>
        <v>82657.55</v>
      </c>
      <c r="Q153" s="412">
        <f>'A) Base RI'!AS153</f>
        <v>1</v>
      </c>
      <c r="R153" s="404">
        <f t="shared" si="14"/>
        <v>1185535.28</v>
      </c>
      <c r="S153" s="457">
        <f>+'A) Base RI'!AN153</f>
        <v>74</v>
      </c>
      <c r="T153" s="404">
        <f t="shared" si="15"/>
        <v>1103027.73</v>
      </c>
      <c r="U153" s="404">
        <f t="shared" si="16"/>
        <v>16020.747027027028</v>
      </c>
      <c r="V153" s="10">
        <f>+'A) Base RI'!O153</f>
        <v>0</v>
      </c>
      <c r="W153" s="10">
        <f>+'A) Base RI'!P153</f>
        <v>24420</v>
      </c>
      <c r="X153" s="10">
        <f>+'A) Base RI'!R153</f>
        <v>1730.6</v>
      </c>
      <c r="Y153" s="404">
        <f t="shared" si="17"/>
        <v>26150.6</v>
      </c>
      <c r="Z153" s="10">
        <f>+'A) Base RI'!N153</f>
        <v>4509.8999999999996</v>
      </c>
      <c r="AA153" s="10">
        <f>'A) Base RI'!AO153</f>
        <v>407</v>
      </c>
    </row>
    <row r="154" spans="1:27" x14ac:dyDescent="0.25">
      <c r="A154" s="8">
        <f>'A) Base RI'!A154</f>
        <v>5645</v>
      </c>
      <c r="B154" s="32" t="str">
        <f>'A) Base RI'!B154</f>
        <v>Romanel-sur-Morges</v>
      </c>
      <c r="C154" s="10">
        <f>'A) Base RI'!C154+'A) Base RI'!D154</f>
        <v>1140048.52</v>
      </c>
      <c r="D154" s="10">
        <f>'A) Base RI'!AP154</f>
        <v>-10244.790000000001</v>
      </c>
      <c r="E154" s="398">
        <f>'A) Base RI'!AQ154</f>
        <v>0</v>
      </c>
      <c r="F154" s="398">
        <f>'A) Base RI'!AR154</f>
        <v>-1656.45</v>
      </c>
      <c r="G154" s="404">
        <f t="shared" si="12"/>
        <v>1128147.28</v>
      </c>
      <c r="H154" s="10">
        <f>+'A) Base RI'!E154</f>
        <v>0</v>
      </c>
      <c r="I154" s="10">
        <f>+'A) Base RI'!F154</f>
        <v>0</v>
      </c>
      <c r="J154" s="10">
        <f>+'A) Base RI'!G154+'A) Base RI'!H154+'A) Base RI'!X154</f>
        <v>154072.72</v>
      </c>
      <c r="K154" s="10">
        <f>+'A) Base RI'!I154</f>
        <v>0</v>
      </c>
      <c r="L154" s="10">
        <f>+'A) Base RI'!J154</f>
        <v>66708.12</v>
      </c>
      <c r="M154" s="10">
        <f>+'A) Base RI'!K154</f>
        <v>20606.599999999999</v>
      </c>
      <c r="N154" s="10">
        <f>+'A) Base RI'!Q154</f>
        <v>2974.46</v>
      </c>
      <c r="O154" s="10">
        <f t="shared" si="13"/>
        <v>159938.35</v>
      </c>
      <c r="P154" s="10">
        <f>+'A) Base RI'!L154</f>
        <v>159938.35</v>
      </c>
      <c r="Q154" s="412">
        <f>'A) Base RI'!AS154</f>
        <v>1</v>
      </c>
      <c r="R154" s="404">
        <f t="shared" si="14"/>
        <v>1532447.5300000003</v>
      </c>
      <c r="S154" s="457">
        <f>+'A) Base RI'!AN154</f>
        <v>56</v>
      </c>
      <c r="T154" s="404">
        <f t="shared" si="15"/>
        <v>1351902.58</v>
      </c>
      <c r="U154" s="404">
        <f t="shared" si="16"/>
        <v>27365.134464285718</v>
      </c>
      <c r="V154" s="10">
        <f>+'A) Base RI'!O154</f>
        <v>89491.8</v>
      </c>
      <c r="W154" s="10">
        <f>+'A) Base RI'!P154</f>
        <v>69675.649999999994</v>
      </c>
      <c r="X154" s="10">
        <f>+'A) Base RI'!R154</f>
        <v>19294.45</v>
      </c>
      <c r="Y154" s="404">
        <f t="shared" si="17"/>
        <v>178461.90000000002</v>
      </c>
      <c r="Z154" s="10">
        <f>+'A) Base RI'!N154</f>
        <v>37607.800000000003</v>
      </c>
      <c r="AA154" s="10">
        <f>'A) Base RI'!AO154</f>
        <v>466</v>
      </c>
    </row>
    <row r="155" spans="1:27" x14ac:dyDescent="0.25">
      <c r="A155" s="8">
        <f>'A) Base RI'!A155</f>
        <v>5646</v>
      </c>
      <c r="B155" s="32" t="str">
        <f>'A) Base RI'!B155</f>
        <v>Saint-Prex</v>
      </c>
      <c r="C155" s="10">
        <f>'A) Base RI'!C155+'A) Base RI'!D155</f>
        <v>14853850.120000001</v>
      </c>
      <c r="D155" s="10">
        <f>'A) Base RI'!AP155</f>
        <v>-178640.07</v>
      </c>
      <c r="E155" s="398">
        <f>'A) Base RI'!AQ155</f>
        <v>0</v>
      </c>
      <c r="F155" s="398">
        <f>'A) Base RI'!AR155</f>
        <v>-34323.89</v>
      </c>
      <c r="G155" s="404">
        <f t="shared" si="12"/>
        <v>14640886.16</v>
      </c>
      <c r="H155" s="10">
        <f>+'A) Base RI'!E155</f>
        <v>0</v>
      </c>
      <c r="I155" s="10">
        <f>+'A) Base RI'!F155</f>
        <v>0</v>
      </c>
      <c r="J155" s="10">
        <f>+'A) Base RI'!G155+'A) Base RI'!H155+'A) Base RI'!X155</f>
        <v>11953315.670000002</v>
      </c>
      <c r="K155" s="10">
        <f>+'A) Base RI'!I155</f>
        <v>762116.87</v>
      </c>
      <c r="L155" s="10">
        <f>+'A) Base RI'!J155</f>
        <v>587722.06000000006</v>
      </c>
      <c r="M155" s="10">
        <f>+'A) Base RI'!K155</f>
        <v>135101.5</v>
      </c>
      <c r="N155" s="10">
        <f>+'A) Base RI'!Q155</f>
        <v>23957.29</v>
      </c>
      <c r="O155" s="10">
        <f t="shared" si="13"/>
        <v>1656997.9</v>
      </c>
      <c r="P155" s="10">
        <f>+'A) Base RI'!L155</f>
        <v>1656997.9</v>
      </c>
      <c r="Q155" s="412">
        <f>'A) Base RI'!AS155</f>
        <v>1</v>
      </c>
      <c r="R155" s="404">
        <f t="shared" si="14"/>
        <v>29760097.449999999</v>
      </c>
      <c r="S155" s="457">
        <f>+'A) Base RI'!AN155</f>
        <v>55</v>
      </c>
      <c r="T155" s="404">
        <f t="shared" si="15"/>
        <v>27967998.050000001</v>
      </c>
      <c r="U155" s="404">
        <f t="shared" si="16"/>
        <v>541092.68090909091</v>
      </c>
      <c r="V155" s="10">
        <f>+'A) Base RI'!O155</f>
        <v>764394.2</v>
      </c>
      <c r="W155" s="10">
        <f>+'A) Base RI'!P155</f>
        <v>778605.7</v>
      </c>
      <c r="X155" s="10">
        <f>+'A) Base RI'!R155</f>
        <v>751144.8</v>
      </c>
      <c r="Y155" s="404">
        <f t="shared" si="17"/>
        <v>2294144.7000000002</v>
      </c>
      <c r="Z155" s="10">
        <f>+'A) Base RI'!N155</f>
        <v>1057317.55</v>
      </c>
      <c r="AA155" s="10">
        <f>'A) Base RI'!AO155</f>
        <v>5865</v>
      </c>
    </row>
    <row r="156" spans="1:27" x14ac:dyDescent="0.25">
      <c r="A156" s="8">
        <f>'A) Base RI'!A156</f>
        <v>5648</v>
      </c>
      <c r="B156" s="32" t="str">
        <f>'A) Base RI'!B156</f>
        <v>Saint-Sulpice</v>
      </c>
      <c r="C156" s="10">
        <f>'A) Base RI'!C156+'A) Base RI'!D156</f>
        <v>17488228.039999999</v>
      </c>
      <c r="D156" s="10">
        <f>'A) Base RI'!AP156</f>
        <v>-152293.5</v>
      </c>
      <c r="E156" s="398">
        <f>'A) Base RI'!AQ156</f>
        <v>0</v>
      </c>
      <c r="F156" s="398">
        <f>'A) Base RI'!AR156</f>
        <v>-115155.93</v>
      </c>
      <c r="G156" s="404">
        <f t="shared" si="12"/>
        <v>17220778.609999999</v>
      </c>
      <c r="H156" s="10">
        <f>+'A) Base RI'!E156</f>
        <v>0</v>
      </c>
      <c r="I156" s="10">
        <f>+'A) Base RI'!F156</f>
        <v>0</v>
      </c>
      <c r="J156" s="10">
        <f>+'A) Base RI'!G156+'A) Base RI'!H156+'A) Base RI'!X156</f>
        <v>1546907.7599999998</v>
      </c>
      <c r="K156" s="10">
        <f>+'A) Base RI'!I156</f>
        <v>548606.35</v>
      </c>
      <c r="L156" s="10">
        <f>+'A) Base RI'!J156</f>
        <v>709111.6</v>
      </c>
      <c r="M156" s="10">
        <f>+'A) Base RI'!K156</f>
        <v>137836.75</v>
      </c>
      <c r="N156" s="10">
        <f>+'A) Base RI'!Q156</f>
        <v>10214.629999999999</v>
      </c>
      <c r="O156" s="10">
        <f t="shared" si="13"/>
        <v>1632970.7999999998</v>
      </c>
      <c r="P156" s="10">
        <f>+'A) Base RI'!L156</f>
        <v>1306376.6399999999</v>
      </c>
      <c r="Q156" s="412">
        <f>'A) Base RI'!AS156</f>
        <v>0.8</v>
      </c>
      <c r="R156" s="404">
        <f t="shared" si="14"/>
        <v>21806426.5</v>
      </c>
      <c r="S156" s="457">
        <f>+'A) Base RI'!AN156</f>
        <v>55</v>
      </c>
      <c r="T156" s="404">
        <f t="shared" si="15"/>
        <v>20035618.949999999</v>
      </c>
      <c r="U156" s="404">
        <f t="shared" si="16"/>
        <v>396480.48181818181</v>
      </c>
      <c r="V156" s="10">
        <f>+'A) Base RI'!O156</f>
        <v>333365.8</v>
      </c>
      <c r="W156" s="10">
        <f>+'A) Base RI'!P156</f>
        <v>655689</v>
      </c>
      <c r="X156" s="10">
        <f>+'A) Base RI'!R156</f>
        <v>680965.4</v>
      </c>
      <c r="Y156" s="404">
        <f t="shared" si="17"/>
        <v>1670020.2000000002</v>
      </c>
      <c r="Z156" s="10">
        <f>+'A) Base RI'!N156</f>
        <v>85040.6</v>
      </c>
      <c r="AA156" s="10">
        <f>'A) Base RI'!AO156</f>
        <v>4909</v>
      </c>
    </row>
    <row r="157" spans="1:27" x14ac:dyDescent="0.25">
      <c r="A157" s="8">
        <f>'A) Base RI'!A157</f>
        <v>5649</v>
      </c>
      <c r="B157" s="32" t="str">
        <f>'A) Base RI'!B157</f>
        <v>Tolochenaz</v>
      </c>
      <c r="C157" s="10">
        <f>'A) Base RI'!C157+'A) Base RI'!D157</f>
        <v>4602367.82</v>
      </c>
      <c r="D157" s="10">
        <f>'A) Base RI'!AP157</f>
        <v>-65339.54</v>
      </c>
      <c r="E157" s="398">
        <f>'A) Base RI'!AQ157</f>
        <v>0</v>
      </c>
      <c r="F157" s="398">
        <f>'A) Base RI'!AR157</f>
        <v>-3405.73</v>
      </c>
      <c r="G157" s="404">
        <f t="shared" si="12"/>
        <v>4533622.55</v>
      </c>
      <c r="H157" s="10">
        <f>+'A) Base RI'!E157</f>
        <v>0</v>
      </c>
      <c r="I157" s="10">
        <f>+'A) Base RI'!F157</f>
        <v>0</v>
      </c>
      <c r="J157" s="10">
        <f>+'A) Base RI'!G157+'A) Base RI'!H157+'A) Base RI'!X157</f>
        <v>8547426.0499999989</v>
      </c>
      <c r="K157" s="10">
        <f>+'A) Base RI'!I157</f>
        <v>30789.15</v>
      </c>
      <c r="L157" s="10">
        <f>+'A) Base RI'!J157</f>
        <v>256600.22</v>
      </c>
      <c r="M157" s="10">
        <f>+'A) Base RI'!K157</f>
        <v>65122.1</v>
      </c>
      <c r="N157" s="10">
        <f>+'A) Base RI'!Q157</f>
        <v>19414.7</v>
      </c>
      <c r="O157" s="10">
        <f t="shared" si="13"/>
        <v>557667.69999999995</v>
      </c>
      <c r="P157" s="10">
        <f>+'A) Base RI'!L157</f>
        <v>557667.69999999995</v>
      </c>
      <c r="Q157" s="412">
        <f>'A) Base RI'!AS157</f>
        <v>1</v>
      </c>
      <c r="R157" s="404">
        <f t="shared" si="14"/>
        <v>14010642.469999997</v>
      </c>
      <c r="S157" s="457">
        <f>+'A) Base RI'!AN157</f>
        <v>65</v>
      </c>
      <c r="T157" s="404">
        <f t="shared" si="15"/>
        <v>13387852.669999998</v>
      </c>
      <c r="U157" s="404">
        <f t="shared" si="16"/>
        <v>215548.34569230766</v>
      </c>
      <c r="V157" s="10">
        <f>+'A) Base RI'!O157</f>
        <v>0</v>
      </c>
      <c r="W157" s="10">
        <f>+'A) Base RI'!P157</f>
        <v>319670.95</v>
      </c>
      <c r="X157" s="10">
        <f>+'A) Base RI'!R157</f>
        <v>40091.5</v>
      </c>
      <c r="Y157" s="404">
        <f t="shared" si="17"/>
        <v>359762.45</v>
      </c>
      <c r="Z157" s="10">
        <f>+'A) Base RI'!N157</f>
        <v>588474.4</v>
      </c>
      <c r="AA157" s="10">
        <f>'A) Base RI'!AO157</f>
        <v>1889</v>
      </c>
    </row>
    <row r="158" spans="1:27" x14ac:dyDescent="0.25">
      <c r="A158" s="8">
        <f>'A) Base RI'!A158</f>
        <v>5650</v>
      </c>
      <c r="B158" s="32" t="str">
        <f>'A) Base RI'!B158</f>
        <v>Vaux-sur-Morges</v>
      </c>
      <c r="C158" s="10">
        <f>'A) Base RI'!C158+'A) Base RI'!D158</f>
        <v>3505164.8000000003</v>
      </c>
      <c r="D158" s="10">
        <f>'A) Base RI'!AP158</f>
        <v>-3776.83</v>
      </c>
      <c r="E158" s="398">
        <f>'A) Base RI'!AQ158</f>
        <v>0</v>
      </c>
      <c r="F158" s="398">
        <f>'A) Base RI'!AR158</f>
        <v>0</v>
      </c>
      <c r="G158" s="404">
        <f t="shared" si="12"/>
        <v>3501387.97</v>
      </c>
      <c r="H158" s="10">
        <f>+'A) Base RI'!E158</f>
        <v>0</v>
      </c>
      <c r="I158" s="10">
        <f>+'A) Base RI'!F158</f>
        <v>0</v>
      </c>
      <c r="J158" s="10">
        <f>+'A) Base RI'!G158+'A) Base RI'!H158+'A) Base RI'!X158</f>
        <v>6118.21</v>
      </c>
      <c r="K158" s="10">
        <f>+'A) Base RI'!I158</f>
        <v>0</v>
      </c>
      <c r="L158" s="10">
        <f>+'A) Base RI'!J158</f>
        <v>-25222.14</v>
      </c>
      <c r="M158" s="10">
        <f>+'A) Base RI'!K158</f>
        <v>0</v>
      </c>
      <c r="N158" s="10">
        <f>+'A) Base RI'!Q158</f>
        <v>0</v>
      </c>
      <c r="O158" s="10">
        <f t="shared" si="13"/>
        <v>45852</v>
      </c>
      <c r="P158" s="10">
        <f>+'A) Base RI'!L158</f>
        <v>57315</v>
      </c>
      <c r="Q158" s="412">
        <f>'A) Base RI'!AS158</f>
        <v>1.25</v>
      </c>
      <c r="R158" s="404">
        <f t="shared" si="14"/>
        <v>3528136.04</v>
      </c>
      <c r="S158" s="457">
        <f>+'A) Base RI'!AN158</f>
        <v>56</v>
      </c>
      <c r="T158" s="404">
        <f t="shared" si="15"/>
        <v>3482284.04</v>
      </c>
      <c r="U158" s="404">
        <f t="shared" si="16"/>
        <v>63002.429285714286</v>
      </c>
      <c r="V158" s="10">
        <f>+'A) Base RI'!O158</f>
        <v>21020126.699999999</v>
      </c>
      <c r="W158" s="10">
        <f>+'A) Base RI'!P158</f>
        <v>8745</v>
      </c>
      <c r="X158" s="10">
        <f>+'A) Base RI'!R158</f>
        <v>29908.799999999999</v>
      </c>
      <c r="Y158" s="404">
        <f t="shared" si="17"/>
        <v>21058780.5</v>
      </c>
      <c r="Z158" s="10">
        <f>+'A) Base RI'!N158</f>
        <v>46.25</v>
      </c>
      <c r="AA158" s="10">
        <f>'A) Base RI'!AO158</f>
        <v>194</v>
      </c>
    </row>
    <row r="159" spans="1:27" x14ac:dyDescent="0.25">
      <c r="A159" s="8">
        <f>'A) Base RI'!A159</f>
        <v>5651</v>
      </c>
      <c r="B159" s="32" t="str">
        <f>'A) Base RI'!B159</f>
        <v>Villars-Sainte-Croix</v>
      </c>
      <c r="C159" s="10">
        <f>'A) Base RI'!C159+'A) Base RI'!D159</f>
        <v>2359568.42</v>
      </c>
      <c r="D159" s="10">
        <f>'A) Base RI'!AP159</f>
        <v>-25961.53</v>
      </c>
      <c r="E159" s="398">
        <f>'A) Base RI'!AQ159</f>
        <v>0</v>
      </c>
      <c r="F159" s="398">
        <f>'A) Base RI'!AR159</f>
        <v>-576.03</v>
      </c>
      <c r="G159" s="404">
        <f t="shared" si="12"/>
        <v>2333030.8600000003</v>
      </c>
      <c r="H159" s="10">
        <f>+'A) Base RI'!E159</f>
        <v>0</v>
      </c>
      <c r="I159" s="10">
        <f>+'A) Base RI'!F159</f>
        <v>0</v>
      </c>
      <c r="J159" s="10">
        <f>+'A) Base RI'!G159+'A) Base RI'!H159+'A) Base RI'!X159</f>
        <v>599295.73</v>
      </c>
      <c r="K159" s="10">
        <f>+'A) Base RI'!I159</f>
        <v>0</v>
      </c>
      <c r="L159" s="10">
        <f>+'A) Base RI'!J159</f>
        <v>32671.37</v>
      </c>
      <c r="M159" s="10">
        <f>+'A) Base RI'!K159</f>
        <v>36688.400000000001</v>
      </c>
      <c r="N159" s="10">
        <f>+'A) Base RI'!Q159</f>
        <v>8244.7000000000007</v>
      </c>
      <c r="O159" s="10">
        <f t="shared" si="13"/>
        <v>383846.1</v>
      </c>
      <c r="P159" s="10">
        <f>+'A) Base RI'!L159</f>
        <v>383846.1</v>
      </c>
      <c r="Q159" s="412">
        <f>'A) Base RI'!AS159</f>
        <v>1</v>
      </c>
      <c r="R159" s="404">
        <f t="shared" si="14"/>
        <v>3393777.1600000006</v>
      </c>
      <c r="S159" s="457">
        <f>+'A) Base RI'!AN159</f>
        <v>60.5</v>
      </c>
      <c r="T159" s="404">
        <f t="shared" si="15"/>
        <v>2973242.6600000006</v>
      </c>
      <c r="U159" s="404">
        <f t="shared" si="16"/>
        <v>56095.490247933893</v>
      </c>
      <c r="V159" s="10">
        <f>+'A) Base RI'!O159</f>
        <v>0</v>
      </c>
      <c r="W159" s="10">
        <f>+'A) Base RI'!P159</f>
        <v>179231.25</v>
      </c>
      <c r="X159" s="10">
        <f>+'A) Base RI'!R159</f>
        <v>112130.1</v>
      </c>
      <c r="Y159" s="404">
        <f t="shared" si="17"/>
        <v>291361.34999999998</v>
      </c>
      <c r="Z159" s="10">
        <f>+'A) Base RI'!N159</f>
        <v>170466.25</v>
      </c>
      <c r="AA159" s="10">
        <f>'A) Base RI'!AO159</f>
        <v>958</v>
      </c>
    </row>
    <row r="160" spans="1:27" x14ac:dyDescent="0.25">
      <c r="A160" s="8">
        <f>'A) Base RI'!A160</f>
        <v>5652</v>
      </c>
      <c r="B160" s="32" t="str">
        <f>'A) Base RI'!B160</f>
        <v>Villars-sous-Yens</v>
      </c>
      <c r="C160" s="10">
        <f>'A) Base RI'!C160+'A) Base RI'!D160</f>
        <v>1797196.25</v>
      </c>
      <c r="D160" s="10">
        <f>'A) Base RI'!AP160</f>
        <v>-17306.95</v>
      </c>
      <c r="E160" s="398">
        <f>'A) Base RI'!AQ160</f>
        <v>0</v>
      </c>
      <c r="F160" s="398">
        <f>'A) Base RI'!AR160</f>
        <v>-480.35</v>
      </c>
      <c r="G160" s="404">
        <f t="shared" si="12"/>
        <v>1779408.95</v>
      </c>
      <c r="H160" s="10">
        <f>+'A) Base RI'!E160</f>
        <v>0</v>
      </c>
      <c r="I160" s="10">
        <f>+'A) Base RI'!F160</f>
        <v>0</v>
      </c>
      <c r="J160" s="10">
        <f>+'A) Base RI'!G160+'A) Base RI'!H160+'A) Base RI'!X160</f>
        <v>27814.829999999998</v>
      </c>
      <c r="K160" s="10">
        <f>+'A) Base RI'!I160</f>
        <v>0</v>
      </c>
      <c r="L160" s="10">
        <f>+'A) Base RI'!J160</f>
        <v>28766.84</v>
      </c>
      <c r="M160" s="10">
        <f>+'A) Base RI'!K160</f>
        <v>817.15</v>
      </c>
      <c r="N160" s="10">
        <f>+'A) Base RI'!Q160</f>
        <v>3767.87</v>
      </c>
      <c r="O160" s="10">
        <f t="shared" si="13"/>
        <v>109757.79166666667</v>
      </c>
      <c r="P160" s="10">
        <f>+'A) Base RI'!L160</f>
        <v>131709.35</v>
      </c>
      <c r="Q160" s="412">
        <f>'A) Base RI'!AS160</f>
        <v>1.2</v>
      </c>
      <c r="R160" s="404">
        <f t="shared" si="14"/>
        <v>1950333.4316666669</v>
      </c>
      <c r="S160" s="457">
        <f>+'A) Base RI'!AN160</f>
        <v>76</v>
      </c>
      <c r="T160" s="404">
        <f t="shared" si="15"/>
        <v>1839758.4900000002</v>
      </c>
      <c r="U160" s="404">
        <f t="shared" si="16"/>
        <v>25662.281995614037</v>
      </c>
      <c r="V160" s="10">
        <f>+'A) Base RI'!O160</f>
        <v>78379.8</v>
      </c>
      <c r="W160" s="10">
        <f>+'A) Base RI'!P160</f>
        <v>37024.1</v>
      </c>
      <c r="X160" s="10">
        <f>+'A) Base RI'!R160</f>
        <v>51803.95</v>
      </c>
      <c r="Y160" s="404">
        <f t="shared" si="17"/>
        <v>167207.84999999998</v>
      </c>
      <c r="Z160" s="10">
        <f>+'A) Base RI'!N160</f>
        <v>3228.45</v>
      </c>
      <c r="AA160" s="10">
        <f>'A) Base RI'!AO160</f>
        <v>615</v>
      </c>
    </row>
    <row r="161" spans="1:27" x14ac:dyDescent="0.25">
      <c r="A161" s="8">
        <f>'A) Base RI'!A161</f>
        <v>5653</v>
      </c>
      <c r="B161" s="32" t="str">
        <f>'A) Base RI'!B161</f>
        <v>Vufflens-le-Château</v>
      </c>
      <c r="C161" s="10">
        <f>'A) Base RI'!C161+'A) Base RI'!D161</f>
        <v>3623607.6599999997</v>
      </c>
      <c r="D161" s="10">
        <f>'A) Base RI'!AP161</f>
        <v>-7935.47</v>
      </c>
      <c r="E161" s="398">
        <f>'A) Base RI'!AQ161</f>
        <v>0</v>
      </c>
      <c r="F161" s="398">
        <f>'A) Base RI'!AR161</f>
        <v>-13811.53</v>
      </c>
      <c r="G161" s="404">
        <f t="shared" si="12"/>
        <v>3601860.6599999997</v>
      </c>
      <c r="H161" s="10">
        <f>+'A) Base RI'!E161</f>
        <v>0</v>
      </c>
      <c r="I161" s="10">
        <f>+'A) Base RI'!F161</f>
        <v>0</v>
      </c>
      <c r="J161" s="10">
        <f>+'A) Base RI'!G161+'A) Base RI'!H161+'A) Base RI'!X161</f>
        <v>57289.590000000004</v>
      </c>
      <c r="K161" s="10">
        <f>+'A) Base RI'!I161</f>
        <v>44343.35</v>
      </c>
      <c r="L161" s="10">
        <f>+'A) Base RI'!J161</f>
        <v>57614.15</v>
      </c>
      <c r="M161" s="10">
        <f>+'A) Base RI'!K161</f>
        <v>3412.75</v>
      </c>
      <c r="N161" s="10">
        <f>+'A) Base RI'!Q161</f>
        <v>978.52</v>
      </c>
      <c r="O161" s="10">
        <f t="shared" si="13"/>
        <v>258484</v>
      </c>
      <c r="P161" s="10">
        <f>+'A) Base RI'!L161</f>
        <v>206787.20000000001</v>
      </c>
      <c r="Q161" s="412">
        <f>'A) Base RI'!AS161</f>
        <v>0.8</v>
      </c>
      <c r="R161" s="404">
        <f t="shared" si="14"/>
        <v>4023983.0199999996</v>
      </c>
      <c r="S161" s="457">
        <f>+'A) Base RI'!AN161</f>
        <v>58.5</v>
      </c>
      <c r="T161" s="404">
        <f t="shared" si="15"/>
        <v>3762086.2699999996</v>
      </c>
      <c r="U161" s="404">
        <f t="shared" si="16"/>
        <v>68786.034529914527</v>
      </c>
      <c r="V161" s="10">
        <f>+'A) Base RI'!O161</f>
        <v>0</v>
      </c>
      <c r="W161" s="10">
        <f>+'A) Base RI'!P161</f>
        <v>223229.15</v>
      </c>
      <c r="X161" s="10">
        <f>+'A) Base RI'!R161</f>
        <v>133408.65</v>
      </c>
      <c r="Y161" s="404">
        <f t="shared" si="17"/>
        <v>356637.8</v>
      </c>
      <c r="Z161" s="10">
        <f>+'A) Base RI'!N161</f>
        <v>6135.7</v>
      </c>
      <c r="AA161" s="10">
        <f>'A) Base RI'!AO161</f>
        <v>870</v>
      </c>
    </row>
    <row r="162" spans="1:27" x14ac:dyDescent="0.25">
      <c r="A162" s="8">
        <f>'A) Base RI'!A162</f>
        <v>5654</v>
      </c>
      <c r="B162" s="32" t="str">
        <f>'A) Base RI'!B162</f>
        <v>Vullierens</v>
      </c>
      <c r="C162" s="10">
        <f>'A) Base RI'!C162+'A) Base RI'!D162</f>
        <v>1295421.03</v>
      </c>
      <c r="D162" s="10">
        <f>'A) Base RI'!AP162</f>
        <v>-29527.75</v>
      </c>
      <c r="E162" s="398">
        <f>'A) Base RI'!AQ162</f>
        <v>0</v>
      </c>
      <c r="F162" s="398">
        <f>'A) Base RI'!AR162</f>
        <v>-161.51</v>
      </c>
      <c r="G162" s="404">
        <f t="shared" si="12"/>
        <v>1265731.77</v>
      </c>
      <c r="H162" s="10">
        <f>+'A) Base RI'!E162</f>
        <v>0</v>
      </c>
      <c r="I162" s="10">
        <f>+'A) Base RI'!F162</f>
        <v>0</v>
      </c>
      <c r="J162" s="10">
        <f>+'A) Base RI'!G162+'A) Base RI'!H162+'A) Base RI'!X162</f>
        <v>2312.6899999999991</v>
      </c>
      <c r="K162" s="10">
        <f>+'A) Base RI'!I162</f>
        <v>0</v>
      </c>
      <c r="L162" s="10">
        <f>+'A) Base RI'!J162</f>
        <v>41216.39</v>
      </c>
      <c r="M162" s="10">
        <f>+'A) Base RI'!K162</f>
        <v>1973.05</v>
      </c>
      <c r="N162" s="10">
        <f>+'A) Base RI'!Q162</f>
        <v>46734.8</v>
      </c>
      <c r="O162" s="10">
        <f t="shared" si="13"/>
        <v>106239.65</v>
      </c>
      <c r="P162" s="10">
        <f>+'A) Base RI'!L162</f>
        <v>106239.65</v>
      </c>
      <c r="Q162" s="412">
        <f>'A) Base RI'!AS162</f>
        <v>1</v>
      </c>
      <c r="R162" s="404">
        <f t="shared" si="14"/>
        <v>1464208.3499999999</v>
      </c>
      <c r="S162" s="457">
        <f>+'A) Base RI'!AN162</f>
        <v>76</v>
      </c>
      <c r="T162" s="404">
        <f t="shared" si="15"/>
        <v>1355995.65</v>
      </c>
      <c r="U162" s="404">
        <f t="shared" si="16"/>
        <v>19265.899342105262</v>
      </c>
      <c r="V162" s="10">
        <f>+'A) Base RI'!O162</f>
        <v>-5434.1</v>
      </c>
      <c r="W162" s="10">
        <f>+'A) Base RI'!P162</f>
        <v>81977.5</v>
      </c>
      <c r="X162" s="10">
        <f>+'A) Base RI'!R162</f>
        <v>81561.55</v>
      </c>
      <c r="Y162" s="404">
        <f t="shared" si="17"/>
        <v>158104.95000000001</v>
      </c>
      <c r="Z162" s="10">
        <f>+'A) Base RI'!N162</f>
        <v>6506.75</v>
      </c>
      <c r="AA162" s="10">
        <f>'A) Base RI'!AO162</f>
        <v>542</v>
      </c>
    </row>
    <row r="163" spans="1:27" x14ac:dyDescent="0.25">
      <c r="A163" s="8">
        <f>'A) Base RI'!A163</f>
        <v>5655</v>
      </c>
      <c r="B163" s="32" t="str">
        <f>'A) Base RI'!B163</f>
        <v>Yens</v>
      </c>
      <c r="C163" s="10">
        <f>'A) Base RI'!C163+'A) Base RI'!D163</f>
        <v>5770873.5300000003</v>
      </c>
      <c r="D163" s="10">
        <f>'A) Base RI'!AP163</f>
        <v>-56723.22</v>
      </c>
      <c r="E163" s="398">
        <f>'A) Base RI'!AQ163</f>
        <v>0</v>
      </c>
      <c r="F163" s="398">
        <f>'A) Base RI'!AR163</f>
        <v>-2589.31</v>
      </c>
      <c r="G163" s="404">
        <f t="shared" si="12"/>
        <v>5711561.0000000009</v>
      </c>
      <c r="H163" s="10">
        <f>+'A) Base RI'!E163</f>
        <v>0</v>
      </c>
      <c r="I163" s="10">
        <f>+'A) Base RI'!F163</f>
        <v>0</v>
      </c>
      <c r="J163" s="10">
        <f>+'A) Base RI'!G163+'A) Base RI'!H163+'A) Base RI'!X163</f>
        <v>310622.13999999996</v>
      </c>
      <c r="K163" s="10">
        <f>+'A) Base RI'!I163</f>
        <v>66010.45</v>
      </c>
      <c r="L163" s="10">
        <f>+'A) Base RI'!J163</f>
        <v>-13414.22</v>
      </c>
      <c r="M163" s="10">
        <f>+'A) Base RI'!K163</f>
        <v>11308.65</v>
      </c>
      <c r="N163" s="10">
        <f>+'A) Base RI'!Q163</f>
        <v>-76.89</v>
      </c>
      <c r="O163" s="10">
        <f t="shared" si="13"/>
        <v>415850.1</v>
      </c>
      <c r="P163" s="10">
        <f>+'A) Base RI'!L163</f>
        <v>415850.1</v>
      </c>
      <c r="Q163" s="412">
        <f>'A) Base RI'!AS163</f>
        <v>1</v>
      </c>
      <c r="R163" s="404">
        <f t="shared" si="14"/>
        <v>6501861.2300000014</v>
      </c>
      <c r="S163" s="457">
        <f>+'A) Base RI'!AN163</f>
        <v>71.5</v>
      </c>
      <c r="T163" s="404">
        <f t="shared" si="15"/>
        <v>6074702.4800000014</v>
      </c>
      <c r="U163" s="404">
        <f t="shared" si="16"/>
        <v>90935.122097902116</v>
      </c>
      <c r="V163" s="10">
        <f>+'A) Base RI'!O163</f>
        <v>37934.400000000001</v>
      </c>
      <c r="W163" s="10">
        <f>+'A) Base RI'!P163</f>
        <v>179277.05</v>
      </c>
      <c r="X163" s="10">
        <f>+'A) Base RI'!R163</f>
        <v>189406.9</v>
      </c>
      <c r="Y163" s="404">
        <f t="shared" si="17"/>
        <v>406618.35</v>
      </c>
      <c r="Z163" s="10">
        <f>+'A) Base RI'!N163</f>
        <v>104127.75</v>
      </c>
      <c r="AA163" s="10">
        <f>'A) Base RI'!AO163</f>
        <v>1480</v>
      </c>
    </row>
    <row r="164" spans="1:27" x14ac:dyDescent="0.25">
      <c r="A164" s="8">
        <f>'A) Base RI'!A164</f>
        <v>5661</v>
      </c>
      <c r="B164" s="32" t="str">
        <f>'A) Base RI'!B164</f>
        <v>Boulens</v>
      </c>
      <c r="C164" s="10">
        <f>'A) Base RI'!C164+'A) Base RI'!D164</f>
        <v>646733.61</v>
      </c>
      <c r="D164" s="10">
        <f>'A) Base RI'!AP164</f>
        <v>-52.72</v>
      </c>
      <c r="E164" s="398">
        <f>'A) Base RI'!AQ164</f>
        <v>0</v>
      </c>
      <c r="F164" s="398">
        <f>'A) Base RI'!AR164</f>
        <v>0</v>
      </c>
      <c r="G164" s="404">
        <f t="shared" si="12"/>
        <v>646680.89</v>
      </c>
      <c r="H164" s="10">
        <f>+'A) Base RI'!E164</f>
        <v>0</v>
      </c>
      <c r="I164" s="10">
        <f>+'A) Base RI'!F164</f>
        <v>0</v>
      </c>
      <c r="J164" s="10">
        <f>+'A) Base RI'!G164+'A) Base RI'!H164+'A) Base RI'!X164</f>
        <v>14765.44</v>
      </c>
      <c r="K164" s="10">
        <f>+'A) Base RI'!I164</f>
        <v>0</v>
      </c>
      <c r="L164" s="10">
        <f>+'A) Base RI'!J164</f>
        <v>6062.62</v>
      </c>
      <c r="M164" s="10">
        <f>+'A) Base RI'!K164</f>
        <v>425</v>
      </c>
      <c r="N164" s="10">
        <f>+'A) Base RI'!Q164</f>
        <v>1200</v>
      </c>
      <c r="O164" s="10">
        <f t="shared" si="13"/>
        <v>57867.5</v>
      </c>
      <c r="P164" s="10">
        <f>+'A) Base RI'!L164</f>
        <v>57867.5</v>
      </c>
      <c r="Q164" s="412">
        <f>'A) Base RI'!AS164</f>
        <v>1</v>
      </c>
      <c r="R164" s="404">
        <f t="shared" si="14"/>
        <v>727001.45</v>
      </c>
      <c r="S164" s="457">
        <f>+'A) Base RI'!AN164</f>
        <v>71.5</v>
      </c>
      <c r="T164" s="404">
        <f t="shared" si="15"/>
        <v>668708.94999999995</v>
      </c>
      <c r="U164" s="404">
        <f t="shared" si="16"/>
        <v>10167.852447552446</v>
      </c>
      <c r="V164" s="10">
        <f>+'A) Base RI'!O164</f>
        <v>0</v>
      </c>
      <c r="W164" s="10">
        <f>+'A) Base RI'!P164</f>
        <v>16555</v>
      </c>
      <c r="X164" s="10">
        <f>+'A) Base RI'!R164</f>
        <v>6543.15</v>
      </c>
      <c r="Y164" s="404">
        <f t="shared" si="17"/>
        <v>23098.15</v>
      </c>
      <c r="Z164" s="10">
        <f>+'A) Base RI'!N164</f>
        <v>18651.95</v>
      </c>
      <c r="AA164" s="10">
        <f>'A) Base RI'!AO164</f>
        <v>369</v>
      </c>
    </row>
    <row r="165" spans="1:27" x14ac:dyDescent="0.25">
      <c r="A165" s="8">
        <f>'A) Base RI'!A165</f>
        <v>5663</v>
      </c>
      <c r="B165" s="32" t="str">
        <f>'A) Base RI'!B165</f>
        <v>Bussy-sur-Moudon</v>
      </c>
      <c r="C165" s="10">
        <f>'A) Base RI'!C165+'A) Base RI'!D165</f>
        <v>403459.43999999994</v>
      </c>
      <c r="D165" s="10">
        <f>'A) Base RI'!AP165</f>
        <v>-17752.509999999998</v>
      </c>
      <c r="E165" s="398">
        <f>'A) Base RI'!AQ165</f>
        <v>0</v>
      </c>
      <c r="F165" s="398">
        <f>'A) Base RI'!AR165</f>
        <v>0</v>
      </c>
      <c r="G165" s="404">
        <f t="shared" si="12"/>
        <v>385706.92999999993</v>
      </c>
      <c r="H165" s="10">
        <f>+'A) Base RI'!E165</f>
        <v>0</v>
      </c>
      <c r="I165" s="10">
        <f>+'A) Base RI'!F165</f>
        <v>1280</v>
      </c>
      <c r="J165" s="10">
        <f>+'A) Base RI'!G165+'A) Base RI'!H165+'A) Base RI'!X165</f>
        <v>5549.5599999999995</v>
      </c>
      <c r="K165" s="10">
        <f>+'A) Base RI'!I165</f>
        <v>0</v>
      </c>
      <c r="L165" s="10">
        <f>+'A) Base RI'!J165</f>
        <v>7597.84</v>
      </c>
      <c r="M165" s="10">
        <f>+'A) Base RI'!K165</f>
        <v>325.2</v>
      </c>
      <c r="N165" s="10">
        <f>+'A) Base RI'!Q165</f>
        <v>0</v>
      </c>
      <c r="O165" s="10">
        <f t="shared" si="13"/>
        <v>32190.75</v>
      </c>
      <c r="P165" s="10">
        <f>+'A) Base RI'!L165</f>
        <v>32190.75</v>
      </c>
      <c r="Q165" s="412">
        <f>'A) Base RI'!AS165</f>
        <v>1</v>
      </c>
      <c r="R165" s="404">
        <f t="shared" si="14"/>
        <v>432650.27999999997</v>
      </c>
      <c r="S165" s="457">
        <f>+'A) Base RI'!AN165</f>
        <v>80</v>
      </c>
      <c r="T165" s="404">
        <f t="shared" si="15"/>
        <v>398854.32999999996</v>
      </c>
      <c r="U165" s="404">
        <f t="shared" si="16"/>
        <v>5408.1284999999998</v>
      </c>
      <c r="V165" s="10">
        <f>+'A) Base RI'!O165</f>
        <v>0</v>
      </c>
      <c r="W165" s="10">
        <f>+'A) Base RI'!P165</f>
        <v>9427.15</v>
      </c>
      <c r="X165" s="10">
        <f>+'A) Base RI'!R165</f>
        <v>11775.6</v>
      </c>
      <c r="Y165" s="404">
        <f t="shared" si="17"/>
        <v>21202.75</v>
      </c>
      <c r="Z165" s="10">
        <f>+'A) Base RI'!N165</f>
        <v>0</v>
      </c>
      <c r="AA165" s="10">
        <f>'A) Base RI'!AO165</f>
        <v>219</v>
      </c>
    </row>
    <row r="166" spans="1:27" x14ac:dyDescent="0.25">
      <c r="A166" s="8">
        <f>'A) Base RI'!A166</f>
        <v>5665</v>
      </c>
      <c r="B166" s="32" t="str">
        <f>'A) Base RI'!B166</f>
        <v>Chavannes-sur-Moudon</v>
      </c>
      <c r="C166" s="10">
        <f>'A) Base RI'!C166+'A) Base RI'!D166</f>
        <v>463236.83</v>
      </c>
      <c r="D166" s="10">
        <f>'A) Base RI'!AP166</f>
        <v>-84.4</v>
      </c>
      <c r="E166" s="398">
        <f>'A) Base RI'!AQ166</f>
        <v>0</v>
      </c>
      <c r="F166" s="398">
        <f>'A) Base RI'!AR166</f>
        <v>0</v>
      </c>
      <c r="G166" s="404">
        <f t="shared" si="12"/>
        <v>463152.43</v>
      </c>
      <c r="H166" s="10">
        <f>+'A) Base RI'!E166</f>
        <v>0</v>
      </c>
      <c r="I166" s="10">
        <f>+'A) Base RI'!F166</f>
        <v>0</v>
      </c>
      <c r="J166" s="10">
        <f>+'A) Base RI'!G166+'A) Base RI'!H166+'A) Base RI'!X166</f>
        <v>217.44</v>
      </c>
      <c r="K166" s="10">
        <f>+'A) Base RI'!I166</f>
        <v>0</v>
      </c>
      <c r="L166" s="10">
        <f>+'A) Base RI'!J166</f>
        <v>9972.25</v>
      </c>
      <c r="M166" s="10">
        <f>+'A) Base RI'!K166</f>
        <v>4.5</v>
      </c>
      <c r="N166" s="10">
        <f>+'A) Base RI'!Q166</f>
        <v>0</v>
      </c>
      <c r="O166" s="10">
        <f t="shared" si="13"/>
        <v>25595.4</v>
      </c>
      <c r="P166" s="10">
        <f>+'A) Base RI'!L166</f>
        <v>25595.4</v>
      </c>
      <c r="Q166" s="412">
        <f>'A) Base RI'!AS166</f>
        <v>1</v>
      </c>
      <c r="R166" s="404">
        <f t="shared" si="14"/>
        <v>498942.02</v>
      </c>
      <c r="S166" s="457">
        <f>+'A) Base RI'!AN166</f>
        <v>73</v>
      </c>
      <c r="T166" s="404">
        <f t="shared" si="15"/>
        <v>473342.12</v>
      </c>
      <c r="U166" s="404">
        <f t="shared" si="16"/>
        <v>6834.8221917808223</v>
      </c>
      <c r="V166" s="10">
        <f>+'A) Base RI'!O166</f>
        <v>0</v>
      </c>
      <c r="W166" s="10">
        <f>+'A) Base RI'!P166</f>
        <v>26698.65</v>
      </c>
      <c r="X166" s="10">
        <f>+'A) Base RI'!R166</f>
        <v>26239.25</v>
      </c>
      <c r="Y166" s="404">
        <f t="shared" si="17"/>
        <v>52937.9</v>
      </c>
      <c r="Z166" s="10">
        <f>+'A) Base RI'!N166</f>
        <v>0</v>
      </c>
      <c r="AA166" s="10">
        <f>'A) Base RI'!AO166</f>
        <v>223</v>
      </c>
    </row>
    <row r="167" spans="1:27" x14ac:dyDescent="0.25">
      <c r="A167" s="8">
        <f>'A) Base RI'!A167</f>
        <v>5669</v>
      </c>
      <c r="B167" s="32" t="str">
        <f>'A) Base RI'!B167</f>
        <v>Curtilles</v>
      </c>
      <c r="C167" s="10">
        <f>'A) Base RI'!C167+'A) Base RI'!D167</f>
        <v>706440.6399999999</v>
      </c>
      <c r="D167" s="10">
        <f>'A) Base RI'!AP167</f>
        <v>-8889.51</v>
      </c>
      <c r="E167" s="398">
        <f>'A) Base RI'!AQ167</f>
        <v>0</v>
      </c>
      <c r="F167" s="398">
        <f>'A) Base RI'!AR167</f>
        <v>-116.59</v>
      </c>
      <c r="G167" s="404">
        <f t="shared" si="12"/>
        <v>697434.53999999992</v>
      </c>
      <c r="H167" s="10">
        <f>+'A) Base RI'!E167</f>
        <v>0</v>
      </c>
      <c r="I167" s="10">
        <f>+'A) Base RI'!F167</f>
        <v>0</v>
      </c>
      <c r="J167" s="10">
        <f>+'A) Base RI'!G167+'A) Base RI'!H167+'A) Base RI'!X167</f>
        <v>6964.39</v>
      </c>
      <c r="K167" s="10">
        <f>+'A) Base RI'!I167</f>
        <v>0</v>
      </c>
      <c r="L167" s="10">
        <f>+'A) Base RI'!J167</f>
        <v>-2083.19</v>
      </c>
      <c r="M167" s="10">
        <f>+'A) Base RI'!K167</f>
        <v>356.7</v>
      </c>
      <c r="N167" s="10">
        <f>+'A) Base RI'!Q167</f>
        <v>0</v>
      </c>
      <c r="O167" s="10">
        <f t="shared" si="13"/>
        <v>48267.9</v>
      </c>
      <c r="P167" s="10">
        <f>+'A) Base RI'!L167</f>
        <v>24133.95</v>
      </c>
      <c r="Q167" s="412">
        <f>'A) Base RI'!AS167</f>
        <v>0.5</v>
      </c>
      <c r="R167" s="404">
        <f t="shared" si="14"/>
        <v>750940.34</v>
      </c>
      <c r="S167" s="457">
        <f>+'A) Base RI'!AN167</f>
        <v>73</v>
      </c>
      <c r="T167" s="404">
        <f t="shared" si="15"/>
        <v>702315.74</v>
      </c>
      <c r="U167" s="404">
        <f t="shared" si="16"/>
        <v>10286.853972602739</v>
      </c>
      <c r="V167" s="10">
        <f>+'A) Base RI'!O167</f>
        <v>4.8</v>
      </c>
      <c r="W167" s="10">
        <f>+'A) Base RI'!P167</f>
        <v>8856.4</v>
      </c>
      <c r="X167" s="10">
        <f>+'A) Base RI'!R167</f>
        <v>23453.599999999999</v>
      </c>
      <c r="Y167" s="404">
        <f t="shared" si="17"/>
        <v>32314.799999999996</v>
      </c>
      <c r="Z167" s="10">
        <f>+'A) Base RI'!N167</f>
        <v>0</v>
      </c>
      <c r="AA167" s="10">
        <f>'A) Base RI'!AO167</f>
        <v>301</v>
      </c>
    </row>
    <row r="168" spans="1:27" x14ac:dyDescent="0.25">
      <c r="A168" s="8">
        <f>'A) Base RI'!A168</f>
        <v>5671</v>
      </c>
      <c r="B168" s="32" t="str">
        <f>'A) Base RI'!B168</f>
        <v>Dompierre</v>
      </c>
      <c r="C168" s="10">
        <f>'A) Base RI'!C168+'A) Base RI'!D168</f>
        <v>442614.23</v>
      </c>
      <c r="D168" s="10">
        <f>'A) Base RI'!AP168</f>
        <v>-17407.05</v>
      </c>
      <c r="E168" s="398">
        <f>'A) Base RI'!AQ168</f>
        <v>0</v>
      </c>
      <c r="F168" s="398">
        <f>'A) Base RI'!AR168</f>
        <v>0</v>
      </c>
      <c r="G168" s="404">
        <f t="shared" si="12"/>
        <v>425207.18</v>
      </c>
      <c r="H168" s="10">
        <f>+'A) Base RI'!E168</f>
        <v>0</v>
      </c>
      <c r="I168" s="10">
        <f>+'A) Base RI'!F168</f>
        <v>0</v>
      </c>
      <c r="J168" s="10">
        <f>+'A) Base RI'!G168+'A) Base RI'!H168+'A) Base RI'!X168</f>
        <v>3894.28</v>
      </c>
      <c r="K168" s="10">
        <f>+'A) Base RI'!I168</f>
        <v>0</v>
      </c>
      <c r="L168" s="10">
        <f>+'A) Base RI'!J168</f>
        <v>873.22</v>
      </c>
      <c r="M168" s="10">
        <f>+'A) Base RI'!K168</f>
        <v>223.5</v>
      </c>
      <c r="N168" s="10">
        <f>+'A) Base RI'!Q168</f>
        <v>8434.0499999999993</v>
      </c>
      <c r="O168" s="10">
        <f t="shared" si="13"/>
        <v>32024.9</v>
      </c>
      <c r="P168" s="10">
        <f>+'A) Base RI'!L168</f>
        <v>32024.9</v>
      </c>
      <c r="Q168" s="412">
        <f>'A) Base RI'!AS168</f>
        <v>1</v>
      </c>
      <c r="R168" s="404">
        <f t="shared" si="14"/>
        <v>470657.13</v>
      </c>
      <c r="S168" s="457">
        <f>+'A) Base RI'!AN168</f>
        <v>78</v>
      </c>
      <c r="T168" s="404">
        <f t="shared" si="15"/>
        <v>438408.73</v>
      </c>
      <c r="U168" s="404">
        <f t="shared" si="16"/>
        <v>6034.0657692307695</v>
      </c>
      <c r="V168" s="10">
        <f>+'A) Base RI'!O168</f>
        <v>0</v>
      </c>
      <c r="W168" s="10">
        <f>+'A) Base RI'!P168</f>
        <v>21780</v>
      </c>
      <c r="X168" s="10">
        <f>+'A) Base RI'!R168</f>
        <v>36520.65</v>
      </c>
      <c r="Y168" s="404">
        <f t="shared" si="17"/>
        <v>58300.65</v>
      </c>
      <c r="Z168" s="10">
        <f>+'A) Base RI'!N168</f>
        <v>0</v>
      </c>
      <c r="AA168" s="10">
        <f>'A) Base RI'!AO168</f>
        <v>245</v>
      </c>
    </row>
    <row r="169" spans="1:27" x14ac:dyDescent="0.25">
      <c r="A169" s="8">
        <f>'A) Base RI'!A169</f>
        <v>5673</v>
      </c>
      <c r="B169" s="32" t="str">
        <f>'A) Base RI'!B169</f>
        <v>Hermenches</v>
      </c>
      <c r="C169" s="10">
        <f>'A) Base RI'!C169+'A) Base RI'!D169</f>
        <v>735556.51</v>
      </c>
      <c r="D169" s="10">
        <f>'A) Base RI'!AP169</f>
        <v>-17050.080000000002</v>
      </c>
      <c r="E169" s="398">
        <f>'A) Base RI'!AQ169</f>
        <v>0</v>
      </c>
      <c r="F169" s="398">
        <f>'A) Base RI'!AR169</f>
        <v>-51.43</v>
      </c>
      <c r="G169" s="404">
        <f t="shared" si="12"/>
        <v>718455</v>
      </c>
      <c r="H169" s="10">
        <f>+'A) Base RI'!E169</f>
        <v>0</v>
      </c>
      <c r="I169" s="10">
        <f>+'A) Base RI'!F169</f>
        <v>2030</v>
      </c>
      <c r="J169" s="10">
        <f>+'A) Base RI'!G169+'A) Base RI'!H169+'A) Base RI'!X169</f>
        <v>2728.0200000000004</v>
      </c>
      <c r="K169" s="10">
        <f>+'A) Base RI'!I169</f>
        <v>0</v>
      </c>
      <c r="L169" s="10">
        <f>+'A) Base RI'!J169</f>
        <v>10930.52</v>
      </c>
      <c r="M169" s="10">
        <f>+'A) Base RI'!K169</f>
        <v>408</v>
      </c>
      <c r="N169" s="10">
        <f>+'A) Base RI'!Q169</f>
        <v>0</v>
      </c>
      <c r="O169" s="10">
        <f t="shared" si="13"/>
        <v>47395</v>
      </c>
      <c r="P169" s="10">
        <f>+'A) Base RI'!L169</f>
        <v>28437</v>
      </c>
      <c r="Q169" s="412">
        <f>'A) Base RI'!AS169</f>
        <v>0.6</v>
      </c>
      <c r="R169" s="404">
        <f t="shared" si="14"/>
        <v>781946.54</v>
      </c>
      <c r="S169" s="457">
        <f>+'A) Base RI'!AN169</f>
        <v>73.5</v>
      </c>
      <c r="T169" s="404">
        <f t="shared" si="15"/>
        <v>732113.54</v>
      </c>
      <c r="U169" s="404">
        <f t="shared" si="16"/>
        <v>10638.728435374151</v>
      </c>
      <c r="V169" s="10">
        <f>+'A) Base RI'!O169</f>
        <v>5892.3</v>
      </c>
      <c r="W169" s="10">
        <f>+'A) Base RI'!P169</f>
        <v>8946.2999999999993</v>
      </c>
      <c r="X169" s="10">
        <f>+'A) Base RI'!R169</f>
        <v>4401.95</v>
      </c>
      <c r="Y169" s="404">
        <f t="shared" si="17"/>
        <v>19240.55</v>
      </c>
      <c r="Z169" s="10">
        <f>+'A) Base RI'!N169</f>
        <v>14893.5</v>
      </c>
      <c r="AA169" s="10">
        <f>'A) Base RI'!AO169</f>
        <v>384</v>
      </c>
    </row>
    <row r="170" spans="1:27" x14ac:dyDescent="0.25">
      <c r="A170" s="8">
        <f>'A) Base RI'!A170</f>
        <v>5674</v>
      </c>
      <c r="B170" s="32" t="str">
        <f>'A) Base RI'!B170</f>
        <v>Lovatens</v>
      </c>
      <c r="C170" s="10">
        <f>'A) Base RI'!C170+'A) Base RI'!D170</f>
        <v>250280.52000000002</v>
      </c>
      <c r="D170" s="10">
        <f>'A) Base RI'!AP170</f>
        <v>-1000.44</v>
      </c>
      <c r="E170" s="398">
        <f>'A) Base RI'!AQ170</f>
        <v>-11419.4</v>
      </c>
      <c r="F170" s="398">
        <f>'A) Base RI'!AR170</f>
        <v>-49.05</v>
      </c>
      <c r="G170" s="404">
        <f t="shared" si="12"/>
        <v>237811.63000000003</v>
      </c>
      <c r="H170" s="10">
        <f>+'A) Base RI'!E170</f>
        <v>0</v>
      </c>
      <c r="I170" s="10">
        <f>+'A) Base RI'!F170</f>
        <v>0</v>
      </c>
      <c r="J170" s="10">
        <f>+'A) Base RI'!G170+'A) Base RI'!H170+'A) Base RI'!X170</f>
        <v>288.05</v>
      </c>
      <c r="K170" s="10">
        <f>+'A) Base RI'!I170</f>
        <v>0</v>
      </c>
      <c r="L170" s="10">
        <f>+'A) Base RI'!J170</f>
        <v>96.23</v>
      </c>
      <c r="M170" s="10">
        <f>+'A) Base RI'!K170</f>
        <v>64.099999999999994</v>
      </c>
      <c r="N170" s="10">
        <f>+'A) Base RI'!Q170</f>
        <v>0</v>
      </c>
      <c r="O170" s="10">
        <f t="shared" si="13"/>
        <v>19045.642857142859</v>
      </c>
      <c r="P170" s="10">
        <f>+'A) Base RI'!L170</f>
        <v>13331.95</v>
      </c>
      <c r="Q170" s="412">
        <f>'A) Base RI'!AS170</f>
        <v>0.7</v>
      </c>
      <c r="R170" s="404">
        <f t="shared" si="14"/>
        <v>257305.65285714291</v>
      </c>
      <c r="S170" s="457">
        <f>+'A) Base RI'!AN170</f>
        <v>75</v>
      </c>
      <c r="T170" s="404">
        <f t="shared" si="15"/>
        <v>238195.91000000003</v>
      </c>
      <c r="U170" s="404">
        <f t="shared" si="16"/>
        <v>3430.742038095239</v>
      </c>
      <c r="V170" s="10">
        <f>+'A) Base RI'!O170</f>
        <v>74578</v>
      </c>
      <c r="W170" s="10">
        <f>+'A) Base RI'!P170</f>
        <v>950.4</v>
      </c>
      <c r="X170" s="10">
        <f>+'A) Base RI'!R170</f>
        <v>0</v>
      </c>
      <c r="Y170" s="404">
        <f t="shared" si="17"/>
        <v>75528.399999999994</v>
      </c>
      <c r="Z170" s="10">
        <f>+'A) Base RI'!N170</f>
        <v>0</v>
      </c>
      <c r="AA170" s="10">
        <f>'A) Base RI'!AO170</f>
        <v>142</v>
      </c>
    </row>
    <row r="171" spans="1:27" x14ac:dyDescent="0.25">
      <c r="A171" s="8">
        <f>'A) Base RI'!A171</f>
        <v>5675</v>
      </c>
      <c r="B171" s="32" t="str">
        <f>'A) Base RI'!B171</f>
        <v>Lucens</v>
      </c>
      <c r="C171" s="10">
        <f>'A) Base RI'!C171+'A) Base RI'!D171</f>
        <v>5136056.5999999996</v>
      </c>
      <c r="D171" s="10">
        <f>'A) Base RI'!AP171</f>
        <v>-166505.23000000001</v>
      </c>
      <c r="E171" s="398">
        <f>'A) Base RI'!AQ171</f>
        <v>0</v>
      </c>
      <c r="F171" s="398">
        <f>'A) Base RI'!AR171</f>
        <v>-2257.4899999999998</v>
      </c>
      <c r="G171" s="404">
        <f t="shared" si="12"/>
        <v>4967293.879999999</v>
      </c>
      <c r="H171" s="10">
        <f>+'A) Base RI'!E171</f>
        <v>0</v>
      </c>
      <c r="I171" s="10">
        <f>+'A) Base RI'!F171</f>
        <v>0</v>
      </c>
      <c r="J171" s="10">
        <f>+'A) Base RI'!G171+'A) Base RI'!H171+'A) Base RI'!X171</f>
        <v>699815.05</v>
      </c>
      <c r="K171" s="10">
        <f>+'A) Base RI'!I171</f>
        <v>0</v>
      </c>
      <c r="L171" s="10">
        <f>+'A) Base RI'!J171</f>
        <v>233881.34</v>
      </c>
      <c r="M171" s="10">
        <f>+'A) Base RI'!K171</f>
        <v>-37589.300000000003</v>
      </c>
      <c r="N171" s="10">
        <f>+'A) Base RI'!Q171</f>
        <v>50050.27</v>
      </c>
      <c r="O171" s="10">
        <f t="shared" si="13"/>
        <v>644458.59090909082</v>
      </c>
      <c r="P171" s="10">
        <f>+'A) Base RI'!L171</f>
        <v>708904.45</v>
      </c>
      <c r="Q171" s="412">
        <f>'A) Base RI'!AS171</f>
        <v>1.1000000000000001</v>
      </c>
      <c r="R171" s="404">
        <f t="shared" si="14"/>
        <v>6557909.8309090892</v>
      </c>
      <c r="S171" s="457">
        <f>+'A) Base RI'!AN171</f>
        <v>67.5</v>
      </c>
      <c r="T171" s="404">
        <f t="shared" si="15"/>
        <v>5951040.5399999982</v>
      </c>
      <c r="U171" s="404">
        <f t="shared" si="16"/>
        <v>97154.219717171698</v>
      </c>
      <c r="V171" s="10">
        <f>+'A) Base RI'!O171</f>
        <v>52773</v>
      </c>
      <c r="W171" s="10">
        <f>+'A) Base RI'!P171</f>
        <v>242645.75</v>
      </c>
      <c r="X171" s="10">
        <f>+'A) Base RI'!R171</f>
        <v>195866.65</v>
      </c>
      <c r="Y171" s="404">
        <f t="shared" si="17"/>
        <v>491285.4</v>
      </c>
      <c r="Z171" s="10">
        <f>+'A) Base RI'!N171</f>
        <v>47289.1</v>
      </c>
      <c r="AA171" s="10">
        <f>'A) Base RI'!AO171</f>
        <v>4309</v>
      </c>
    </row>
    <row r="172" spans="1:27" x14ac:dyDescent="0.25">
      <c r="A172" s="8">
        <f>'A) Base RI'!A172</f>
        <v>5678</v>
      </c>
      <c r="B172" s="32" t="str">
        <f>'A) Base RI'!B172</f>
        <v>Moudon</v>
      </c>
      <c r="C172" s="10">
        <f>'A) Base RI'!C172+'A) Base RI'!D172</f>
        <v>7577383.7999999998</v>
      </c>
      <c r="D172" s="10">
        <f>'A) Base RI'!AP172</f>
        <v>-347595.64</v>
      </c>
      <c r="E172" s="398">
        <f>'A) Base RI'!AQ172</f>
        <v>0</v>
      </c>
      <c r="F172" s="398">
        <f>'A) Base RI'!AR172</f>
        <v>-3702.04</v>
      </c>
      <c r="G172" s="404">
        <f t="shared" si="12"/>
        <v>7226086.1200000001</v>
      </c>
      <c r="H172" s="10">
        <f>+'A) Base RI'!E172</f>
        <v>0</v>
      </c>
      <c r="I172" s="10">
        <f>+'A) Base RI'!F172</f>
        <v>34545.9</v>
      </c>
      <c r="J172" s="10">
        <f>+'A) Base RI'!G172+'A) Base RI'!H172+'A) Base RI'!X172</f>
        <v>385607.85</v>
      </c>
      <c r="K172" s="10">
        <f>+'A) Base RI'!I172</f>
        <v>0</v>
      </c>
      <c r="L172" s="10">
        <f>+'A) Base RI'!J172</f>
        <v>471175.92</v>
      </c>
      <c r="M172" s="10">
        <f>+'A) Base RI'!K172</f>
        <v>68232.7</v>
      </c>
      <c r="N172" s="10">
        <f>+'A) Base RI'!Q172</f>
        <v>58437.71</v>
      </c>
      <c r="O172" s="10">
        <f t="shared" si="13"/>
        <v>815906.65</v>
      </c>
      <c r="P172" s="10">
        <f>+'A) Base RI'!L172</f>
        <v>815906.65</v>
      </c>
      <c r="Q172" s="412">
        <f>'A) Base RI'!AS172</f>
        <v>1</v>
      </c>
      <c r="R172" s="404">
        <f t="shared" si="14"/>
        <v>9059992.8499999996</v>
      </c>
      <c r="S172" s="457">
        <f>+'A) Base RI'!AN172</f>
        <v>72.5</v>
      </c>
      <c r="T172" s="404">
        <f t="shared" si="15"/>
        <v>8141307.5999999996</v>
      </c>
      <c r="U172" s="404">
        <f t="shared" si="16"/>
        <v>124965.41862068966</v>
      </c>
      <c r="V172" s="10">
        <f>+'A) Base RI'!O172</f>
        <v>250407.2</v>
      </c>
      <c r="W172" s="10">
        <f>+'A) Base RI'!P172</f>
        <v>568072.9</v>
      </c>
      <c r="X172" s="10">
        <f>+'A) Base RI'!R172</f>
        <v>381293.65</v>
      </c>
      <c r="Y172" s="404">
        <f t="shared" si="17"/>
        <v>1199773.75</v>
      </c>
      <c r="Z172" s="10">
        <f>+'A) Base RI'!N172</f>
        <v>194976.2</v>
      </c>
      <c r="AA172" s="10">
        <f>'A) Base RI'!AO172</f>
        <v>6109</v>
      </c>
    </row>
    <row r="173" spans="1:27" x14ac:dyDescent="0.25">
      <c r="A173" s="8">
        <f>'A) Base RI'!A173</f>
        <v>5680</v>
      </c>
      <c r="B173" s="32" t="str">
        <f>'A) Base RI'!B173</f>
        <v>Ogens</v>
      </c>
      <c r="C173" s="10">
        <f>'A) Base RI'!C173+'A) Base RI'!D173</f>
        <v>626655.42999999993</v>
      </c>
      <c r="D173" s="10">
        <f>'A) Base RI'!AP173</f>
        <v>-41881.83</v>
      </c>
      <c r="E173" s="398">
        <f>'A) Base RI'!AQ173</f>
        <v>0</v>
      </c>
      <c r="F173" s="398">
        <f>'A) Base RI'!AR173</f>
        <v>-40.29</v>
      </c>
      <c r="G173" s="404">
        <f t="shared" si="12"/>
        <v>584733.30999999994</v>
      </c>
      <c r="H173" s="10">
        <f>+'A) Base RI'!E173</f>
        <v>0</v>
      </c>
      <c r="I173" s="10">
        <f>+'A) Base RI'!F173</f>
        <v>0</v>
      </c>
      <c r="J173" s="10">
        <f>+'A) Base RI'!G173+'A) Base RI'!H173+'A) Base RI'!X173</f>
        <v>3602.25</v>
      </c>
      <c r="K173" s="10">
        <f>+'A) Base RI'!I173</f>
        <v>0</v>
      </c>
      <c r="L173" s="10">
        <f>+'A) Base RI'!J173</f>
        <v>9518.5499999999993</v>
      </c>
      <c r="M173" s="10">
        <f>+'A) Base RI'!K173</f>
        <v>625</v>
      </c>
      <c r="N173" s="10">
        <f>+'A) Base RI'!Q173</f>
        <v>27156.61</v>
      </c>
      <c r="O173" s="10">
        <f t="shared" si="13"/>
        <v>51019.366666666669</v>
      </c>
      <c r="P173" s="10">
        <f>+'A) Base RI'!L173</f>
        <v>76529.05</v>
      </c>
      <c r="Q173" s="412">
        <f>'A) Base RI'!AS173</f>
        <v>1.5</v>
      </c>
      <c r="R173" s="404">
        <f t="shared" si="14"/>
        <v>676655.08666666667</v>
      </c>
      <c r="S173" s="457">
        <f>+'A) Base RI'!AN173</f>
        <v>78</v>
      </c>
      <c r="T173" s="404">
        <f t="shared" si="15"/>
        <v>625010.72</v>
      </c>
      <c r="U173" s="404">
        <f t="shared" si="16"/>
        <v>8675.0652136752142</v>
      </c>
      <c r="V173" s="10">
        <f>+'A) Base RI'!O173</f>
        <v>0</v>
      </c>
      <c r="W173" s="10">
        <f>+'A) Base RI'!P173</f>
        <v>41969.2</v>
      </c>
      <c r="X173" s="10">
        <f>+'A) Base RI'!R173</f>
        <v>60938.6</v>
      </c>
      <c r="Y173" s="404">
        <f t="shared" si="17"/>
        <v>102907.79999999999</v>
      </c>
      <c r="Z173" s="10">
        <f>+'A) Base RI'!N173</f>
        <v>0</v>
      </c>
      <c r="AA173" s="10">
        <f>'A) Base RI'!AO173</f>
        <v>301</v>
      </c>
    </row>
    <row r="174" spans="1:27" x14ac:dyDescent="0.25">
      <c r="A174" s="8">
        <f>'A) Base RI'!A174</f>
        <v>5683</v>
      </c>
      <c r="B174" s="32" t="str">
        <f>'A) Base RI'!B174</f>
        <v>Prévonloup</v>
      </c>
      <c r="C174" s="10">
        <f>'A) Base RI'!C174+'A) Base RI'!D174</f>
        <v>340116.06</v>
      </c>
      <c r="D174" s="10">
        <f>'A) Base RI'!AP174</f>
        <v>-2962.05</v>
      </c>
      <c r="E174" s="398">
        <f>'A) Base RI'!AQ174</f>
        <v>0</v>
      </c>
      <c r="F174" s="398">
        <f>'A) Base RI'!AR174</f>
        <v>0</v>
      </c>
      <c r="G174" s="404">
        <f t="shared" si="12"/>
        <v>337154.01</v>
      </c>
      <c r="H174" s="10">
        <f>+'A) Base RI'!E174</f>
        <v>0</v>
      </c>
      <c r="I174" s="10">
        <f>+'A) Base RI'!F174</f>
        <v>0</v>
      </c>
      <c r="J174" s="10">
        <f>+'A) Base RI'!G174+'A) Base RI'!H174+'A) Base RI'!X174</f>
        <v>-3130.42</v>
      </c>
      <c r="K174" s="10">
        <f>+'A) Base RI'!I174</f>
        <v>0</v>
      </c>
      <c r="L174" s="10">
        <f>+'A) Base RI'!J174</f>
        <v>-1870.79</v>
      </c>
      <c r="M174" s="10">
        <f>+'A) Base RI'!K174</f>
        <v>2220.5</v>
      </c>
      <c r="N174" s="10">
        <f>+'A) Base RI'!Q174</f>
        <v>0</v>
      </c>
      <c r="O174" s="10">
        <f t="shared" si="13"/>
        <v>28563.75</v>
      </c>
      <c r="P174" s="10">
        <f>+'A) Base RI'!L174</f>
        <v>28563.75</v>
      </c>
      <c r="Q174" s="412">
        <f>'A) Base RI'!AS174</f>
        <v>1</v>
      </c>
      <c r="R174" s="404">
        <f t="shared" si="14"/>
        <v>362937.05000000005</v>
      </c>
      <c r="S174" s="457">
        <f>+'A) Base RI'!AN174</f>
        <v>72.5</v>
      </c>
      <c r="T174" s="404">
        <f t="shared" si="15"/>
        <v>332152.80000000005</v>
      </c>
      <c r="U174" s="404">
        <f t="shared" si="16"/>
        <v>5006.0282758620697</v>
      </c>
      <c r="V174" s="10">
        <f>+'A) Base RI'!O174</f>
        <v>1149.2</v>
      </c>
      <c r="W174" s="10">
        <f>+'A) Base RI'!P174</f>
        <v>0</v>
      </c>
      <c r="X174" s="10">
        <f>+'A) Base RI'!R174</f>
        <v>3217.9</v>
      </c>
      <c r="Y174" s="404">
        <f t="shared" si="17"/>
        <v>4367.1000000000004</v>
      </c>
      <c r="Z174" s="10">
        <f>+'A) Base RI'!N174</f>
        <v>0</v>
      </c>
      <c r="AA174" s="10">
        <f>'A) Base RI'!AO174</f>
        <v>202</v>
      </c>
    </row>
    <row r="175" spans="1:27" x14ac:dyDescent="0.25">
      <c r="A175" s="8">
        <f>'A) Base RI'!A175</f>
        <v>5684</v>
      </c>
      <c r="B175" s="32" t="str">
        <f>'A) Base RI'!B175</f>
        <v>Rossenges</v>
      </c>
      <c r="C175" s="10">
        <f>'A) Base RI'!C175+'A) Base RI'!D175</f>
        <v>319522.90000000002</v>
      </c>
      <c r="D175" s="10">
        <f>'A) Base RI'!AP175</f>
        <v>-2517.2399999999998</v>
      </c>
      <c r="E175" s="398">
        <f>'A) Base RI'!AQ175</f>
        <v>0</v>
      </c>
      <c r="F175" s="398">
        <f>'A) Base RI'!AR175</f>
        <v>-22.35</v>
      </c>
      <c r="G175" s="404">
        <f t="shared" si="12"/>
        <v>316983.31000000006</v>
      </c>
      <c r="H175" s="10">
        <f>+'A) Base RI'!E175</f>
        <v>0</v>
      </c>
      <c r="I175" s="10">
        <f>+'A) Base RI'!F175</f>
        <v>0</v>
      </c>
      <c r="J175" s="10">
        <f>+'A) Base RI'!G175+'A) Base RI'!H175+'A) Base RI'!X175</f>
        <v>-32.810000000000009</v>
      </c>
      <c r="K175" s="10">
        <f>+'A) Base RI'!I175</f>
        <v>0</v>
      </c>
      <c r="L175" s="10">
        <f>+'A) Base RI'!J175</f>
        <v>121.38</v>
      </c>
      <c r="M175" s="10">
        <f>+'A) Base RI'!K175</f>
        <v>0</v>
      </c>
      <c r="N175" s="10">
        <f>+'A) Base RI'!Q175</f>
        <v>0</v>
      </c>
      <c r="O175" s="10">
        <f t="shared" si="13"/>
        <v>8077.3749999999991</v>
      </c>
      <c r="P175" s="10">
        <f>+'A) Base RI'!L175</f>
        <v>6461.9</v>
      </c>
      <c r="Q175" s="412">
        <f>'A) Base RI'!AS175</f>
        <v>0.8</v>
      </c>
      <c r="R175" s="404">
        <f t="shared" si="14"/>
        <v>325149.25500000006</v>
      </c>
      <c r="S175" s="457">
        <f>+'A) Base RI'!AN175</f>
        <v>75</v>
      </c>
      <c r="T175" s="404">
        <f t="shared" si="15"/>
        <v>317071.88000000006</v>
      </c>
      <c r="U175" s="404">
        <f t="shared" si="16"/>
        <v>4335.3234000000011</v>
      </c>
      <c r="V175" s="10">
        <f>+'A) Base RI'!O175</f>
        <v>0</v>
      </c>
      <c r="W175" s="10">
        <f>+'A) Base RI'!P175</f>
        <v>0</v>
      </c>
      <c r="X175" s="10">
        <f>+'A) Base RI'!R175</f>
        <v>0</v>
      </c>
      <c r="Y175" s="404">
        <f t="shared" si="17"/>
        <v>0</v>
      </c>
      <c r="Z175" s="10">
        <f>+'A) Base RI'!N175</f>
        <v>0</v>
      </c>
      <c r="AA175" s="10">
        <f>'A) Base RI'!AO175</f>
        <v>84</v>
      </c>
    </row>
    <row r="176" spans="1:27" x14ac:dyDescent="0.25">
      <c r="A176" s="8">
        <f>'A) Base RI'!A176</f>
        <v>5688</v>
      </c>
      <c r="B176" s="32" t="str">
        <f>'A) Base RI'!B176</f>
        <v>Syens</v>
      </c>
      <c r="C176" s="10">
        <f>'A) Base RI'!C176+'A) Base RI'!D176</f>
        <v>347836.32999999996</v>
      </c>
      <c r="D176" s="10">
        <f>'A) Base RI'!AP176</f>
        <v>-7.04</v>
      </c>
      <c r="E176" s="398">
        <f>'A) Base RI'!AQ176</f>
        <v>0</v>
      </c>
      <c r="F176" s="398">
        <f>'A) Base RI'!AR176</f>
        <v>0</v>
      </c>
      <c r="G176" s="404">
        <f t="shared" si="12"/>
        <v>347829.29</v>
      </c>
      <c r="H176" s="10">
        <f>+'A) Base RI'!E176</f>
        <v>0</v>
      </c>
      <c r="I176" s="10">
        <f>+'A) Base RI'!F176</f>
        <v>0</v>
      </c>
      <c r="J176" s="10">
        <f>+'A) Base RI'!G176+'A) Base RI'!H176+'A) Base RI'!X176</f>
        <v>12131.6</v>
      </c>
      <c r="K176" s="10">
        <f>+'A) Base RI'!I176</f>
        <v>0</v>
      </c>
      <c r="L176" s="10">
        <f>+'A) Base RI'!J176</f>
        <v>1283.3900000000001</v>
      </c>
      <c r="M176" s="10">
        <f>+'A) Base RI'!K176</f>
        <v>157.5</v>
      </c>
      <c r="N176" s="10">
        <f>+'A) Base RI'!Q176</f>
        <v>0</v>
      </c>
      <c r="O176" s="10">
        <f t="shared" si="13"/>
        <v>23710.400000000001</v>
      </c>
      <c r="P176" s="10">
        <f>+'A) Base RI'!L176</f>
        <v>23710.400000000001</v>
      </c>
      <c r="Q176" s="412">
        <f>'A) Base RI'!AS176</f>
        <v>1</v>
      </c>
      <c r="R176" s="404">
        <f t="shared" si="14"/>
        <v>385112.18</v>
      </c>
      <c r="S176" s="457">
        <f>+'A) Base RI'!AN176</f>
        <v>75.599999999999994</v>
      </c>
      <c r="T176" s="404">
        <f t="shared" si="15"/>
        <v>361244.27999999997</v>
      </c>
      <c r="U176" s="404">
        <f t="shared" si="16"/>
        <v>5094.0764550264557</v>
      </c>
      <c r="V176" s="10">
        <f>+'A) Base RI'!O176</f>
        <v>0</v>
      </c>
      <c r="W176" s="10">
        <f>+'A) Base RI'!P176</f>
        <v>40.65</v>
      </c>
      <c r="X176" s="10">
        <f>+'A) Base RI'!R176</f>
        <v>0</v>
      </c>
      <c r="Y176" s="404">
        <f t="shared" si="17"/>
        <v>40.65</v>
      </c>
      <c r="Z176" s="10">
        <f>+'A) Base RI'!N176</f>
        <v>0</v>
      </c>
      <c r="AA176" s="10">
        <f>'A) Base RI'!AO176</f>
        <v>156</v>
      </c>
    </row>
    <row r="177" spans="1:27" x14ac:dyDescent="0.25">
      <c r="A177" s="8">
        <f>'A) Base RI'!A177</f>
        <v>5690</v>
      </c>
      <c r="B177" s="32" t="str">
        <f>'A) Base RI'!B177</f>
        <v>Villars-le-Comte</v>
      </c>
      <c r="C177" s="10">
        <f>'A) Base RI'!C177+'A) Base RI'!D177</f>
        <v>223949.19</v>
      </c>
      <c r="D177" s="10">
        <f>'A) Base RI'!AP177</f>
        <v>-2176.4299999999998</v>
      </c>
      <c r="E177" s="398">
        <f>'A) Base RI'!AQ177</f>
        <v>0</v>
      </c>
      <c r="F177" s="398">
        <f>'A) Base RI'!AR177</f>
        <v>0</v>
      </c>
      <c r="G177" s="404">
        <f t="shared" si="12"/>
        <v>221772.76</v>
      </c>
      <c r="H177" s="10">
        <f>+'A) Base RI'!E177</f>
        <v>0</v>
      </c>
      <c r="I177" s="10">
        <f>+'A) Base RI'!F177</f>
        <v>750</v>
      </c>
      <c r="J177" s="10">
        <f>+'A) Base RI'!G177+'A) Base RI'!H177+'A) Base RI'!X177</f>
        <v>442.65999999999997</v>
      </c>
      <c r="K177" s="10">
        <f>+'A) Base RI'!I177</f>
        <v>0</v>
      </c>
      <c r="L177" s="10">
        <f>+'A) Base RI'!J177</f>
        <v>0</v>
      </c>
      <c r="M177" s="10">
        <f>+'A) Base RI'!K177</f>
        <v>184.1</v>
      </c>
      <c r="N177" s="10">
        <f>+'A) Base RI'!Q177</f>
        <v>0</v>
      </c>
      <c r="O177" s="10">
        <f t="shared" si="13"/>
        <v>20715</v>
      </c>
      <c r="P177" s="10">
        <f>+'A) Base RI'!L177</f>
        <v>24858</v>
      </c>
      <c r="Q177" s="412">
        <f>'A) Base RI'!AS177</f>
        <v>1.2</v>
      </c>
      <c r="R177" s="404">
        <f t="shared" si="14"/>
        <v>243864.52000000002</v>
      </c>
      <c r="S177" s="457">
        <f>+'A) Base RI'!AN177</f>
        <v>70</v>
      </c>
      <c r="T177" s="404">
        <f t="shared" si="15"/>
        <v>222215.42</v>
      </c>
      <c r="U177" s="404">
        <f t="shared" si="16"/>
        <v>3483.7788571428573</v>
      </c>
      <c r="V177" s="10">
        <f>+'A) Base RI'!O177</f>
        <v>11060.8</v>
      </c>
      <c r="W177" s="10">
        <f>+'A) Base RI'!P177</f>
        <v>13276.15</v>
      </c>
      <c r="X177" s="10">
        <f>+'A) Base RI'!R177</f>
        <v>11217.45</v>
      </c>
      <c r="Y177" s="404">
        <f t="shared" si="17"/>
        <v>35554.399999999994</v>
      </c>
      <c r="Z177" s="10">
        <f>+'A) Base RI'!N177</f>
        <v>0</v>
      </c>
      <c r="AA177" s="10">
        <f>'A) Base RI'!AO177</f>
        <v>120</v>
      </c>
    </row>
    <row r="178" spans="1:27" x14ac:dyDescent="0.25">
      <c r="A178" s="8">
        <f>'A) Base RI'!A178</f>
        <v>5692</v>
      </c>
      <c r="B178" s="32" t="str">
        <f>'A) Base RI'!B178</f>
        <v>Vucherens</v>
      </c>
      <c r="C178" s="10">
        <f>'A) Base RI'!C178+'A) Base RI'!D178</f>
        <v>1253380.94</v>
      </c>
      <c r="D178" s="10">
        <f>'A) Base RI'!AP178</f>
        <v>-1412.65</v>
      </c>
      <c r="E178" s="398">
        <f>'A) Base RI'!AQ178</f>
        <v>0</v>
      </c>
      <c r="F178" s="398">
        <f>'A) Base RI'!AR178</f>
        <v>-0.46</v>
      </c>
      <c r="G178" s="404">
        <f t="shared" si="12"/>
        <v>1251967.83</v>
      </c>
      <c r="H178" s="10">
        <f>+'A) Base RI'!E178</f>
        <v>0</v>
      </c>
      <c r="I178" s="10">
        <f>+'A) Base RI'!F178</f>
        <v>0</v>
      </c>
      <c r="J178" s="10">
        <f>+'A) Base RI'!G178+'A) Base RI'!H178+'A) Base RI'!X178</f>
        <v>14970.33</v>
      </c>
      <c r="K178" s="10">
        <f>+'A) Base RI'!I178</f>
        <v>0</v>
      </c>
      <c r="L178" s="10">
        <f>+'A) Base RI'!J178</f>
        <v>24468.36</v>
      </c>
      <c r="M178" s="10">
        <f>+'A) Base RI'!K178</f>
        <v>3158.45</v>
      </c>
      <c r="N178" s="10">
        <f>+'A) Base RI'!Q178</f>
        <v>11.77</v>
      </c>
      <c r="O178" s="10">
        <f t="shared" si="13"/>
        <v>97934.1</v>
      </c>
      <c r="P178" s="10">
        <f>+'A) Base RI'!L178</f>
        <v>97934.1</v>
      </c>
      <c r="Q178" s="412">
        <f>'A) Base RI'!AS178</f>
        <v>1</v>
      </c>
      <c r="R178" s="404">
        <f t="shared" si="14"/>
        <v>1392510.8400000003</v>
      </c>
      <c r="S178" s="457">
        <f>+'A) Base RI'!AN178</f>
        <v>77</v>
      </c>
      <c r="T178" s="404">
        <f t="shared" si="15"/>
        <v>1291418.2900000003</v>
      </c>
      <c r="U178" s="404">
        <f t="shared" si="16"/>
        <v>18084.556363636369</v>
      </c>
      <c r="V178" s="10">
        <f>+'A) Base RI'!O178</f>
        <v>94.8</v>
      </c>
      <c r="W178" s="10">
        <f>+'A) Base RI'!P178</f>
        <v>73087.45</v>
      </c>
      <c r="X178" s="10">
        <f>+'A) Base RI'!R178</f>
        <v>27137.200000000001</v>
      </c>
      <c r="Y178" s="404">
        <f t="shared" si="17"/>
        <v>100319.45</v>
      </c>
      <c r="Z178" s="10">
        <f>+'A) Base RI'!N178</f>
        <v>13335.05</v>
      </c>
      <c r="AA178" s="10">
        <f>'A) Base RI'!AO178</f>
        <v>617</v>
      </c>
    </row>
    <row r="179" spans="1:27" x14ac:dyDescent="0.25">
      <c r="A179" s="8">
        <f>'A) Base RI'!A179</f>
        <v>5693</v>
      </c>
      <c r="B179" s="32" t="str">
        <f>'A) Base RI'!B179</f>
        <v>Montanaire</v>
      </c>
      <c r="C179" s="10">
        <f>'A) Base RI'!C179+'A) Base RI'!D179</f>
        <v>4687124.3299999991</v>
      </c>
      <c r="D179" s="10">
        <f>'A) Base RI'!AP179</f>
        <v>-125251.55</v>
      </c>
      <c r="E179" s="398">
        <f>'A) Base RI'!AQ179</f>
        <v>0</v>
      </c>
      <c r="F179" s="398">
        <f>'A) Base RI'!AR179</f>
        <v>-290.72000000000003</v>
      </c>
      <c r="G179" s="404">
        <f t="shared" si="12"/>
        <v>4561582.0599999996</v>
      </c>
      <c r="H179" s="10">
        <f>+'A) Base RI'!E179</f>
        <v>0</v>
      </c>
      <c r="I179" s="10">
        <f>+'A) Base RI'!F179</f>
        <v>0</v>
      </c>
      <c r="J179" s="10">
        <f>+'A) Base RI'!G179+'A) Base RI'!H179+'A) Base RI'!X179</f>
        <v>41580.83</v>
      </c>
      <c r="K179" s="10">
        <f>+'A) Base RI'!I179</f>
        <v>0</v>
      </c>
      <c r="L179" s="10">
        <f>+'A) Base RI'!J179</f>
        <v>72440.38</v>
      </c>
      <c r="M179" s="10">
        <f>+'A) Base RI'!K179</f>
        <v>9495.6</v>
      </c>
      <c r="N179" s="10">
        <f>+'A) Base RI'!Q179</f>
        <v>11807.36</v>
      </c>
      <c r="O179" s="10">
        <f t="shared" si="13"/>
        <v>423772.3</v>
      </c>
      <c r="P179" s="10">
        <f>+'A) Base RI'!L179</f>
        <v>423772.3</v>
      </c>
      <c r="Q179" s="412">
        <f>'A) Base RI'!AS179</f>
        <v>1</v>
      </c>
      <c r="R179" s="404">
        <f t="shared" si="14"/>
        <v>5120678.5299999993</v>
      </c>
      <c r="S179" s="457">
        <f>+'A) Base RI'!AN179</f>
        <v>72</v>
      </c>
      <c r="T179" s="404">
        <f t="shared" si="15"/>
        <v>4687410.63</v>
      </c>
      <c r="U179" s="404">
        <f t="shared" si="16"/>
        <v>71120.535138888881</v>
      </c>
      <c r="V179" s="10">
        <f>+'A) Base RI'!O179</f>
        <v>144312.70000000001</v>
      </c>
      <c r="W179" s="10">
        <f>+'A) Base RI'!P179</f>
        <v>209249.75</v>
      </c>
      <c r="X179" s="10">
        <f>+'A) Base RI'!R179</f>
        <v>133540.75</v>
      </c>
      <c r="Y179" s="404">
        <f t="shared" si="17"/>
        <v>487103.2</v>
      </c>
      <c r="Z179" s="10">
        <f>+'A) Base RI'!N179</f>
        <v>48251.05</v>
      </c>
      <c r="AA179" s="10">
        <f>'A) Base RI'!AO179</f>
        <v>2782</v>
      </c>
    </row>
    <row r="180" spans="1:27" x14ac:dyDescent="0.25">
      <c r="A180" s="8">
        <f>'A) Base RI'!A180</f>
        <v>5701</v>
      </c>
      <c r="B180" s="32" t="str">
        <f>'A) Base RI'!B180</f>
        <v>Arnex-sur-Nyon</v>
      </c>
      <c r="C180" s="10">
        <f>'A) Base RI'!C180+'A) Base RI'!D180</f>
        <v>760418.95000000007</v>
      </c>
      <c r="D180" s="10">
        <f>'A) Base RI'!AP180</f>
        <v>-11178.47</v>
      </c>
      <c r="E180" s="398">
        <f>'A) Base RI'!AQ180</f>
        <v>0</v>
      </c>
      <c r="F180" s="398">
        <f>'A) Base RI'!AR180</f>
        <v>-204.29</v>
      </c>
      <c r="G180" s="404">
        <f t="shared" si="12"/>
        <v>749036.19000000006</v>
      </c>
      <c r="H180" s="10">
        <f>+'A) Base RI'!E180</f>
        <v>0</v>
      </c>
      <c r="I180" s="10">
        <f>+'A) Base RI'!F180</f>
        <v>0</v>
      </c>
      <c r="J180" s="10">
        <f>+'A) Base RI'!G180+'A) Base RI'!H180+'A) Base RI'!X180</f>
        <v>6100.7999999999993</v>
      </c>
      <c r="K180" s="10">
        <f>+'A) Base RI'!I180</f>
        <v>65044.25</v>
      </c>
      <c r="L180" s="10">
        <f>+'A) Base RI'!J180</f>
        <v>-11789.17</v>
      </c>
      <c r="M180" s="10">
        <f>+'A) Base RI'!K180</f>
        <v>510.25</v>
      </c>
      <c r="N180" s="10">
        <f>+'A) Base RI'!Q180</f>
        <v>0</v>
      </c>
      <c r="O180" s="10">
        <f t="shared" si="13"/>
        <v>71655.100000000006</v>
      </c>
      <c r="P180" s="10">
        <f>+'A) Base RI'!L180</f>
        <v>71655.100000000006</v>
      </c>
      <c r="Q180" s="412">
        <f>'A) Base RI'!AS180</f>
        <v>1</v>
      </c>
      <c r="R180" s="404">
        <f t="shared" si="14"/>
        <v>880557.42</v>
      </c>
      <c r="S180" s="457">
        <f>+'A) Base RI'!AN180</f>
        <v>70</v>
      </c>
      <c r="T180" s="404">
        <f t="shared" si="15"/>
        <v>808392.07000000007</v>
      </c>
      <c r="U180" s="404">
        <f t="shared" si="16"/>
        <v>12579.391714285715</v>
      </c>
      <c r="V180" s="10">
        <f>+'A) Base RI'!O180</f>
        <v>0</v>
      </c>
      <c r="W180" s="10">
        <f>+'A) Base RI'!P180</f>
        <v>97039.3</v>
      </c>
      <c r="X180" s="10">
        <f>+'A) Base RI'!R180</f>
        <v>57927.55</v>
      </c>
      <c r="Y180" s="404">
        <f t="shared" si="17"/>
        <v>154966.85</v>
      </c>
      <c r="Z180" s="10">
        <f>+'A) Base RI'!N180</f>
        <v>0</v>
      </c>
      <c r="AA180" s="10">
        <f>'A) Base RI'!AO180</f>
        <v>240</v>
      </c>
    </row>
    <row r="181" spans="1:27" x14ac:dyDescent="0.25">
      <c r="A181" s="8">
        <f>'A) Base RI'!A181</f>
        <v>5702</v>
      </c>
      <c r="B181" s="32" t="str">
        <f>'A) Base RI'!B181</f>
        <v>Arzier-Le Muids</v>
      </c>
      <c r="C181" s="10">
        <f>'A) Base RI'!C181+'A) Base RI'!D181</f>
        <v>9333219.2400000002</v>
      </c>
      <c r="D181" s="10">
        <f>'A) Base RI'!AP181</f>
        <v>-36504.25</v>
      </c>
      <c r="E181" s="398">
        <f>'A) Base RI'!AQ181</f>
        <v>0</v>
      </c>
      <c r="F181" s="398">
        <f>'A) Base RI'!AR181</f>
        <v>-34129.629999999997</v>
      </c>
      <c r="G181" s="404">
        <f t="shared" si="12"/>
        <v>9262585.3599999994</v>
      </c>
      <c r="H181" s="10">
        <f>+'A) Base RI'!E181</f>
        <v>0</v>
      </c>
      <c r="I181" s="10">
        <f>+'A) Base RI'!F181</f>
        <v>0</v>
      </c>
      <c r="J181" s="10">
        <f>+'A) Base RI'!G181+'A) Base RI'!H181+'A) Base RI'!X181</f>
        <v>107639.27</v>
      </c>
      <c r="K181" s="10">
        <f>+'A) Base RI'!I181</f>
        <v>377543.7</v>
      </c>
      <c r="L181" s="10">
        <f>+'A) Base RI'!J181</f>
        <v>143021.01999999999</v>
      </c>
      <c r="M181" s="10">
        <f>+'A) Base RI'!K181</f>
        <v>15460.15</v>
      </c>
      <c r="N181" s="10">
        <f>+'A) Base RI'!Q181</f>
        <v>10125.129999999999</v>
      </c>
      <c r="O181" s="10">
        <f t="shared" si="13"/>
        <v>819696.8666666667</v>
      </c>
      <c r="P181" s="10">
        <f>+'A) Base RI'!L181</f>
        <v>1229545.3</v>
      </c>
      <c r="Q181" s="412">
        <f>'A) Base RI'!AS181</f>
        <v>1.5</v>
      </c>
      <c r="R181" s="404">
        <f t="shared" si="14"/>
        <v>10736071.496666666</v>
      </c>
      <c r="S181" s="457">
        <f>+'A) Base RI'!AN181</f>
        <v>64</v>
      </c>
      <c r="T181" s="404">
        <f t="shared" si="15"/>
        <v>9900914.4799999986</v>
      </c>
      <c r="U181" s="404">
        <f t="shared" si="16"/>
        <v>167751.11713541666</v>
      </c>
      <c r="V181" s="10">
        <f>+'A) Base RI'!O181</f>
        <v>18531.8</v>
      </c>
      <c r="W181" s="10">
        <f>+'A) Base RI'!P181</f>
        <v>540349.94999999995</v>
      </c>
      <c r="X181" s="10">
        <f>+'A) Base RI'!R181</f>
        <v>383157.9</v>
      </c>
      <c r="Y181" s="404">
        <f t="shared" si="17"/>
        <v>942039.65</v>
      </c>
      <c r="Z181" s="10">
        <f>+'A) Base RI'!N181</f>
        <v>74885.100000000006</v>
      </c>
      <c r="AA181" s="10">
        <f>'A) Base RI'!AO181</f>
        <v>2912</v>
      </c>
    </row>
    <row r="182" spans="1:27" x14ac:dyDescent="0.25">
      <c r="A182" s="8">
        <f>'A) Base RI'!A182</f>
        <v>5703</v>
      </c>
      <c r="B182" s="32" t="str">
        <f>'A) Base RI'!B182</f>
        <v>Bassins</v>
      </c>
      <c r="C182" s="10">
        <f>'A) Base RI'!C182+'A) Base RI'!D182</f>
        <v>4467370.2299999995</v>
      </c>
      <c r="D182" s="10">
        <f>'A) Base RI'!AP182</f>
        <v>-101171.26</v>
      </c>
      <c r="E182" s="398">
        <f>'A) Base RI'!AQ182</f>
        <v>0</v>
      </c>
      <c r="F182" s="398">
        <f>'A) Base RI'!AR182</f>
        <v>-2461.21</v>
      </c>
      <c r="G182" s="404">
        <f t="shared" si="12"/>
        <v>4363737.76</v>
      </c>
      <c r="H182" s="10">
        <f>+'A) Base RI'!E182</f>
        <v>0</v>
      </c>
      <c r="I182" s="10">
        <f>+'A) Base RI'!F182</f>
        <v>0</v>
      </c>
      <c r="J182" s="10">
        <f>+'A) Base RI'!G182+'A) Base RI'!H182+'A) Base RI'!X182</f>
        <v>64630.009999999995</v>
      </c>
      <c r="K182" s="10">
        <f>+'A) Base RI'!I182</f>
        <v>1654.45</v>
      </c>
      <c r="L182" s="10">
        <f>+'A) Base RI'!J182</f>
        <v>75222.679999999993</v>
      </c>
      <c r="M182" s="10">
        <f>+'A) Base RI'!K182</f>
        <v>1865</v>
      </c>
      <c r="N182" s="10">
        <f>+'A) Base RI'!Q182</f>
        <v>17195.88</v>
      </c>
      <c r="O182" s="10">
        <f t="shared" si="13"/>
        <v>326260.60714285716</v>
      </c>
      <c r="P182" s="10">
        <f>+'A) Base RI'!L182</f>
        <v>456764.85</v>
      </c>
      <c r="Q182" s="412">
        <f>'A) Base RI'!AS182</f>
        <v>1.4</v>
      </c>
      <c r="R182" s="404">
        <f t="shared" si="14"/>
        <v>4850566.3871428566</v>
      </c>
      <c r="S182" s="457">
        <f>+'A) Base RI'!AN182</f>
        <v>72.5</v>
      </c>
      <c r="T182" s="404">
        <f t="shared" si="15"/>
        <v>4522440.7799999993</v>
      </c>
      <c r="U182" s="404">
        <f t="shared" si="16"/>
        <v>66904.36396059113</v>
      </c>
      <c r="V182" s="10">
        <f>+'A) Base RI'!O182</f>
        <v>8122.8</v>
      </c>
      <c r="W182" s="10">
        <f>+'A) Base RI'!P182</f>
        <v>255576.7</v>
      </c>
      <c r="X182" s="10">
        <f>+'A) Base RI'!R182</f>
        <v>244553.75</v>
      </c>
      <c r="Y182" s="404">
        <f t="shared" si="17"/>
        <v>508253.25</v>
      </c>
      <c r="Z182" s="10">
        <f>+'A) Base RI'!N182</f>
        <v>30174.35</v>
      </c>
      <c r="AA182" s="10">
        <f>'A) Base RI'!AO182</f>
        <v>1475</v>
      </c>
    </row>
    <row r="183" spans="1:27" x14ac:dyDescent="0.25">
      <c r="A183" s="8">
        <f>'A) Base RI'!A183</f>
        <v>5704</v>
      </c>
      <c r="B183" s="32" t="str">
        <f>'A) Base RI'!B183</f>
        <v>Begnins</v>
      </c>
      <c r="C183" s="10">
        <f>'A) Base RI'!C183+'A) Base RI'!D183</f>
        <v>7853403.9199999999</v>
      </c>
      <c r="D183" s="10">
        <f>'A) Base RI'!AP183</f>
        <v>-48920.72</v>
      </c>
      <c r="E183" s="398">
        <f>'A) Base RI'!AQ183</f>
        <v>0</v>
      </c>
      <c r="F183" s="398">
        <f>'A) Base RI'!AR183</f>
        <v>-83814.63</v>
      </c>
      <c r="G183" s="404">
        <f t="shared" si="12"/>
        <v>7720668.5700000003</v>
      </c>
      <c r="H183" s="10">
        <f>+'A) Base RI'!E183</f>
        <v>0</v>
      </c>
      <c r="I183" s="10">
        <f>+'A) Base RI'!F183</f>
        <v>0</v>
      </c>
      <c r="J183" s="10">
        <f>+'A) Base RI'!G183+'A) Base RI'!H183+'A) Base RI'!X183</f>
        <v>28105.29</v>
      </c>
      <c r="K183" s="10">
        <f>+'A) Base RI'!I183</f>
        <v>381207.8</v>
      </c>
      <c r="L183" s="10">
        <f>+'A) Base RI'!J183</f>
        <v>90862.86</v>
      </c>
      <c r="M183" s="10">
        <f>+'A) Base RI'!K183</f>
        <v>18287.150000000001</v>
      </c>
      <c r="N183" s="10">
        <f>+'A) Base RI'!Q183</f>
        <v>73562.570000000007</v>
      </c>
      <c r="O183" s="10">
        <f t="shared" si="13"/>
        <v>533480.43333333335</v>
      </c>
      <c r="P183" s="10">
        <f>+'A) Base RI'!L183</f>
        <v>800220.65</v>
      </c>
      <c r="Q183" s="412">
        <f>'A) Base RI'!AS183</f>
        <v>1.5</v>
      </c>
      <c r="R183" s="404">
        <f t="shared" si="14"/>
        <v>8846174.6733333338</v>
      </c>
      <c r="S183" s="457">
        <f>+'A) Base RI'!AN183</f>
        <v>62.5</v>
      </c>
      <c r="T183" s="404">
        <f t="shared" si="15"/>
        <v>8294407.0900000008</v>
      </c>
      <c r="U183" s="404">
        <f t="shared" si="16"/>
        <v>141538.79477333333</v>
      </c>
      <c r="V183" s="10">
        <f>+'A) Base RI'!O183</f>
        <v>308.89999999999998</v>
      </c>
      <c r="W183" s="10">
        <f>+'A) Base RI'!P183</f>
        <v>287128.2</v>
      </c>
      <c r="X183" s="10">
        <f>+'A) Base RI'!R183</f>
        <v>125953</v>
      </c>
      <c r="Y183" s="404">
        <f t="shared" si="17"/>
        <v>413390.10000000003</v>
      </c>
      <c r="Z183" s="10">
        <f>+'A) Base RI'!N183</f>
        <v>30752.45</v>
      </c>
      <c r="AA183" s="10">
        <f>'A) Base RI'!AO183</f>
        <v>1928</v>
      </c>
    </row>
    <row r="184" spans="1:27" x14ac:dyDescent="0.25">
      <c r="A184" s="8">
        <f>'A) Base RI'!A184</f>
        <v>5705</v>
      </c>
      <c r="B184" s="32" t="str">
        <f>'A) Base RI'!B184</f>
        <v>Bogis-Bossey</v>
      </c>
      <c r="C184" s="10">
        <f>'A) Base RI'!C184+'A) Base RI'!D184</f>
        <v>3992475.18</v>
      </c>
      <c r="D184" s="10">
        <f>'A) Base RI'!AP184</f>
        <v>-497.79</v>
      </c>
      <c r="E184" s="398">
        <f>'A) Base RI'!AQ184</f>
        <v>0</v>
      </c>
      <c r="F184" s="398">
        <f>'A) Base RI'!AR184</f>
        <v>-116438.39</v>
      </c>
      <c r="G184" s="404">
        <f t="shared" si="12"/>
        <v>3875539</v>
      </c>
      <c r="H184" s="10">
        <f>+'A) Base RI'!E184</f>
        <v>0</v>
      </c>
      <c r="I184" s="10">
        <f>+'A) Base RI'!F184</f>
        <v>0</v>
      </c>
      <c r="J184" s="10">
        <f>+'A) Base RI'!G184+'A) Base RI'!H184+'A) Base RI'!X184</f>
        <v>21298.649999999998</v>
      </c>
      <c r="K184" s="10">
        <f>+'A) Base RI'!I184</f>
        <v>38823.85</v>
      </c>
      <c r="L184" s="10">
        <f>+'A) Base RI'!J184</f>
        <v>10099.85</v>
      </c>
      <c r="M184" s="10">
        <f>+'A) Base RI'!K184</f>
        <v>9634.25</v>
      </c>
      <c r="N184" s="10">
        <f>+'A) Base RI'!Q184</f>
        <v>143.03</v>
      </c>
      <c r="O184" s="10">
        <f t="shared" si="13"/>
        <v>227558</v>
      </c>
      <c r="P184" s="10">
        <f>+'A) Base RI'!L184</f>
        <v>227558</v>
      </c>
      <c r="Q184" s="412">
        <f>'A) Base RI'!AS184</f>
        <v>1</v>
      </c>
      <c r="R184" s="404">
        <f t="shared" si="14"/>
        <v>4183096.63</v>
      </c>
      <c r="S184" s="457">
        <f>+'A) Base RI'!AN184</f>
        <v>74.5</v>
      </c>
      <c r="T184" s="404">
        <f t="shared" si="15"/>
        <v>3945904.38</v>
      </c>
      <c r="U184" s="404">
        <f t="shared" si="16"/>
        <v>56148.948053691274</v>
      </c>
      <c r="V184" s="10">
        <f>+'A) Base RI'!O184</f>
        <v>0</v>
      </c>
      <c r="W184" s="10">
        <f>+'A) Base RI'!P184</f>
        <v>276386</v>
      </c>
      <c r="X184" s="10">
        <f>+'A) Base RI'!R184</f>
        <v>114169.9</v>
      </c>
      <c r="Y184" s="404">
        <f t="shared" si="17"/>
        <v>390555.9</v>
      </c>
      <c r="Z184" s="10">
        <f>+'A) Base RI'!N184</f>
        <v>37516</v>
      </c>
      <c r="AA184" s="10">
        <f>'A) Base RI'!AO184</f>
        <v>835</v>
      </c>
    </row>
    <row r="185" spans="1:27" x14ac:dyDescent="0.25">
      <c r="A185" s="8">
        <f>'A) Base RI'!A185</f>
        <v>5706</v>
      </c>
      <c r="B185" s="32" t="str">
        <f>'A) Base RI'!B185</f>
        <v>Borex</v>
      </c>
      <c r="C185" s="10">
        <f>'A) Base RI'!C185+'A) Base RI'!D185</f>
        <v>4546720.55</v>
      </c>
      <c r="D185" s="10">
        <f>'A) Base RI'!AP185</f>
        <v>-29073.74</v>
      </c>
      <c r="E185" s="398">
        <f>'A) Base RI'!AQ185</f>
        <v>0</v>
      </c>
      <c r="F185" s="398">
        <f>'A) Base RI'!AR185</f>
        <v>-11373.69</v>
      </c>
      <c r="G185" s="404">
        <f t="shared" si="12"/>
        <v>4506273.1199999992</v>
      </c>
      <c r="H185" s="10">
        <f>+'A) Base RI'!E185</f>
        <v>0</v>
      </c>
      <c r="I185" s="10">
        <f>+'A) Base RI'!F185</f>
        <v>0</v>
      </c>
      <c r="J185" s="10">
        <f>+'A) Base RI'!G185+'A) Base RI'!H185+'A) Base RI'!X185</f>
        <v>-2036.62</v>
      </c>
      <c r="K185" s="10">
        <f>+'A) Base RI'!I185</f>
        <v>4063.55</v>
      </c>
      <c r="L185" s="10">
        <f>+'A) Base RI'!J185</f>
        <v>-26932.26</v>
      </c>
      <c r="M185" s="10">
        <f>+'A) Base RI'!K185</f>
        <v>10352.700000000001</v>
      </c>
      <c r="N185" s="10">
        <f>+'A) Base RI'!Q185</f>
        <v>0</v>
      </c>
      <c r="O185" s="10">
        <f t="shared" si="13"/>
        <v>299568.8</v>
      </c>
      <c r="P185" s="10">
        <f>+'A) Base RI'!L185</f>
        <v>449353.2</v>
      </c>
      <c r="Q185" s="412">
        <f>'A) Base RI'!AS185</f>
        <v>1.5</v>
      </c>
      <c r="R185" s="404">
        <f t="shared" si="14"/>
        <v>4791289.2899999991</v>
      </c>
      <c r="S185" s="457">
        <f>+'A) Base RI'!AN185</f>
        <v>57</v>
      </c>
      <c r="T185" s="404">
        <f t="shared" si="15"/>
        <v>4481367.7899999991</v>
      </c>
      <c r="U185" s="404">
        <f t="shared" si="16"/>
        <v>84057.706842105254</v>
      </c>
      <c r="V185" s="10">
        <f>+'A) Base RI'!O185</f>
        <v>1914</v>
      </c>
      <c r="W185" s="10">
        <f>+'A) Base RI'!P185</f>
        <v>161150</v>
      </c>
      <c r="X185" s="10">
        <f>+'A) Base RI'!R185</f>
        <v>89834.7</v>
      </c>
      <c r="Y185" s="404">
        <f t="shared" si="17"/>
        <v>252898.7</v>
      </c>
      <c r="Z185" s="10">
        <f>+'A) Base RI'!N185</f>
        <v>15345.4</v>
      </c>
      <c r="AA185" s="10">
        <f>'A) Base RI'!AO185</f>
        <v>1157</v>
      </c>
    </row>
    <row r="186" spans="1:27" x14ac:dyDescent="0.25">
      <c r="A186" s="8">
        <f>'A) Base RI'!A186</f>
        <v>5707</v>
      </c>
      <c r="B186" s="32" t="str">
        <f>'A) Base RI'!B186</f>
        <v>Chavannes-de-Bogis</v>
      </c>
      <c r="C186" s="10">
        <f>'A) Base RI'!C186+'A) Base RI'!D186</f>
        <v>3838137.19</v>
      </c>
      <c r="D186" s="10">
        <f>'A) Base RI'!AP186</f>
        <v>-25658.06</v>
      </c>
      <c r="E186" s="398">
        <f>'A) Base RI'!AQ186</f>
        <v>0</v>
      </c>
      <c r="F186" s="398">
        <f>'A) Base RI'!AR186</f>
        <v>-7228.29</v>
      </c>
      <c r="G186" s="404">
        <f t="shared" si="12"/>
        <v>3805250.84</v>
      </c>
      <c r="H186" s="10">
        <f>+'A) Base RI'!E186</f>
        <v>0</v>
      </c>
      <c r="I186" s="10">
        <f>+'A) Base RI'!F186</f>
        <v>0</v>
      </c>
      <c r="J186" s="10">
        <f>+'A) Base RI'!G186+'A) Base RI'!H186+'A) Base RI'!X186</f>
        <v>281599.05000000005</v>
      </c>
      <c r="K186" s="10">
        <f>+'A) Base RI'!I186</f>
        <v>14123.7</v>
      </c>
      <c r="L186" s="10">
        <f>+'A) Base RI'!J186</f>
        <v>108890.43</v>
      </c>
      <c r="M186" s="10">
        <f>+'A) Base RI'!K186</f>
        <v>62295.199999999997</v>
      </c>
      <c r="N186" s="10">
        <f>+'A) Base RI'!Q186</f>
        <v>0</v>
      </c>
      <c r="O186" s="10">
        <f t="shared" si="13"/>
        <v>474289.3666666667</v>
      </c>
      <c r="P186" s="10">
        <f>+'A) Base RI'!L186</f>
        <v>711434.05</v>
      </c>
      <c r="Q186" s="412">
        <f>'A) Base RI'!AS186</f>
        <v>1.5</v>
      </c>
      <c r="R186" s="404">
        <f t="shared" si="14"/>
        <v>4746448.586666666</v>
      </c>
      <c r="S186" s="457">
        <f>+'A) Base RI'!AN186</f>
        <v>58</v>
      </c>
      <c r="T186" s="404">
        <f t="shared" si="15"/>
        <v>4209864.0199999996</v>
      </c>
      <c r="U186" s="404">
        <f t="shared" si="16"/>
        <v>81835.320459770097</v>
      </c>
      <c r="V186" s="10">
        <f>+'A) Base RI'!O186</f>
        <v>0</v>
      </c>
      <c r="W186" s="10">
        <f>+'A) Base RI'!P186</f>
        <v>275588.5</v>
      </c>
      <c r="X186" s="10">
        <f>+'A) Base RI'!R186</f>
        <v>93291.5</v>
      </c>
      <c r="Y186" s="404">
        <f t="shared" si="17"/>
        <v>368880</v>
      </c>
      <c r="Z186" s="10">
        <f>+'A) Base RI'!N186</f>
        <v>787653.25</v>
      </c>
      <c r="AA186" s="10">
        <f>'A) Base RI'!AO186</f>
        <v>1329</v>
      </c>
    </row>
    <row r="187" spans="1:27" x14ac:dyDescent="0.25">
      <c r="A187" s="8">
        <f>'A) Base RI'!A187</f>
        <v>5708</v>
      </c>
      <c r="B187" s="32" t="str">
        <f>'A) Base RI'!B187</f>
        <v>Chavannes-des-Bois</v>
      </c>
      <c r="C187" s="10">
        <f>'A) Base RI'!C187+'A) Base RI'!D187</f>
        <v>4267644.82</v>
      </c>
      <c r="D187" s="10">
        <f>'A) Base RI'!AP187</f>
        <v>-12006.52</v>
      </c>
      <c r="E187" s="398">
        <f>'A) Base RI'!AQ187</f>
        <v>0</v>
      </c>
      <c r="F187" s="398">
        <f>'A) Base RI'!AR187</f>
        <v>-1350.03</v>
      </c>
      <c r="G187" s="404">
        <f t="shared" si="12"/>
        <v>4254288.2700000005</v>
      </c>
      <c r="H187" s="10">
        <f>+'A) Base RI'!E187</f>
        <v>0</v>
      </c>
      <c r="I187" s="10">
        <f>+'A) Base RI'!F187</f>
        <v>0</v>
      </c>
      <c r="J187" s="10">
        <f>+'A) Base RI'!G187+'A) Base RI'!H187+'A) Base RI'!X187</f>
        <v>34599.25</v>
      </c>
      <c r="K187" s="10">
        <f>+'A) Base RI'!I187</f>
        <v>0</v>
      </c>
      <c r="L187" s="10">
        <f>+'A) Base RI'!J187</f>
        <v>-17158.88</v>
      </c>
      <c r="M187" s="10">
        <f>+'A) Base RI'!K187</f>
        <v>2539.65</v>
      </c>
      <c r="N187" s="10">
        <f>+'A) Base RI'!Q187</f>
        <v>11199.88</v>
      </c>
      <c r="O187" s="10">
        <f t="shared" si="13"/>
        <v>287947.5</v>
      </c>
      <c r="P187" s="10">
        <f>+'A) Base RI'!L187</f>
        <v>431921.25</v>
      </c>
      <c r="Q187" s="412">
        <f>'A) Base RI'!AS187</f>
        <v>1.5</v>
      </c>
      <c r="R187" s="404">
        <f t="shared" si="14"/>
        <v>4573415.6700000009</v>
      </c>
      <c r="S187" s="457">
        <f>+'A) Base RI'!AN187</f>
        <v>68</v>
      </c>
      <c r="T187" s="404">
        <f t="shared" si="15"/>
        <v>4282928.5200000005</v>
      </c>
      <c r="U187" s="404">
        <f t="shared" si="16"/>
        <v>67256.112794117653</v>
      </c>
      <c r="V187" s="10">
        <f>+'A) Base RI'!O187</f>
        <v>0</v>
      </c>
      <c r="W187" s="10">
        <f>+'A) Base RI'!P187</f>
        <v>231686.35</v>
      </c>
      <c r="X187" s="10">
        <f>+'A) Base RI'!R187</f>
        <v>71721.55</v>
      </c>
      <c r="Y187" s="404">
        <f t="shared" si="17"/>
        <v>303407.90000000002</v>
      </c>
      <c r="Z187" s="10">
        <f>+'A) Base RI'!N187</f>
        <v>8131.3</v>
      </c>
      <c r="AA187" s="10">
        <f>'A) Base RI'!AO187</f>
        <v>1013</v>
      </c>
    </row>
    <row r="188" spans="1:27" x14ac:dyDescent="0.25">
      <c r="A188" s="8">
        <f>'A) Base RI'!A188</f>
        <v>5709</v>
      </c>
      <c r="B188" s="32" t="str">
        <f>'A) Base RI'!B188</f>
        <v>Chéserex</v>
      </c>
      <c r="C188" s="10">
        <f>'A) Base RI'!C188+'A) Base RI'!D188</f>
        <v>4610507.83</v>
      </c>
      <c r="D188" s="10">
        <f>'A) Base RI'!AP188</f>
        <v>-48890.62</v>
      </c>
      <c r="E188" s="398">
        <f>'A) Base RI'!AQ188</f>
        <v>0</v>
      </c>
      <c r="F188" s="398">
        <f>'A) Base RI'!AR188</f>
        <v>-9724.3799999999992</v>
      </c>
      <c r="G188" s="404">
        <f t="shared" si="12"/>
        <v>4551892.83</v>
      </c>
      <c r="H188" s="10">
        <f>+'A) Base RI'!E188</f>
        <v>0</v>
      </c>
      <c r="I188" s="10">
        <f>+'A) Base RI'!F188</f>
        <v>0</v>
      </c>
      <c r="J188" s="10">
        <f>+'A) Base RI'!G188+'A) Base RI'!H188+'A) Base RI'!X188</f>
        <v>13222.43</v>
      </c>
      <c r="K188" s="10">
        <f>+'A) Base RI'!I188</f>
        <v>503480.6</v>
      </c>
      <c r="L188" s="10">
        <f>+'A) Base RI'!J188</f>
        <v>65878.34</v>
      </c>
      <c r="M188" s="10">
        <f>+'A) Base RI'!K188</f>
        <v>6088.85</v>
      </c>
      <c r="N188" s="10">
        <f>+'A) Base RI'!Q188</f>
        <v>45204.33</v>
      </c>
      <c r="O188" s="10">
        <f t="shared" si="13"/>
        <v>364212.4</v>
      </c>
      <c r="P188" s="10">
        <f>+'A) Base RI'!L188</f>
        <v>364212.4</v>
      </c>
      <c r="Q188" s="412">
        <f>'A) Base RI'!AS188</f>
        <v>1</v>
      </c>
      <c r="R188" s="404">
        <f t="shared" si="14"/>
        <v>5549979.7799999993</v>
      </c>
      <c r="S188" s="457">
        <f>+'A) Base RI'!AN188</f>
        <v>57</v>
      </c>
      <c r="T188" s="404">
        <f t="shared" si="15"/>
        <v>5179678.5299999993</v>
      </c>
      <c r="U188" s="404">
        <f t="shared" si="16"/>
        <v>97368.06631578946</v>
      </c>
      <c r="V188" s="10">
        <f>+'A) Base RI'!O188</f>
        <v>4819.2</v>
      </c>
      <c r="W188" s="10">
        <f>+'A) Base RI'!P188</f>
        <v>223130.95</v>
      </c>
      <c r="X188" s="10">
        <f>+'A) Base RI'!R188</f>
        <v>221765</v>
      </c>
      <c r="Y188" s="404">
        <f t="shared" si="17"/>
        <v>449715.15</v>
      </c>
      <c r="Z188" s="10">
        <f>+'A) Base RI'!N188</f>
        <v>40941</v>
      </c>
      <c r="AA188" s="10">
        <f>'A) Base RI'!AO188</f>
        <v>1248</v>
      </c>
    </row>
    <row r="189" spans="1:27" x14ac:dyDescent="0.25">
      <c r="A189" s="8">
        <f>'A) Base RI'!A189</f>
        <v>5710</v>
      </c>
      <c r="B189" s="32" t="str">
        <f>'A) Base RI'!B189</f>
        <v>Coinsins</v>
      </c>
      <c r="C189" s="10">
        <f>'A) Base RI'!C189+'A) Base RI'!D189</f>
        <v>1782696.55</v>
      </c>
      <c r="D189" s="10">
        <f>'A) Base RI'!AP189</f>
        <v>-3790.71</v>
      </c>
      <c r="E189" s="398">
        <f>'A) Base RI'!AQ189</f>
        <v>0</v>
      </c>
      <c r="F189" s="398">
        <f>'A) Base RI'!AR189</f>
        <v>-13971.31</v>
      </c>
      <c r="G189" s="404">
        <f t="shared" si="12"/>
        <v>1764934.53</v>
      </c>
      <c r="H189" s="10">
        <f>+'A) Base RI'!E189</f>
        <v>0</v>
      </c>
      <c r="I189" s="10">
        <f>+'A) Base RI'!F189</f>
        <v>0</v>
      </c>
      <c r="J189" s="10">
        <f>+'A) Base RI'!G189+'A) Base RI'!H189+'A) Base RI'!X189</f>
        <v>50055.580000000104</v>
      </c>
      <c r="K189" s="10">
        <f>+'A) Base RI'!I189</f>
        <v>110957.8</v>
      </c>
      <c r="L189" s="10">
        <f>+'A) Base RI'!J189</f>
        <v>30135.7</v>
      </c>
      <c r="M189" s="10">
        <f>+'A) Base RI'!K189</f>
        <v>5015.25</v>
      </c>
      <c r="N189" s="10">
        <f>+'A) Base RI'!Q189</f>
        <v>-320.83</v>
      </c>
      <c r="O189" s="10">
        <f t="shared" si="13"/>
        <v>135779.20000000001</v>
      </c>
      <c r="P189" s="10">
        <f>+'A) Base RI'!L189</f>
        <v>135779.20000000001</v>
      </c>
      <c r="Q189" s="412">
        <f>'A) Base RI'!AS189</f>
        <v>1</v>
      </c>
      <c r="R189" s="404">
        <f t="shared" si="14"/>
        <v>2096557.23</v>
      </c>
      <c r="S189" s="457">
        <f>+'A) Base RI'!AN189</f>
        <v>51</v>
      </c>
      <c r="T189" s="404">
        <f t="shared" si="15"/>
        <v>1955762.78</v>
      </c>
      <c r="U189" s="404">
        <f t="shared" si="16"/>
        <v>41108.965294117646</v>
      </c>
      <c r="V189" s="10">
        <f>+'A) Base RI'!O189</f>
        <v>5170.3</v>
      </c>
      <c r="W189" s="10">
        <f>+'A) Base RI'!P189</f>
        <v>63344</v>
      </c>
      <c r="X189" s="10">
        <f>+'A) Base RI'!R189</f>
        <v>2291.65</v>
      </c>
      <c r="Y189" s="404">
        <f t="shared" si="17"/>
        <v>70805.95</v>
      </c>
      <c r="Z189" s="10">
        <f>+'A) Base RI'!N189</f>
        <v>29012.95</v>
      </c>
      <c r="AA189" s="10">
        <f>'A) Base RI'!AO189</f>
        <v>509</v>
      </c>
    </row>
    <row r="190" spans="1:27" x14ac:dyDescent="0.25">
      <c r="A190" s="8">
        <f>'A) Base RI'!A190</f>
        <v>5711</v>
      </c>
      <c r="B190" s="32" t="str">
        <f>'A) Base RI'!B190</f>
        <v>Commugny</v>
      </c>
      <c r="C190" s="10">
        <f>'A) Base RI'!C190+'A) Base RI'!D190</f>
        <v>12874227.779999999</v>
      </c>
      <c r="D190" s="10">
        <f>'A) Base RI'!AP190</f>
        <v>-66802.02</v>
      </c>
      <c r="E190" s="398">
        <f>'A) Base RI'!AQ190</f>
        <v>0</v>
      </c>
      <c r="F190" s="398">
        <f>'A) Base RI'!AR190</f>
        <v>-140964.12</v>
      </c>
      <c r="G190" s="404">
        <f t="shared" si="12"/>
        <v>12666461.640000001</v>
      </c>
      <c r="H190" s="10">
        <f>+'A) Base RI'!E190</f>
        <v>0</v>
      </c>
      <c r="I190" s="10">
        <f>+'A) Base RI'!F190</f>
        <v>0</v>
      </c>
      <c r="J190" s="10">
        <f>+'A) Base RI'!G190+'A) Base RI'!H190+'A) Base RI'!X190</f>
        <v>60882.44</v>
      </c>
      <c r="K190" s="10">
        <f>+'A) Base RI'!I190</f>
        <v>181988.1</v>
      </c>
      <c r="L190" s="10">
        <f>+'A) Base RI'!J190</f>
        <v>184128.86</v>
      </c>
      <c r="M190" s="10">
        <f>+'A) Base RI'!K190</f>
        <v>14036.65</v>
      </c>
      <c r="N190" s="10">
        <f>+'A) Base RI'!Q190</f>
        <v>10623.89</v>
      </c>
      <c r="O190" s="10">
        <f t="shared" si="13"/>
        <v>910761.76923076925</v>
      </c>
      <c r="P190" s="10">
        <f>+'A) Base RI'!L190</f>
        <v>1183990.3</v>
      </c>
      <c r="Q190" s="412">
        <f>'A) Base RI'!AS190</f>
        <v>1.3</v>
      </c>
      <c r="R190" s="404">
        <f t="shared" si="14"/>
        <v>14028883.34923077</v>
      </c>
      <c r="S190" s="457">
        <f>+'A) Base RI'!AN190</f>
        <v>55.5</v>
      </c>
      <c r="T190" s="404">
        <f t="shared" si="15"/>
        <v>13104084.93</v>
      </c>
      <c r="U190" s="404">
        <f t="shared" si="16"/>
        <v>252772.67295911297</v>
      </c>
      <c r="V190" s="10">
        <f>+'A) Base RI'!O190</f>
        <v>0</v>
      </c>
      <c r="W190" s="10">
        <f>+'A) Base RI'!P190</f>
        <v>734368.5</v>
      </c>
      <c r="X190" s="10">
        <f>+'A) Base RI'!R190</f>
        <v>525442.6</v>
      </c>
      <c r="Y190" s="404">
        <f t="shared" si="17"/>
        <v>1259811.1000000001</v>
      </c>
      <c r="Z190" s="10">
        <f>+'A) Base RI'!N190</f>
        <v>40394.75</v>
      </c>
      <c r="AA190" s="10">
        <f>'A) Base RI'!AO190</f>
        <v>2997</v>
      </c>
    </row>
    <row r="191" spans="1:27" x14ac:dyDescent="0.25">
      <c r="A191" s="8">
        <f>'A) Base RI'!A191</f>
        <v>5712</v>
      </c>
      <c r="B191" s="32" t="str">
        <f>'A) Base RI'!B191</f>
        <v>Coppet</v>
      </c>
      <c r="C191" s="10">
        <f>'A) Base RI'!C191+'A) Base RI'!D191</f>
        <v>17379116.07</v>
      </c>
      <c r="D191" s="10">
        <f>'A) Base RI'!AP191</f>
        <v>-20670.150000000001</v>
      </c>
      <c r="E191" s="398">
        <f>'A) Base RI'!AQ191</f>
        <v>0</v>
      </c>
      <c r="F191" s="398">
        <f>'A) Base RI'!AR191</f>
        <v>-48473.31</v>
      </c>
      <c r="G191" s="404">
        <f t="shared" si="12"/>
        <v>17309972.610000003</v>
      </c>
      <c r="H191" s="10">
        <f>+'A) Base RI'!E191</f>
        <v>0</v>
      </c>
      <c r="I191" s="10">
        <f>+'A) Base RI'!F191</f>
        <v>0</v>
      </c>
      <c r="J191" s="10">
        <f>+'A) Base RI'!G191+'A) Base RI'!H191+'A) Base RI'!X191</f>
        <v>182681.98000000004</v>
      </c>
      <c r="K191" s="10">
        <f>+'A) Base RI'!I191</f>
        <v>1121150.23</v>
      </c>
      <c r="L191" s="10">
        <f>+'A) Base RI'!J191</f>
        <v>358802.08</v>
      </c>
      <c r="M191" s="10">
        <f>+'A) Base RI'!K191</f>
        <v>45987</v>
      </c>
      <c r="N191" s="10">
        <f>+'A) Base RI'!Q191</f>
        <v>21486.39</v>
      </c>
      <c r="O191" s="10">
        <f t="shared" si="13"/>
        <v>1206136.1333333333</v>
      </c>
      <c r="P191" s="10">
        <f>+'A) Base RI'!L191</f>
        <v>1809204.2</v>
      </c>
      <c r="Q191" s="412">
        <f>'A) Base RI'!AS191</f>
        <v>1.5</v>
      </c>
      <c r="R191" s="404">
        <f t="shared" si="14"/>
        <v>20246216.423333336</v>
      </c>
      <c r="S191" s="457">
        <f>+'A) Base RI'!AN191</f>
        <v>53</v>
      </c>
      <c r="T191" s="404">
        <f t="shared" si="15"/>
        <v>18994093.290000003</v>
      </c>
      <c r="U191" s="404">
        <f t="shared" si="16"/>
        <v>382004.08345911955</v>
      </c>
      <c r="V191" s="10">
        <f>+'A) Base RI'!O191</f>
        <v>160922.9</v>
      </c>
      <c r="W191" s="10">
        <f>+'A) Base RI'!P191</f>
        <v>529276.94999999995</v>
      </c>
      <c r="X191" s="10">
        <f>+'A) Base RI'!R191</f>
        <v>927376.7</v>
      </c>
      <c r="Y191" s="404">
        <f t="shared" si="17"/>
        <v>1617576.5499999998</v>
      </c>
      <c r="Z191" s="10">
        <f>+'A) Base RI'!N191</f>
        <v>122896.1</v>
      </c>
      <c r="AA191" s="10">
        <f>'A) Base RI'!AO191</f>
        <v>3247</v>
      </c>
    </row>
    <row r="192" spans="1:27" x14ac:dyDescent="0.25">
      <c r="A192" s="8">
        <f>'A) Base RI'!A192</f>
        <v>5713</v>
      </c>
      <c r="B192" s="32" t="str">
        <f>'A) Base RI'!B192</f>
        <v>Crans-près-Céligny</v>
      </c>
      <c r="C192" s="10">
        <f>'A) Base RI'!C192+'A) Base RI'!D192</f>
        <v>15401893.329999998</v>
      </c>
      <c r="D192" s="10">
        <f>'A) Base RI'!AP192</f>
        <v>-8309.74</v>
      </c>
      <c r="E192" s="398">
        <f>'A) Base RI'!AQ192</f>
        <v>0</v>
      </c>
      <c r="F192" s="398">
        <f>'A) Base RI'!AR192</f>
        <v>-29766.61</v>
      </c>
      <c r="G192" s="404">
        <f t="shared" si="12"/>
        <v>15363816.979999999</v>
      </c>
      <c r="H192" s="10">
        <f>+'A) Base RI'!E192</f>
        <v>0</v>
      </c>
      <c r="I192" s="10">
        <f>+'A) Base RI'!F192</f>
        <v>0</v>
      </c>
      <c r="J192" s="10">
        <f>+'A) Base RI'!G192+'A) Base RI'!H192+'A) Base RI'!X192</f>
        <v>37693.550000000003</v>
      </c>
      <c r="K192" s="10">
        <f>+'A) Base RI'!I192</f>
        <v>828053.35</v>
      </c>
      <c r="L192" s="10">
        <f>+'A) Base RI'!J192</f>
        <v>204965.06</v>
      </c>
      <c r="M192" s="10">
        <f>+'A) Base RI'!K192</f>
        <v>10573.5</v>
      </c>
      <c r="N192" s="10">
        <f>+'A) Base RI'!Q192</f>
        <v>0</v>
      </c>
      <c r="O192" s="10">
        <f t="shared" si="13"/>
        <v>840352.05</v>
      </c>
      <c r="P192" s="10">
        <f>+'A) Base RI'!L192</f>
        <v>840352.05</v>
      </c>
      <c r="Q192" s="412">
        <f>'A) Base RI'!AS192</f>
        <v>1</v>
      </c>
      <c r="R192" s="404">
        <f t="shared" si="14"/>
        <v>17285454.489999998</v>
      </c>
      <c r="S192" s="457">
        <f>+'A) Base RI'!AN192</f>
        <v>56</v>
      </c>
      <c r="T192" s="404">
        <f t="shared" si="15"/>
        <v>16434528.939999999</v>
      </c>
      <c r="U192" s="404">
        <f t="shared" si="16"/>
        <v>308668.8301785714</v>
      </c>
      <c r="V192" s="10">
        <f>+'A) Base RI'!O192</f>
        <v>600651.1</v>
      </c>
      <c r="W192" s="10">
        <f>+'A) Base RI'!P192</f>
        <v>897113.1</v>
      </c>
      <c r="X192" s="10">
        <f>+'A) Base RI'!R192</f>
        <v>446422.15</v>
      </c>
      <c r="Y192" s="404">
        <f t="shared" si="17"/>
        <v>1944186.35</v>
      </c>
      <c r="Z192" s="10">
        <f>+'A) Base RI'!N192</f>
        <v>47661.35</v>
      </c>
      <c r="AA192" s="10">
        <f>'A) Base RI'!AO192</f>
        <v>2340</v>
      </c>
    </row>
    <row r="193" spans="1:27" x14ac:dyDescent="0.25">
      <c r="A193" s="8">
        <f>'A) Base RI'!A193</f>
        <v>5714</v>
      </c>
      <c r="B193" s="32" t="str">
        <f>'A) Base RI'!B193</f>
        <v>Crassier</v>
      </c>
      <c r="C193" s="10">
        <f>'A) Base RI'!C193+'A) Base RI'!D193</f>
        <v>3301806.07</v>
      </c>
      <c r="D193" s="10">
        <f>'A) Base RI'!AP193</f>
        <v>-19075.849999999999</v>
      </c>
      <c r="E193" s="398">
        <f>'A) Base RI'!AQ193</f>
        <v>0</v>
      </c>
      <c r="F193" s="398">
        <f>'A) Base RI'!AR193</f>
        <v>-35557.89</v>
      </c>
      <c r="G193" s="404">
        <f t="shared" si="12"/>
        <v>3247172.3299999996</v>
      </c>
      <c r="H193" s="10">
        <f>+'A) Base RI'!E193</f>
        <v>0</v>
      </c>
      <c r="I193" s="10">
        <f>+'A) Base RI'!F193</f>
        <v>0</v>
      </c>
      <c r="J193" s="10">
        <f>+'A) Base RI'!G193+'A) Base RI'!H193+'A) Base RI'!X193</f>
        <v>-86306.8</v>
      </c>
      <c r="K193" s="10">
        <f>+'A) Base RI'!I193</f>
        <v>110782.45</v>
      </c>
      <c r="L193" s="10">
        <f>+'A) Base RI'!J193</f>
        <v>65008.5</v>
      </c>
      <c r="M193" s="10">
        <f>+'A) Base RI'!K193</f>
        <v>6742.5</v>
      </c>
      <c r="N193" s="10">
        <f>+'A) Base RI'!Q193</f>
        <v>0</v>
      </c>
      <c r="O193" s="10">
        <f t="shared" si="13"/>
        <v>289820.05</v>
      </c>
      <c r="P193" s="10">
        <f>+'A) Base RI'!L193</f>
        <v>289820.05</v>
      </c>
      <c r="Q193" s="412">
        <f>'A) Base RI'!AS193</f>
        <v>1</v>
      </c>
      <c r="R193" s="404">
        <f t="shared" si="14"/>
        <v>3633219.03</v>
      </c>
      <c r="S193" s="457">
        <f>+'A) Base RI'!AN193</f>
        <v>68</v>
      </c>
      <c r="T193" s="404">
        <f t="shared" si="15"/>
        <v>3336656.48</v>
      </c>
      <c r="U193" s="404">
        <f t="shared" si="16"/>
        <v>53429.691617647055</v>
      </c>
      <c r="V193" s="10">
        <f>+'A) Base RI'!O193</f>
        <v>0</v>
      </c>
      <c r="W193" s="10">
        <f>+'A) Base RI'!P193</f>
        <v>175166.2</v>
      </c>
      <c r="X193" s="10">
        <f>+'A) Base RI'!R193</f>
        <v>73143.55</v>
      </c>
      <c r="Y193" s="404">
        <f t="shared" si="17"/>
        <v>248309.75</v>
      </c>
      <c r="Z193" s="10">
        <f>+'A) Base RI'!N193</f>
        <v>130763.45</v>
      </c>
      <c r="AA193" s="10">
        <f>'A) Base RI'!AO193</f>
        <v>1174</v>
      </c>
    </row>
    <row r="194" spans="1:27" x14ac:dyDescent="0.25">
      <c r="A194" s="8">
        <f>'A) Base RI'!A194</f>
        <v>5715</v>
      </c>
      <c r="B194" s="32" t="str">
        <f>'A) Base RI'!B194</f>
        <v>Duillier</v>
      </c>
      <c r="C194" s="10">
        <f>'A) Base RI'!C194+'A) Base RI'!D194</f>
        <v>3731005.09</v>
      </c>
      <c r="D194" s="10">
        <f>'A) Base RI'!AP194</f>
        <v>-111564.9</v>
      </c>
      <c r="E194" s="398">
        <f>'A) Base RI'!AQ194</f>
        <v>0</v>
      </c>
      <c r="F194" s="398">
        <f>'A) Base RI'!AR194</f>
        <v>-4776.46</v>
      </c>
      <c r="G194" s="404">
        <f t="shared" si="12"/>
        <v>3614663.73</v>
      </c>
      <c r="H194" s="10">
        <f>+'A) Base RI'!E194</f>
        <v>0</v>
      </c>
      <c r="I194" s="10">
        <f>+'A) Base RI'!F194</f>
        <v>0</v>
      </c>
      <c r="J194" s="10">
        <f>+'A) Base RI'!G194+'A) Base RI'!H194+'A) Base RI'!X194</f>
        <v>39181.230000000003</v>
      </c>
      <c r="K194" s="10">
        <f>+'A) Base RI'!I194</f>
        <v>267.19999999999698</v>
      </c>
      <c r="L194" s="10">
        <f>+'A) Base RI'!J194</f>
        <v>111145.55</v>
      </c>
      <c r="M194" s="10">
        <f>+'A) Base RI'!K194</f>
        <v>2940.5</v>
      </c>
      <c r="N194" s="10">
        <f>+'A) Base RI'!Q194</f>
        <v>14698.53</v>
      </c>
      <c r="O194" s="10">
        <f t="shared" si="13"/>
        <v>280968.40000000002</v>
      </c>
      <c r="P194" s="10">
        <f>+'A) Base RI'!L194</f>
        <v>280968.40000000002</v>
      </c>
      <c r="Q194" s="412">
        <f>'A) Base RI'!AS194</f>
        <v>1</v>
      </c>
      <c r="R194" s="404">
        <f t="shared" si="14"/>
        <v>4063865.1399999997</v>
      </c>
      <c r="S194" s="457">
        <f>+'A) Base RI'!AN194</f>
        <v>66</v>
      </c>
      <c r="T194" s="404">
        <f t="shared" si="15"/>
        <v>3779956.2399999998</v>
      </c>
      <c r="U194" s="404">
        <f t="shared" si="16"/>
        <v>61573.714242424234</v>
      </c>
      <c r="V194" s="10">
        <f>+'A) Base RI'!O194</f>
        <v>0</v>
      </c>
      <c r="W194" s="10">
        <f>+'A) Base RI'!P194</f>
        <v>242319</v>
      </c>
      <c r="X194" s="10">
        <f>+'A) Base RI'!R194</f>
        <v>180000.6</v>
      </c>
      <c r="Y194" s="404">
        <f t="shared" si="17"/>
        <v>422319.6</v>
      </c>
      <c r="Z194" s="10">
        <f>+'A) Base RI'!N194</f>
        <v>89546.35</v>
      </c>
      <c r="AA194" s="10">
        <f>'A) Base RI'!AO194</f>
        <v>1128</v>
      </c>
    </row>
    <row r="195" spans="1:27" x14ac:dyDescent="0.25">
      <c r="A195" s="8">
        <f>'A) Base RI'!A195</f>
        <v>5716</v>
      </c>
      <c r="B195" s="32" t="str">
        <f>'A) Base RI'!B195</f>
        <v>Eysins</v>
      </c>
      <c r="C195" s="10">
        <f>'A) Base RI'!C195+'A) Base RI'!D195</f>
        <v>4596593.92</v>
      </c>
      <c r="D195" s="10">
        <f>'A) Base RI'!AP195</f>
        <v>-54028.74</v>
      </c>
      <c r="E195" s="398">
        <f>'A) Base RI'!AQ195</f>
        <v>0</v>
      </c>
      <c r="F195" s="398">
        <f>'A) Base RI'!AR195</f>
        <v>-1488.32</v>
      </c>
      <c r="G195" s="404">
        <f t="shared" si="12"/>
        <v>4541076.8599999994</v>
      </c>
      <c r="H195" s="10">
        <f>+'A) Base RI'!E195</f>
        <v>0</v>
      </c>
      <c r="I195" s="10">
        <f>+'A) Base RI'!F195</f>
        <v>0</v>
      </c>
      <c r="J195" s="10">
        <f>+'A) Base RI'!G195+'A) Base RI'!H195+'A) Base RI'!X195</f>
        <v>12053600.479999999</v>
      </c>
      <c r="K195" s="10">
        <f>+'A) Base RI'!I195</f>
        <v>0</v>
      </c>
      <c r="L195" s="10">
        <f>+'A) Base RI'!J195</f>
        <v>1090328.49</v>
      </c>
      <c r="M195" s="10">
        <f>+'A) Base RI'!K195</f>
        <v>191319.35</v>
      </c>
      <c r="N195" s="10">
        <f>+'A) Base RI'!Q195</f>
        <v>9607.18</v>
      </c>
      <c r="O195" s="10">
        <f t="shared" si="13"/>
        <v>648283.1</v>
      </c>
      <c r="P195" s="10">
        <f>+'A) Base RI'!L195</f>
        <v>648283.1</v>
      </c>
      <c r="Q195" s="412">
        <f>'A) Base RI'!AS195</f>
        <v>1</v>
      </c>
      <c r="R195" s="404">
        <f t="shared" si="14"/>
        <v>18534215.460000001</v>
      </c>
      <c r="S195" s="457">
        <f>+'A) Base RI'!AN195</f>
        <v>59.5</v>
      </c>
      <c r="T195" s="404">
        <f t="shared" si="15"/>
        <v>17694613.009999998</v>
      </c>
      <c r="U195" s="404">
        <f t="shared" si="16"/>
        <v>311499.41949579836</v>
      </c>
      <c r="V195" s="10">
        <f>+'A) Base RI'!O195</f>
        <v>104368.8</v>
      </c>
      <c r="W195" s="10">
        <f>+'A) Base RI'!P195</f>
        <v>1109474.6499999999</v>
      </c>
      <c r="X195" s="10">
        <f>+'A) Base RI'!R195</f>
        <v>123842.9</v>
      </c>
      <c r="Y195" s="404">
        <f t="shared" si="17"/>
        <v>1337686.3499999999</v>
      </c>
      <c r="Z195" s="10">
        <f>+'A) Base RI'!N195</f>
        <v>574592.4</v>
      </c>
      <c r="AA195" s="10">
        <f>'A) Base RI'!AO195</f>
        <v>1740</v>
      </c>
    </row>
    <row r="196" spans="1:27" x14ac:dyDescent="0.25">
      <c r="A196" s="8">
        <f>'A) Base RI'!A196</f>
        <v>5717</v>
      </c>
      <c r="B196" s="32" t="str">
        <f>'A) Base RI'!B196</f>
        <v>Founex</v>
      </c>
      <c r="C196" s="10">
        <f>'A) Base RI'!C196+'A) Base RI'!D196</f>
        <v>20121584.579999998</v>
      </c>
      <c r="D196" s="10">
        <f>'A) Base RI'!AP196</f>
        <v>-115528.89</v>
      </c>
      <c r="E196" s="398">
        <f>'A) Base RI'!AQ196</f>
        <v>0</v>
      </c>
      <c r="F196" s="398">
        <f>'A) Base RI'!AR196</f>
        <v>-102206.5</v>
      </c>
      <c r="G196" s="404">
        <f t="shared" si="12"/>
        <v>19903849.189999998</v>
      </c>
      <c r="H196" s="10">
        <f>+'A) Base RI'!E196</f>
        <v>0</v>
      </c>
      <c r="I196" s="10">
        <f>+'A) Base RI'!F196</f>
        <v>0</v>
      </c>
      <c r="J196" s="10">
        <f>+'A) Base RI'!G196+'A) Base RI'!H196+'A) Base RI'!X196</f>
        <v>120528.12</v>
      </c>
      <c r="K196" s="10">
        <f>+'A) Base RI'!I196</f>
        <v>925308</v>
      </c>
      <c r="L196" s="10">
        <f>+'A) Base RI'!J196</f>
        <v>-287667.32</v>
      </c>
      <c r="M196" s="10">
        <f>+'A) Base RI'!K196</f>
        <v>41372</v>
      </c>
      <c r="N196" s="10">
        <f>+'A) Base RI'!Q196</f>
        <v>12068.44</v>
      </c>
      <c r="O196" s="10">
        <f t="shared" si="13"/>
        <v>1332232.8999999999</v>
      </c>
      <c r="P196" s="10">
        <f>+'A) Base RI'!L196</f>
        <v>1332232.8999999999</v>
      </c>
      <c r="Q196" s="412">
        <f>'A) Base RI'!AS196</f>
        <v>1</v>
      </c>
      <c r="R196" s="404">
        <f t="shared" si="14"/>
        <v>22047691.329999998</v>
      </c>
      <c r="S196" s="457">
        <f>+'A) Base RI'!AN196</f>
        <v>57</v>
      </c>
      <c r="T196" s="404">
        <f t="shared" si="15"/>
        <v>20674086.43</v>
      </c>
      <c r="U196" s="404">
        <f t="shared" si="16"/>
        <v>386801.60228070174</v>
      </c>
      <c r="V196" s="10">
        <f>+'A) Base RI'!O196</f>
        <v>244729.2</v>
      </c>
      <c r="W196" s="10">
        <f>+'A) Base RI'!P196</f>
        <v>998803.45</v>
      </c>
      <c r="X196" s="10">
        <f>+'A) Base RI'!R196</f>
        <v>935119.25</v>
      </c>
      <c r="Y196" s="404">
        <f t="shared" si="17"/>
        <v>2178651.9</v>
      </c>
      <c r="Z196" s="10">
        <f>+'A) Base RI'!N196</f>
        <v>222193.9</v>
      </c>
      <c r="AA196" s="10">
        <f>'A) Base RI'!AO196</f>
        <v>3834</v>
      </c>
    </row>
    <row r="197" spans="1:27" x14ac:dyDescent="0.25">
      <c r="A197" s="8">
        <f>'A) Base RI'!A197</f>
        <v>5718</v>
      </c>
      <c r="B197" s="32" t="str">
        <f>'A) Base RI'!B197</f>
        <v>Genolier</v>
      </c>
      <c r="C197" s="10">
        <f>'A) Base RI'!C197+'A) Base RI'!D197</f>
        <v>11901923.27</v>
      </c>
      <c r="D197" s="10">
        <f>'A) Base RI'!AP197</f>
        <v>-26729.54</v>
      </c>
      <c r="E197" s="398">
        <f>'A) Base RI'!AQ197</f>
        <v>0</v>
      </c>
      <c r="F197" s="398">
        <f>'A) Base RI'!AR197</f>
        <v>-12535.27</v>
      </c>
      <c r="G197" s="404">
        <f t="shared" si="12"/>
        <v>11862658.460000001</v>
      </c>
      <c r="H197" s="10">
        <f>+'A) Base RI'!E197</f>
        <v>0</v>
      </c>
      <c r="I197" s="10">
        <f>+'A) Base RI'!F197</f>
        <v>0</v>
      </c>
      <c r="J197" s="10">
        <f>+'A) Base RI'!G197+'A) Base RI'!H197+'A) Base RI'!X197</f>
        <v>358289.77</v>
      </c>
      <c r="K197" s="10">
        <f>+'A) Base RI'!I197</f>
        <v>345616.43</v>
      </c>
      <c r="L197" s="10">
        <f>+'A) Base RI'!J197</f>
        <v>183001.21</v>
      </c>
      <c r="M197" s="10">
        <f>+'A) Base RI'!K197</f>
        <v>41921.599999999999</v>
      </c>
      <c r="N197" s="10">
        <f>+'A) Base RI'!Q197</f>
        <v>2276.39</v>
      </c>
      <c r="O197" s="10">
        <f t="shared" si="13"/>
        <v>685761.5</v>
      </c>
      <c r="P197" s="10">
        <f>+'A) Base RI'!L197</f>
        <v>685761.5</v>
      </c>
      <c r="Q197" s="412">
        <f>'A) Base RI'!AS197</f>
        <v>1</v>
      </c>
      <c r="R197" s="404">
        <f t="shared" si="14"/>
        <v>13479525.360000001</v>
      </c>
      <c r="S197" s="457">
        <f>+'A) Base RI'!AN197</f>
        <v>55</v>
      </c>
      <c r="T197" s="404">
        <f t="shared" si="15"/>
        <v>12751842.260000002</v>
      </c>
      <c r="U197" s="404">
        <f t="shared" si="16"/>
        <v>245082.27927272729</v>
      </c>
      <c r="V197" s="10">
        <f>+'A) Base RI'!O197</f>
        <v>-40770.400000000001</v>
      </c>
      <c r="W197" s="10">
        <f>+'A) Base RI'!P197</f>
        <v>480990.65</v>
      </c>
      <c r="X197" s="10">
        <f>+'A) Base RI'!R197</f>
        <v>383919.55</v>
      </c>
      <c r="Y197" s="404">
        <f t="shared" si="17"/>
        <v>824139.8</v>
      </c>
      <c r="Z197" s="10">
        <f>+'A) Base RI'!N197</f>
        <v>269907.05</v>
      </c>
      <c r="AA197" s="10">
        <f>'A) Base RI'!AO197</f>
        <v>1996</v>
      </c>
    </row>
    <row r="198" spans="1:27" x14ac:dyDescent="0.25">
      <c r="A198" s="8">
        <f>'A) Base RI'!A198</f>
        <v>5719</v>
      </c>
      <c r="B198" s="32" t="str">
        <f>'A) Base RI'!B198</f>
        <v>Gingins</v>
      </c>
      <c r="C198" s="10">
        <f>'A) Base RI'!C198+'A) Base RI'!D198</f>
        <v>7188922.9000000004</v>
      </c>
      <c r="D198" s="10">
        <f>'A) Base RI'!AP198</f>
        <v>-22774.959999999999</v>
      </c>
      <c r="E198" s="398">
        <f>'A) Base RI'!AQ198</f>
        <v>0</v>
      </c>
      <c r="F198" s="398">
        <f>'A) Base RI'!AR198</f>
        <v>-12758.73</v>
      </c>
      <c r="G198" s="404">
        <f t="shared" si="12"/>
        <v>7153389.21</v>
      </c>
      <c r="H198" s="10">
        <f>+'A) Base RI'!E198</f>
        <v>0</v>
      </c>
      <c r="I198" s="10">
        <f>+'A) Base RI'!F198</f>
        <v>0</v>
      </c>
      <c r="J198" s="10">
        <f>+'A) Base RI'!G198+'A) Base RI'!H198+'A) Base RI'!X198</f>
        <v>527374.31000000006</v>
      </c>
      <c r="K198" s="10">
        <f>+'A) Base RI'!I198</f>
        <v>162245.15</v>
      </c>
      <c r="L198" s="10">
        <f>+'A) Base RI'!J198</f>
        <v>49408.41</v>
      </c>
      <c r="M198" s="10">
        <f>+'A) Base RI'!K198</f>
        <v>6062.8</v>
      </c>
      <c r="N198" s="10">
        <f>+'A) Base RI'!Q198</f>
        <v>0</v>
      </c>
      <c r="O198" s="10">
        <f t="shared" si="13"/>
        <v>409920.83333333337</v>
      </c>
      <c r="P198" s="10">
        <f>+'A) Base RI'!L198</f>
        <v>245952.5</v>
      </c>
      <c r="Q198" s="412">
        <f>'A) Base RI'!AS198</f>
        <v>0.6</v>
      </c>
      <c r="R198" s="404">
        <f t="shared" si="14"/>
        <v>8308400.7133333329</v>
      </c>
      <c r="S198" s="457">
        <f>+'A) Base RI'!AN198</f>
        <v>57</v>
      </c>
      <c r="T198" s="404">
        <f t="shared" si="15"/>
        <v>7892417.0800000001</v>
      </c>
      <c r="U198" s="404">
        <f t="shared" si="16"/>
        <v>145761.41602339179</v>
      </c>
      <c r="V198" s="10">
        <f>+'A) Base RI'!O198</f>
        <v>12175.7</v>
      </c>
      <c r="W198" s="10">
        <f>+'A) Base RI'!P198</f>
        <v>292425.45</v>
      </c>
      <c r="X198" s="10">
        <f>+'A) Base RI'!R198</f>
        <v>108446.75</v>
      </c>
      <c r="Y198" s="404">
        <f t="shared" si="17"/>
        <v>413047.9</v>
      </c>
      <c r="Z198" s="10">
        <f>+'A) Base RI'!N198</f>
        <v>52212.85</v>
      </c>
      <c r="AA198" s="10">
        <f>'A) Base RI'!AO198</f>
        <v>1257</v>
      </c>
    </row>
    <row r="199" spans="1:27" x14ac:dyDescent="0.25">
      <c r="A199" s="8">
        <f>'A) Base RI'!A199</f>
        <v>5720</v>
      </c>
      <c r="B199" s="32" t="str">
        <f>'A) Base RI'!B199</f>
        <v>Givrins</v>
      </c>
      <c r="C199" s="10">
        <f>'A) Base RI'!C199+'A) Base RI'!D199</f>
        <v>4955759.28</v>
      </c>
      <c r="D199" s="10">
        <f>'A) Base RI'!AP199</f>
        <v>-24457.919999999998</v>
      </c>
      <c r="E199" s="398">
        <f>'A) Base RI'!AQ199</f>
        <v>0</v>
      </c>
      <c r="F199" s="398">
        <f>'A) Base RI'!AR199</f>
        <v>-13000.22</v>
      </c>
      <c r="G199" s="404">
        <f t="shared" si="12"/>
        <v>4918301.1400000006</v>
      </c>
      <c r="H199" s="10">
        <f>+'A) Base RI'!E199</f>
        <v>0</v>
      </c>
      <c r="I199" s="10">
        <f>+'A) Base RI'!F199</f>
        <v>0</v>
      </c>
      <c r="J199" s="10">
        <f>+'A) Base RI'!G199+'A) Base RI'!H199+'A) Base RI'!X199</f>
        <v>50760.92</v>
      </c>
      <c r="K199" s="10">
        <f>+'A) Base RI'!I199</f>
        <v>324111.55</v>
      </c>
      <c r="L199" s="10">
        <f>+'A) Base RI'!J199</f>
        <v>36650.199999999997</v>
      </c>
      <c r="M199" s="10">
        <f>+'A) Base RI'!K199</f>
        <v>0</v>
      </c>
      <c r="N199" s="10">
        <f>+'A) Base RI'!Q199</f>
        <v>1506.3</v>
      </c>
      <c r="O199" s="10">
        <f t="shared" si="13"/>
        <v>308210.94444444444</v>
      </c>
      <c r="P199" s="10">
        <f>+'A) Base RI'!L199</f>
        <v>277389.84999999998</v>
      </c>
      <c r="Q199" s="412">
        <f>'A) Base RI'!AS199</f>
        <v>0.9</v>
      </c>
      <c r="R199" s="404">
        <f t="shared" si="14"/>
        <v>5639541.0544444444</v>
      </c>
      <c r="S199" s="457">
        <f>+'A) Base RI'!AN199</f>
        <v>67</v>
      </c>
      <c r="T199" s="404">
        <f t="shared" si="15"/>
        <v>5331330.1100000003</v>
      </c>
      <c r="U199" s="404">
        <f t="shared" si="16"/>
        <v>84172.254543946925</v>
      </c>
      <c r="V199" s="10">
        <f>+'A) Base RI'!O199</f>
        <v>0</v>
      </c>
      <c r="W199" s="10">
        <f>+'A) Base RI'!P199</f>
        <v>223479.45</v>
      </c>
      <c r="X199" s="10">
        <f>+'A) Base RI'!R199</f>
        <v>336799.65</v>
      </c>
      <c r="Y199" s="404">
        <f t="shared" si="17"/>
        <v>560279.10000000009</v>
      </c>
      <c r="Z199" s="10">
        <f>+'A) Base RI'!N199</f>
        <v>9872.7000000000007</v>
      </c>
      <c r="AA199" s="10">
        <f>'A) Base RI'!AO199</f>
        <v>1031</v>
      </c>
    </row>
    <row r="200" spans="1:27" x14ac:dyDescent="0.25">
      <c r="A200" s="8">
        <f>'A) Base RI'!A200</f>
        <v>5721</v>
      </c>
      <c r="B200" s="32" t="str">
        <f>'A) Base RI'!B200</f>
        <v>Gland</v>
      </c>
      <c r="C200" s="10">
        <f>'A) Base RI'!C200+'A) Base RI'!D200</f>
        <v>31045638.420000002</v>
      </c>
      <c r="D200" s="10">
        <f>'A) Base RI'!AP200</f>
        <v>-813563.98</v>
      </c>
      <c r="E200" s="398">
        <f>'A) Base RI'!AQ200</f>
        <v>0</v>
      </c>
      <c r="F200" s="398">
        <f>'A) Base RI'!AR200</f>
        <v>-40976.54</v>
      </c>
      <c r="G200" s="404">
        <f t="shared" ref="G200:G263" si="18">SUM(C200:F200)</f>
        <v>30191097.900000002</v>
      </c>
      <c r="H200" s="10">
        <f>+'A) Base RI'!E200</f>
        <v>0</v>
      </c>
      <c r="I200" s="10">
        <f>+'A) Base RI'!F200</f>
        <v>0</v>
      </c>
      <c r="J200" s="10">
        <f>+'A) Base RI'!G200+'A) Base RI'!H200+'A) Base RI'!X200</f>
        <v>4231669.3</v>
      </c>
      <c r="K200" s="10">
        <f>+'A) Base RI'!I200</f>
        <v>570158.6</v>
      </c>
      <c r="L200" s="10">
        <f>+'A) Base RI'!J200</f>
        <v>1086520.6299999999</v>
      </c>
      <c r="M200" s="10">
        <f>+'A) Base RI'!K200</f>
        <v>512957.5</v>
      </c>
      <c r="N200" s="10">
        <f>+'A) Base RI'!Q200</f>
        <v>150029.39000000001</v>
      </c>
      <c r="O200" s="10">
        <f t="shared" ref="O200:O263" si="19">(P200/Q200)*1</f>
        <v>2975096.15</v>
      </c>
      <c r="P200" s="10">
        <f>+'A) Base RI'!L200</f>
        <v>2975096.15</v>
      </c>
      <c r="Q200" s="412">
        <f>'A) Base RI'!AS200</f>
        <v>1</v>
      </c>
      <c r="R200" s="404">
        <f t="shared" ref="R200:R263" si="20">SUM(G200:O200)</f>
        <v>39717529.470000006</v>
      </c>
      <c r="S200" s="457">
        <f>+'A) Base RI'!AN200</f>
        <v>61</v>
      </c>
      <c r="T200" s="404">
        <f t="shared" ref="T200:T263" si="21">(G200+H200+J200+K200+L200+N200)</f>
        <v>36229475.820000008</v>
      </c>
      <c r="U200" s="404">
        <f t="shared" ref="U200:U263" si="22">R200/S200</f>
        <v>651107.04049180343</v>
      </c>
      <c r="V200" s="10">
        <f>+'A) Base RI'!O200</f>
        <v>238437</v>
      </c>
      <c r="W200" s="10">
        <f>+'A) Base RI'!P200</f>
        <v>2072198.5</v>
      </c>
      <c r="X200" s="10">
        <f>+'A) Base RI'!R200</f>
        <v>766926.3</v>
      </c>
      <c r="Y200" s="404">
        <f t="shared" ref="Y200:Y263" si="23">SUM(V200:X200)</f>
        <v>3077561.8</v>
      </c>
      <c r="Z200" s="10">
        <f>+'A) Base RI'!N200</f>
        <v>2223465.7000000002</v>
      </c>
      <c r="AA200" s="10">
        <f>'A) Base RI'!AO200</f>
        <v>13243</v>
      </c>
    </row>
    <row r="201" spans="1:27" x14ac:dyDescent="0.25">
      <c r="A201" s="8">
        <f>'A) Base RI'!A201</f>
        <v>5722</v>
      </c>
      <c r="B201" s="32" t="str">
        <f>'A) Base RI'!B201</f>
        <v>Grens</v>
      </c>
      <c r="C201" s="10">
        <f>'A) Base RI'!C201+'A) Base RI'!D201</f>
        <v>1497883.97</v>
      </c>
      <c r="D201" s="10">
        <f>'A) Base RI'!AP201</f>
        <v>-672.99</v>
      </c>
      <c r="E201" s="398">
        <f>'A) Base RI'!AQ201</f>
        <v>0</v>
      </c>
      <c r="F201" s="398">
        <f>'A) Base RI'!AR201</f>
        <v>-1403.84</v>
      </c>
      <c r="G201" s="404">
        <f t="shared" si="18"/>
        <v>1495807.14</v>
      </c>
      <c r="H201" s="10">
        <f>+'A) Base RI'!E201</f>
        <v>0</v>
      </c>
      <c r="I201" s="10">
        <f>+'A) Base RI'!F201</f>
        <v>0</v>
      </c>
      <c r="J201" s="10">
        <f>+'A) Base RI'!G201+'A) Base RI'!H201+'A) Base RI'!X201</f>
        <v>11363.99</v>
      </c>
      <c r="K201" s="10">
        <f>+'A) Base RI'!I201</f>
        <v>0</v>
      </c>
      <c r="L201" s="10">
        <f>+'A) Base RI'!J201</f>
        <v>-18719.46</v>
      </c>
      <c r="M201" s="10">
        <f>+'A) Base RI'!K201</f>
        <v>6180.6</v>
      </c>
      <c r="N201" s="10">
        <f>+'A) Base RI'!Q201</f>
        <v>0</v>
      </c>
      <c r="O201" s="10">
        <f t="shared" si="19"/>
        <v>87955.05</v>
      </c>
      <c r="P201" s="10">
        <f>+'A) Base RI'!L201</f>
        <v>87955.05</v>
      </c>
      <c r="Q201" s="412">
        <f>'A) Base RI'!AS201</f>
        <v>1</v>
      </c>
      <c r="R201" s="404">
        <f t="shared" si="20"/>
        <v>1582587.32</v>
      </c>
      <c r="S201" s="457">
        <f>+'A) Base RI'!AN201</f>
        <v>62</v>
      </c>
      <c r="T201" s="404">
        <f t="shared" si="21"/>
        <v>1488451.67</v>
      </c>
      <c r="U201" s="404">
        <f t="shared" si="22"/>
        <v>25525.601935483872</v>
      </c>
      <c r="V201" s="10">
        <f>+'A) Base RI'!O201</f>
        <v>0</v>
      </c>
      <c r="W201" s="10">
        <f>+'A) Base RI'!P201</f>
        <v>9605.25</v>
      </c>
      <c r="X201" s="10">
        <f>+'A) Base RI'!R201</f>
        <v>4608.2</v>
      </c>
      <c r="Y201" s="404">
        <f t="shared" si="23"/>
        <v>14213.45</v>
      </c>
      <c r="Z201" s="10">
        <f>+'A) Base RI'!N201</f>
        <v>22755.3</v>
      </c>
      <c r="AA201" s="10">
        <f>'A) Base RI'!AO201</f>
        <v>405</v>
      </c>
    </row>
    <row r="202" spans="1:27" x14ac:dyDescent="0.25">
      <c r="A202" s="8">
        <f>'A) Base RI'!A202</f>
        <v>5723</v>
      </c>
      <c r="B202" s="32" t="str">
        <f>'A) Base RI'!B202</f>
        <v>Mies</v>
      </c>
      <c r="C202" s="10">
        <f>'A) Base RI'!C202+'A) Base RI'!D202</f>
        <v>8596299.3100000005</v>
      </c>
      <c r="D202" s="10">
        <f>'A) Base RI'!AP202</f>
        <v>-63187.28</v>
      </c>
      <c r="E202" s="398">
        <f>'A) Base RI'!AQ202</f>
        <v>0</v>
      </c>
      <c r="F202" s="398">
        <f>'A) Base RI'!AR202</f>
        <v>-104426.37</v>
      </c>
      <c r="G202" s="404">
        <f t="shared" si="18"/>
        <v>8428685.660000002</v>
      </c>
      <c r="H202" s="10">
        <f>+'A) Base RI'!E202</f>
        <v>0</v>
      </c>
      <c r="I202" s="10">
        <f>+'A) Base RI'!F202</f>
        <v>0</v>
      </c>
      <c r="J202" s="10">
        <f>+'A) Base RI'!G202+'A) Base RI'!H202+'A) Base RI'!X202</f>
        <v>357702.41</v>
      </c>
      <c r="K202" s="10">
        <f>+'A) Base RI'!I202</f>
        <v>472945.47</v>
      </c>
      <c r="L202" s="10">
        <f>+'A) Base RI'!J202</f>
        <v>121417.13</v>
      </c>
      <c r="M202" s="10">
        <f>+'A) Base RI'!K202</f>
        <v>41667.85</v>
      </c>
      <c r="N202" s="10">
        <f>+'A) Base RI'!Q202</f>
        <v>29262.59</v>
      </c>
      <c r="O202" s="10">
        <f t="shared" si="19"/>
        <v>834188</v>
      </c>
      <c r="P202" s="10">
        <f>+'A) Base RI'!L202</f>
        <v>834188</v>
      </c>
      <c r="Q202" s="412">
        <f>'A) Base RI'!AS202</f>
        <v>1</v>
      </c>
      <c r="R202" s="404">
        <f t="shared" si="20"/>
        <v>10285869.110000003</v>
      </c>
      <c r="S202" s="457">
        <f>+'A) Base RI'!AN202</f>
        <v>52</v>
      </c>
      <c r="T202" s="404">
        <f t="shared" si="21"/>
        <v>9410013.2600000035</v>
      </c>
      <c r="U202" s="404">
        <f t="shared" si="22"/>
        <v>197805.17519230774</v>
      </c>
      <c r="V202" s="10">
        <f>+'A) Base RI'!O202</f>
        <v>163699.20000000001</v>
      </c>
      <c r="W202" s="10">
        <f>+'A) Base RI'!P202</f>
        <v>622549.6</v>
      </c>
      <c r="X202" s="10">
        <f>+'A) Base RI'!R202</f>
        <v>448780.75</v>
      </c>
      <c r="Y202" s="404">
        <f t="shared" si="23"/>
        <v>1235029.55</v>
      </c>
      <c r="Z202" s="10">
        <f>+'A) Base RI'!N202</f>
        <v>92665.45</v>
      </c>
      <c r="AA202" s="10">
        <f>'A) Base RI'!AO202</f>
        <v>2172</v>
      </c>
    </row>
    <row r="203" spans="1:27" x14ac:dyDescent="0.25">
      <c r="A203" s="8">
        <f>'A) Base RI'!A203</f>
        <v>5724</v>
      </c>
      <c r="B203" s="32" t="str">
        <f>'A) Base RI'!B203</f>
        <v>Nyon</v>
      </c>
      <c r="C203" s="10">
        <f>'A) Base RI'!C203+'A) Base RI'!D203</f>
        <v>66354546.140000001</v>
      </c>
      <c r="D203" s="10">
        <f>'A) Base RI'!AP203</f>
        <v>-889891.87</v>
      </c>
      <c r="E203" s="398">
        <f>'A) Base RI'!AQ203</f>
        <v>0</v>
      </c>
      <c r="F203" s="398">
        <f>'A) Base RI'!AR203</f>
        <v>-119872.56</v>
      </c>
      <c r="G203" s="404">
        <f t="shared" si="18"/>
        <v>65344781.710000001</v>
      </c>
      <c r="H203" s="10">
        <f>+'A) Base RI'!E203</f>
        <v>0</v>
      </c>
      <c r="I203" s="10">
        <f>+'A) Base RI'!F203</f>
        <v>0</v>
      </c>
      <c r="J203" s="10">
        <f>+'A) Base RI'!G203+'A) Base RI'!H203+'A) Base RI'!X203</f>
        <v>8969358.4800000004</v>
      </c>
      <c r="K203" s="10">
        <f>+'A) Base RI'!I203</f>
        <v>1912327.79</v>
      </c>
      <c r="L203" s="10">
        <f>+'A) Base RI'!J203</f>
        <v>3427119.1</v>
      </c>
      <c r="M203" s="10">
        <f>+'A) Base RI'!K203</f>
        <v>958188.35</v>
      </c>
      <c r="N203" s="10">
        <f>+'A) Base RI'!Q203</f>
        <v>174414.38</v>
      </c>
      <c r="O203" s="10">
        <f t="shared" si="19"/>
        <v>5573381.4333333336</v>
      </c>
      <c r="P203" s="10">
        <f>+'A) Base RI'!L203</f>
        <v>8360072.1500000004</v>
      </c>
      <c r="Q203" s="412">
        <f>'A) Base RI'!AS203</f>
        <v>1.5</v>
      </c>
      <c r="R203" s="404">
        <f t="shared" si="20"/>
        <v>86359571.243333325</v>
      </c>
      <c r="S203" s="457">
        <f>+'A) Base RI'!AN203</f>
        <v>61</v>
      </c>
      <c r="T203" s="404">
        <f t="shared" si="21"/>
        <v>79828001.459999993</v>
      </c>
      <c r="U203" s="404">
        <f t="shared" si="22"/>
        <v>1415730.6761202184</v>
      </c>
      <c r="V203" s="10">
        <f>+'A) Base RI'!O203</f>
        <v>3180216.45</v>
      </c>
      <c r="W203" s="10">
        <f>+'A) Base RI'!P203</f>
        <v>3803960.5</v>
      </c>
      <c r="X203" s="10">
        <f>+'A) Base RI'!R203</f>
        <v>6244454.2999999998</v>
      </c>
      <c r="Y203" s="404">
        <f t="shared" si="23"/>
        <v>13228631.25</v>
      </c>
      <c r="Z203" s="10">
        <f>+'A) Base RI'!N203</f>
        <v>4660553.0999999996</v>
      </c>
      <c r="AA203" s="10">
        <f>'A) Base RI'!AO203</f>
        <v>21743</v>
      </c>
    </row>
    <row r="204" spans="1:27" x14ac:dyDescent="0.25">
      <c r="A204" s="8">
        <f>'A) Base RI'!A204</f>
        <v>5725</v>
      </c>
      <c r="B204" s="32" t="str">
        <f>'A) Base RI'!B204</f>
        <v>Prangins</v>
      </c>
      <c r="C204" s="10">
        <f>'A) Base RI'!C204+'A) Base RI'!D204</f>
        <v>14780336.039999999</v>
      </c>
      <c r="D204" s="10">
        <f>'A) Base RI'!AP204</f>
        <v>-190443.67</v>
      </c>
      <c r="E204" s="398">
        <f>'A) Base RI'!AQ204</f>
        <v>0</v>
      </c>
      <c r="F204" s="398">
        <f>'A) Base RI'!AR204</f>
        <v>-112665.15</v>
      </c>
      <c r="G204" s="404">
        <f t="shared" si="18"/>
        <v>14477227.219999999</v>
      </c>
      <c r="H204" s="10">
        <f>+'A) Base RI'!E204</f>
        <v>0</v>
      </c>
      <c r="I204" s="10">
        <f>+'A) Base RI'!F204</f>
        <v>0</v>
      </c>
      <c r="J204" s="10">
        <f>+'A) Base RI'!G204+'A) Base RI'!H204+'A) Base RI'!X204</f>
        <v>1067686.97</v>
      </c>
      <c r="K204" s="10">
        <f>+'A) Base RI'!I204</f>
        <v>182065.3</v>
      </c>
      <c r="L204" s="10">
        <f>+'A) Base RI'!J204</f>
        <v>276974.82</v>
      </c>
      <c r="M204" s="10">
        <f>+'A) Base RI'!K204</f>
        <v>-14130.45</v>
      </c>
      <c r="N204" s="10">
        <f>+'A) Base RI'!Q204</f>
        <v>12972.19</v>
      </c>
      <c r="O204" s="10">
        <f t="shared" si="19"/>
        <v>1201475.3214285714</v>
      </c>
      <c r="P204" s="10">
        <f>+'A) Base RI'!L204</f>
        <v>1682065.45</v>
      </c>
      <c r="Q204" s="412">
        <f>'A) Base RI'!AS204</f>
        <v>1.4</v>
      </c>
      <c r="R204" s="404">
        <f t="shared" si="20"/>
        <v>17204271.371428572</v>
      </c>
      <c r="S204" s="457">
        <f>+'A) Base RI'!AN204</f>
        <v>55</v>
      </c>
      <c r="T204" s="404">
        <f t="shared" si="21"/>
        <v>16016926.5</v>
      </c>
      <c r="U204" s="404">
        <f t="shared" si="22"/>
        <v>312804.93402597401</v>
      </c>
      <c r="V204" s="10">
        <f>+'A) Base RI'!O204</f>
        <v>61383.1</v>
      </c>
      <c r="W204" s="10">
        <f>+'A) Base RI'!P204</f>
        <v>474229.25</v>
      </c>
      <c r="X204" s="10">
        <f>+'A) Base RI'!R204</f>
        <v>609396.55000000005</v>
      </c>
      <c r="Y204" s="404">
        <f t="shared" si="23"/>
        <v>1145008.8999999999</v>
      </c>
      <c r="Z204" s="10">
        <f>+'A) Base RI'!N204</f>
        <v>1101910.6000000001</v>
      </c>
      <c r="AA204" s="10">
        <f>'A) Base RI'!AO204</f>
        <v>4101</v>
      </c>
    </row>
    <row r="205" spans="1:27" x14ac:dyDescent="0.25">
      <c r="A205" s="8">
        <f>'A) Base RI'!A205</f>
        <v>5726</v>
      </c>
      <c r="B205" s="32" t="str">
        <f>'A) Base RI'!B205</f>
        <v>La Rippe</v>
      </c>
      <c r="C205" s="10">
        <f>'A) Base RI'!C205+'A) Base RI'!D205</f>
        <v>3964690.68</v>
      </c>
      <c r="D205" s="10">
        <f>'A) Base RI'!AP205</f>
        <v>-76675.289999999994</v>
      </c>
      <c r="E205" s="398">
        <f>'A) Base RI'!AQ205</f>
        <v>0</v>
      </c>
      <c r="F205" s="398">
        <f>'A) Base RI'!AR205</f>
        <v>-6701.86</v>
      </c>
      <c r="G205" s="404">
        <f t="shared" si="18"/>
        <v>3881313.5300000003</v>
      </c>
      <c r="H205" s="10">
        <f>+'A) Base RI'!E205</f>
        <v>0</v>
      </c>
      <c r="I205" s="10">
        <f>+'A) Base RI'!F205</f>
        <v>0</v>
      </c>
      <c r="J205" s="10">
        <f>+'A) Base RI'!G205+'A) Base RI'!H205+'A) Base RI'!X205</f>
        <v>32702</v>
      </c>
      <c r="K205" s="10">
        <f>+'A) Base RI'!I205</f>
        <v>0</v>
      </c>
      <c r="L205" s="10">
        <f>+'A) Base RI'!J205</f>
        <v>123021.68</v>
      </c>
      <c r="M205" s="10">
        <f>+'A) Base RI'!K205</f>
        <v>6611.15</v>
      </c>
      <c r="N205" s="10">
        <f>+'A) Base RI'!Q205</f>
        <v>540.36</v>
      </c>
      <c r="O205" s="10">
        <f t="shared" si="19"/>
        <v>266920.95</v>
      </c>
      <c r="P205" s="10">
        <f>+'A) Base RI'!L205</f>
        <v>266920.95</v>
      </c>
      <c r="Q205" s="412">
        <f>'A) Base RI'!AS205</f>
        <v>1</v>
      </c>
      <c r="R205" s="404">
        <f t="shared" si="20"/>
        <v>4311109.67</v>
      </c>
      <c r="S205" s="457">
        <f>+'A) Base RI'!AN205</f>
        <v>65</v>
      </c>
      <c r="T205" s="404">
        <f t="shared" si="21"/>
        <v>4037577.5700000003</v>
      </c>
      <c r="U205" s="404">
        <f t="shared" si="22"/>
        <v>66324.764153846147</v>
      </c>
      <c r="V205" s="10">
        <f>+'A) Base RI'!O205</f>
        <v>22827.8</v>
      </c>
      <c r="W205" s="10">
        <f>+'A) Base RI'!P205</f>
        <v>272060.79999999999</v>
      </c>
      <c r="X205" s="10">
        <f>+'A) Base RI'!R205</f>
        <v>234275.15</v>
      </c>
      <c r="Y205" s="404">
        <f t="shared" si="23"/>
        <v>529163.75</v>
      </c>
      <c r="Z205" s="10">
        <f>+'A) Base RI'!N205</f>
        <v>38077.35</v>
      </c>
      <c r="AA205" s="10">
        <f>'A) Base RI'!AO205</f>
        <v>1131</v>
      </c>
    </row>
    <row r="206" spans="1:27" x14ac:dyDescent="0.25">
      <c r="A206" s="8">
        <f>'A) Base RI'!A206</f>
        <v>5727</v>
      </c>
      <c r="B206" s="32" t="str">
        <f>'A) Base RI'!B206</f>
        <v>Saint-Cergue</v>
      </c>
      <c r="C206" s="10">
        <f>'A) Base RI'!C206+'A) Base RI'!D206</f>
        <v>6191909.8199999994</v>
      </c>
      <c r="D206" s="10">
        <f>'A) Base RI'!AP206</f>
        <v>-139243.04999999999</v>
      </c>
      <c r="E206" s="398">
        <f>'A) Base RI'!AQ206</f>
        <v>0</v>
      </c>
      <c r="F206" s="398">
        <f>'A) Base RI'!AR206</f>
        <v>-1787.6</v>
      </c>
      <c r="G206" s="404">
        <f t="shared" si="18"/>
        <v>6050879.1699999999</v>
      </c>
      <c r="H206" s="10">
        <f>+'A) Base RI'!E206</f>
        <v>0</v>
      </c>
      <c r="I206" s="10">
        <f>+'A) Base RI'!F206</f>
        <v>0</v>
      </c>
      <c r="J206" s="10">
        <f>+'A) Base RI'!G206+'A) Base RI'!H206+'A) Base RI'!X206</f>
        <v>54455.91</v>
      </c>
      <c r="K206" s="10">
        <f>+'A) Base RI'!I206</f>
        <v>117296</v>
      </c>
      <c r="L206" s="10">
        <f>+'A) Base RI'!J206</f>
        <v>162032.23000000001</v>
      </c>
      <c r="M206" s="10">
        <f>+'A) Base RI'!K206</f>
        <v>12987.55</v>
      </c>
      <c r="N206" s="10">
        <f>+'A) Base RI'!Q206</f>
        <v>15197.2</v>
      </c>
      <c r="O206" s="10">
        <f t="shared" si="19"/>
        <v>525405.33333333337</v>
      </c>
      <c r="P206" s="10">
        <f>+'A) Base RI'!L206</f>
        <v>788108</v>
      </c>
      <c r="Q206" s="412">
        <f>'A) Base RI'!AS206</f>
        <v>1.5</v>
      </c>
      <c r="R206" s="404">
        <f t="shared" si="20"/>
        <v>6938253.3933333335</v>
      </c>
      <c r="S206" s="457">
        <f>+'A) Base RI'!AN206</f>
        <v>66</v>
      </c>
      <c r="T206" s="404">
        <f t="shared" si="21"/>
        <v>6399860.5100000007</v>
      </c>
      <c r="U206" s="404">
        <f t="shared" si="22"/>
        <v>105125.05141414142</v>
      </c>
      <c r="V206" s="10">
        <f>+'A) Base RI'!O206</f>
        <v>28210.9</v>
      </c>
      <c r="W206" s="10">
        <f>+'A) Base RI'!P206</f>
        <v>440442.05</v>
      </c>
      <c r="X206" s="10">
        <f>+'A) Base RI'!R206</f>
        <v>180763</v>
      </c>
      <c r="Y206" s="404">
        <f t="shared" si="23"/>
        <v>649415.94999999995</v>
      </c>
      <c r="Z206" s="10">
        <f>+'A) Base RI'!N206</f>
        <v>191922.4</v>
      </c>
      <c r="AA206" s="10">
        <f>'A) Base RI'!AO206</f>
        <v>2674</v>
      </c>
    </row>
    <row r="207" spans="1:27" x14ac:dyDescent="0.25">
      <c r="A207" s="8">
        <f>'A) Base RI'!A207</f>
        <v>5728</v>
      </c>
      <c r="B207" s="32" t="str">
        <f>'A) Base RI'!B207</f>
        <v>Signy-Avenex</v>
      </c>
      <c r="C207" s="10">
        <f>'A) Base RI'!C207+'A) Base RI'!D207</f>
        <v>1919885.98</v>
      </c>
      <c r="D207" s="10">
        <f>'A) Base RI'!AP207</f>
        <v>-5243.87</v>
      </c>
      <c r="E207" s="398">
        <f>'A) Base RI'!AQ207</f>
        <v>-4197.5</v>
      </c>
      <c r="F207" s="398">
        <f>'A) Base RI'!AR207</f>
        <v>-972.86</v>
      </c>
      <c r="G207" s="404">
        <f t="shared" si="18"/>
        <v>1909471.7499999998</v>
      </c>
      <c r="H207" s="10">
        <f>+'A) Base RI'!E207</f>
        <v>0</v>
      </c>
      <c r="I207" s="10">
        <f>+'A) Base RI'!F207</f>
        <v>0</v>
      </c>
      <c r="J207" s="10">
        <f>+'A) Base RI'!G207+'A) Base RI'!H207+'A) Base RI'!X207</f>
        <v>765364.53</v>
      </c>
      <c r="K207" s="10">
        <f>+'A) Base RI'!I207</f>
        <v>29967.200000000001</v>
      </c>
      <c r="L207" s="10">
        <f>+'A) Base RI'!J207</f>
        <v>-123996.3</v>
      </c>
      <c r="M207" s="10">
        <f>+'A) Base RI'!K207</f>
        <v>51471.45</v>
      </c>
      <c r="N207" s="10">
        <f>+'A) Base RI'!Q207</f>
        <v>84.58</v>
      </c>
      <c r="O207" s="10">
        <f t="shared" si="19"/>
        <v>226272.4</v>
      </c>
      <c r="P207" s="10">
        <f>+'A) Base RI'!L207</f>
        <v>226272.4</v>
      </c>
      <c r="Q207" s="412">
        <f>'A) Base RI'!AS207</f>
        <v>1</v>
      </c>
      <c r="R207" s="404">
        <f t="shared" si="20"/>
        <v>2858635.6100000003</v>
      </c>
      <c r="S207" s="457">
        <f>+'A) Base RI'!AN207</f>
        <v>58</v>
      </c>
      <c r="T207" s="404">
        <f t="shared" si="21"/>
        <v>2580891.7600000002</v>
      </c>
      <c r="U207" s="404">
        <f t="shared" si="22"/>
        <v>49286.820862068969</v>
      </c>
      <c r="V207" s="10">
        <f>+'A) Base RI'!O207</f>
        <v>0</v>
      </c>
      <c r="W207" s="10">
        <f>+'A) Base RI'!P207</f>
        <v>86694.3</v>
      </c>
      <c r="X207" s="10">
        <f>+'A) Base RI'!R207</f>
        <v>23554.2</v>
      </c>
      <c r="Y207" s="404">
        <f t="shared" si="23"/>
        <v>110248.5</v>
      </c>
      <c r="Z207" s="10">
        <f>+'A) Base RI'!N207</f>
        <v>219621.1</v>
      </c>
      <c r="AA207" s="10">
        <f>'A) Base RI'!AO207</f>
        <v>581</v>
      </c>
    </row>
    <row r="208" spans="1:27" x14ac:dyDescent="0.25">
      <c r="A208" s="8">
        <f>'A) Base RI'!A208</f>
        <v>5729</v>
      </c>
      <c r="B208" s="32" t="str">
        <f>'A) Base RI'!B208</f>
        <v>Tannay</v>
      </c>
      <c r="C208" s="10">
        <f>'A) Base RI'!C208+'A) Base RI'!D208</f>
        <v>6711296.9100000001</v>
      </c>
      <c r="D208" s="10">
        <f>'A) Base RI'!AP208</f>
        <v>-174957.96</v>
      </c>
      <c r="E208" s="398">
        <f>'A) Base RI'!AQ208</f>
        <v>0</v>
      </c>
      <c r="F208" s="398">
        <f>'A) Base RI'!AR208</f>
        <v>-15827.25</v>
      </c>
      <c r="G208" s="404">
        <f t="shared" si="18"/>
        <v>6520511.7000000002</v>
      </c>
      <c r="H208" s="10">
        <f>+'A) Base RI'!E208</f>
        <v>0</v>
      </c>
      <c r="I208" s="10">
        <f>+'A) Base RI'!F208</f>
        <v>0</v>
      </c>
      <c r="J208" s="10">
        <f>+'A) Base RI'!G208+'A) Base RI'!H208+'A) Base RI'!X208</f>
        <v>374677.83999999997</v>
      </c>
      <c r="K208" s="10">
        <f>+'A) Base RI'!I208</f>
        <v>137925.35</v>
      </c>
      <c r="L208" s="10">
        <f>+'A) Base RI'!J208</f>
        <v>129611.93</v>
      </c>
      <c r="M208" s="10">
        <f>+'A) Base RI'!K208</f>
        <v>5699.5</v>
      </c>
      <c r="N208" s="10">
        <f>+'A) Base RI'!Q208</f>
        <v>168519.2</v>
      </c>
      <c r="O208" s="10">
        <f t="shared" si="19"/>
        <v>578067.93333333335</v>
      </c>
      <c r="P208" s="10">
        <f>+'A) Base RI'!L208</f>
        <v>867101.9</v>
      </c>
      <c r="Q208" s="412">
        <f>'A) Base RI'!AS208</f>
        <v>1.5</v>
      </c>
      <c r="R208" s="404">
        <f t="shared" si="20"/>
        <v>7915013.4533333331</v>
      </c>
      <c r="S208" s="457">
        <f>+'A) Base RI'!AN208</f>
        <v>60.5</v>
      </c>
      <c r="T208" s="404">
        <f t="shared" si="21"/>
        <v>7331246.0199999996</v>
      </c>
      <c r="U208" s="404">
        <f t="shared" si="22"/>
        <v>130826.66865013774</v>
      </c>
      <c r="V208" s="10">
        <f>+'A) Base RI'!O208</f>
        <v>0</v>
      </c>
      <c r="W208" s="10">
        <f>+'A) Base RI'!P208</f>
        <v>590034.25</v>
      </c>
      <c r="X208" s="10">
        <f>+'A) Base RI'!R208</f>
        <v>532620.6</v>
      </c>
      <c r="Y208" s="404">
        <f t="shared" si="23"/>
        <v>1122654.8500000001</v>
      </c>
      <c r="Z208" s="10">
        <f>+'A) Base RI'!N208</f>
        <v>15293.7</v>
      </c>
      <c r="AA208" s="10">
        <f>'A) Base RI'!AO208</f>
        <v>1636</v>
      </c>
    </row>
    <row r="209" spans="1:27" x14ac:dyDescent="0.25">
      <c r="A209" s="8">
        <f>'A) Base RI'!A209</f>
        <v>5730</v>
      </c>
      <c r="B209" s="32" t="str">
        <f>'A) Base RI'!B209</f>
        <v>Trélex</v>
      </c>
      <c r="C209" s="10">
        <f>'A) Base RI'!C209+'A) Base RI'!D209</f>
        <v>5822307.0700000003</v>
      </c>
      <c r="D209" s="10">
        <f>'A) Base RI'!AP209</f>
        <v>-55826.86</v>
      </c>
      <c r="E209" s="398">
        <f>'A) Base RI'!AQ209</f>
        <v>0</v>
      </c>
      <c r="F209" s="398">
        <f>'A) Base RI'!AR209</f>
        <v>-73593.2</v>
      </c>
      <c r="G209" s="404">
        <f t="shared" si="18"/>
        <v>5692887.0099999998</v>
      </c>
      <c r="H209" s="10">
        <f>+'A) Base RI'!E209</f>
        <v>0</v>
      </c>
      <c r="I209" s="10">
        <f>+'A) Base RI'!F209</f>
        <v>0</v>
      </c>
      <c r="J209" s="10">
        <f>+'A) Base RI'!G209+'A) Base RI'!H209+'A) Base RI'!X209</f>
        <v>-5079.74</v>
      </c>
      <c r="K209" s="10">
        <f>+'A) Base RI'!I209</f>
        <v>66554.25</v>
      </c>
      <c r="L209" s="10">
        <f>+'A) Base RI'!J209</f>
        <v>-1891.14</v>
      </c>
      <c r="M209" s="10">
        <f>+'A) Base RI'!K209</f>
        <v>6900.7</v>
      </c>
      <c r="N209" s="10">
        <f>+'A) Base RI'!Q209</f>
        <v>1316.23</v>
      </c>
      <c r="O209" s="10">
        <f t="shared" si="19"/>
        <v>434555</v>
      </c>
      <c r="P209" s="10">
        <f>+'A) Base RI'!L209</f>
        <v>391099.5</v>
      </c>
      <c r="Q209" s="412">
        <f>'A) Base RI'!AS209</f>
        <v>0.9</v>
      </c>
      <c r="R209" s="404">
        <f t="shared" si="20"/>
        <v>6195242.3100000005</v>
      </c>
      <c r="S209" s="457">
        <f>+'A) Base RI'!AN209</f>
        <v>55.5</v>
      </c>
      <c r="T209" s="404">
        <f t="shared" si="21"/>
        <v>5753786.6100000003</v>
      </c>
      <c r="U209" s="404">
        <f t="shared" si="22"/>
        <v>111625.98756756757</v>
      </c>
      <c r="V209" s="10">
        <f>+'A) Base RI'!O209</f>
        <v>0</v>
      </c>
      <c r="W209" s="10">
        <f>+'A) Base RI'!P209</f>
        <v>552401.6</v>
      </c>
      <c r="X209" s="10">
        <f>+'A) Base RI'!R209</f>
        <v>258777.7</v>
      </c>
      <c r="Y209" s="404">
        <f t="shared" si="23"/>
        <v>811179.3</v>
      </c>
      <c r="Z209" s="10">
        <f>+'A) Base RI'!N209</f>
        <v>7297.75</v>
      </c>
      <c r="AA209" s="10">
        <f>'A) Base RI'!AO209</f>
        <v>1445</v>
      </c>
    </row>
    <row r="210" spans="1:27" x14ac:dyDescent="0.25">
      <c r="A210" s="8">
        <f>'A) Base RI'!A210</f>
        <v>5731</v>
      </c>
      <c r="B210" s="32" t="str">
        <f>'A) Base RI'!B210</f>
        <v>Le Vaud</v>
      </c>
      <c r="C210" s="10">
        <f>'A) Base RI'!C210+'A) Base RI'!D210</f>
        <v>4434804.22</v>
      </c>
      <c r="D210" s="10">
        <f>'A) Base RI'!AP210</f>
        <v>-51330.74</v>
      </c>
      <c r="E210" s="398">
        <f>'A) Base RI'!AQ210</f>
        <v>0</v>
      </c>
      <c r="F210" s="398">
        <f>'A) Base RI'!AR210</f>
        <v>-1476.19</v>
      </c>
      <c r="G210" s="404">
        <f t="shared" si="18"/>
        <v>4381997.2899999991</v>
      </c>
      <c r="H210" s="10">
        <f>+'A) Base RI'!E210</f>
        <v>0</v>
      </c>
      <c r="I210" s="10">
        <f>+'A) Base RI'!F210</f>
        <v>0</v>
      </c>
      <c r="J210" s="10">
        <f>+'A) Base RI'!G210+'A) Base RI'!H210+'A) Base RI'!X210</f>
        <v>11057.35</v>
      </c>
      <c r="K210" s="10">
        <f>+'A) Base RI'!I210</f>
        <v>0</v>
      </c>
      <c r="L210" s="10">
        <f>+'A) Base RI'!J210</f>
        <v>18094.62</v>
      </c>
      <c r="M210" s="10">
        <f>+'A) Base RI'!K210</f>
        <v>2622.5</v>
      </c>
      <c r="N210" s="10">
        <f>+'A) Base RI'!Q210</f>
        <v>49018.96</v>
      </c>
      <c r="O210" s="10">
        <f t="shared" si="19"/>
        <v>268932.56666666665</v>
      </c>
      <c r="P210" s="10">
        <f>+'A) Base RI'!L210</f>
        <v>403398.85</v>
      </c>
      <c r="Q210" s="412">
        <f>'A) Base RI'!AS210</f>
        <v>1.5</v>
      </c>
      <c r="R210" s="404">
        <f t="shared" si="20"/>
        <v>4731723.2866666652</v>
      </c>
      <c r="S210" s="457">
        <f>+'A) Base RI'!AN210</f>
        <v>74</v>
      </c>
      <c r="T210" s="404">
        <f t="shared" si="21"/>
        <v>4460168.2199999988</v>
      </c>
      <c r="U210" s="404">
        <f t="shared" si="22"/>
        <v>63942.206576576558</v>
      </c>
      <c r="V210" s="10">
        <f>+'A) Base RI'!O210</f>
        <v>1782</v>
      </c>
      <c r="W210" s="10">
        <f>+'A) Base RI'!P210</f>
        <v>164927.15</v>
      </c>
      <c r="X210" s="10">
        <f>+'A) Base RI'!R210</f>
        <v>122290</v>
      </c>
      <c r="Y210" s="404">
        <f t="shared" si="23"/>
        <v>288999.15000000002</v>
      </c>
      <c r="Z210" s="10">
        <f>+'A) Base RI'!N210</f>
        <v>25723.95</v>
      </c>
      <c r="AA210" s="10">
        <f>'A) Base RI'!AO210</f>
        <v>1366</v>
      </c>
    </row>
    <row r="211" spans="1:27" x14ac:dyDescent="0.25">
      <c r="A211" s="8">
        <f>'A) Base RI'!A211</f>
        <v>5732</v>
      </c>
      <c r="B211" s="32" t="str">
        <f>'A) Base RI'!B211</f>
        <v>Vich</v>
      </c>
      <c r="C211" s="10">
        <f>'A) Base RI'!C211+'A) Base RI'!D211</f>
        <v>3808691.95</v>
      </c>
      <c r="D211" s="10">
        <f>'A) Base RI'!AP211</f>
        <v>-53257.83</v>
      </c>
      <c r="E211" s="398">
        <f>'A) Base RI'!AQ211</f>
        <v>0</v>
      </c>
      <c r="F211" s="398">
        <f>'A) Base RI'!AR211</f>
        <v>-6869.3</v>
      </c>
      <c r="G211" s="404">
        <f t="shared" si="18"/>
        <v>3748564.8200000003</v>
      </c>
      <c r="H211" s="10">
        <f>+'A) Base RI'!E211</f>
        <v>0</v>
      </c>
      <c r="I211" s="10">
        <f>+'A) Base RI'!F211</f>
        <v>0</v>
      </c>
      <c r="J211" s="10">
        <f>+'A) Base RI'!G211+'A) Base RI'!H211+'A) Base RI'!X211</f>
        <v>30998.230000000003</v>
      </c>
      <c r="K211" s="10">
        <f>+'A) Base RI'!I211</f>
        <v>257945.60000000001</v>
      </c>
      <c r="L211" s="10">
        <f>+'A) Base RI'!J211</f>
        <v>40696.36</v>
      </c>
      <c r="M211" s="10">
        <f>+'A) Base RI'!K211</f>
        <v>23683.599999999999</v>
      </c>
      <c r="N211" s="10">
        <f>+'A) Base RI'!Q211</f>
        <v>3664.05</v>
      </c>
      <c r="O211" s="10">
        <f t="shared" si="19"/>
        <v>367886.6</v>
      </c>
      <c r="P211" s="10">
        <f>+'A) Base RI'!L211</f>
        <v>367886.6</v>
      </c>
      <c r="Q211" s="412">
        <f>'A) Base RI'!AS211</f>
        <v>1</v>
      </c>
      <c r="R211" s="404">
        <f t="shared" si="20"/>
        <v>4473439.26</v>
      </c>
      <c r="S211" s="457">
        <f>+'A) Base RI'!AN211</f>
        <v>63</v>
      </c>
      <c r="T211" s="404">
        <f t="shared" si="21"/>
        <v>4081869.06</v>
      </c>
      <c r="U211" s="404">
        <f t="shared" si="22"/>
        <v>71006.972380952371</v>
      </c>
      <c r="V211" s="10">
        <f>+'A) Base RI'!O211</f>
        <v>0</v>
      </c>
      <c r="W211" s="10">
        <f>+'A) Base RI'!P211</f>
        <v>364237.1</v>
      </c>
      <c r="X211" s="10">
        <f>+'A) Base RI'!R211</f>
        <v>166940.45000000001</v>
      </c>
      <c r="Y211" s="404">
        <f t="shared" si="23"/>
        <v>531177.55000000005</v>
      </c>
      <c r="Z211" s="10">
        <f>+'A) Base RI'!N211</f>
        <v>118685.7</v>
      </c>
      <c r="AA211" s="10">
        <f>'A) Base RI'!AO211</f>
        <v>1156</v>
      </c>
    </row>
    <row r="212" spans="1:27" x14ac:dyDescent="0.25">
      <c r="A212" s="8">
        <f>'A) Base RI'!A212</f>
        <v>5741</v>
      </c>
      <c r="B212" s="32" t="str">
        <f>'A) Base RI'!B212</f>
        <v>L'Abergement</v>
      </c>
      <c r="C212" s="10">
        <f>'A) Base RI'!C212+'A) Base RI'!D212</f>
        <v>563032.44999999995</v>
      </c>
      <c r="D212" s="10">
        <f>'A) Base RI'!AP212</f>
        <v>-15207.92</v>
      </c>
      <c r="E212" s="398">
        <f>'A) Base RI'!AQ212</f>
        <v>0</v>
      </c>
      <c r="F212" s="398">
        <f>'A) Base RI'!AR212</f>
        <v>-0.06</v>
      </c>
      <c r="G212" s="404">
        <f t="shared" si="18"/>
        <v>547824.46999999986</v>
      </c>
      <c r="H212" s="10">
        <f>+'A) Base RI'!E212</f>
        <v>0</v>
      </c>
      <c r="I212" s="10">
        <f>+'A) Base RI'!F212</f>
        <v>1440</v>
      </c>
      <c r="J212" s="10">
        <f>+'A) Base RI'!G212+'A) Base RI'!H212+'A) Base RI'!X212</f>
        <v>6114.7400000000007</v>
      </c>
      <c r="K212" s="10">
        <f>+'A) Base RI'!I212</f>
        <v>0</v>
      </c>
      <c r="L212" s="10">
        <f>+'A) Base RI'!J212</f>
        <v>1112.07</v>
      </c>
      <c r="M212" s="10">
        <f>+'A) Base RI'!K212</f>
        <v>0</v>
      </c>
      <c r="N212" s="10">
        <f>+'A) Base RI'!Q212</f>
        <v>565.82000000000005</v>
      </c>
      <c r="O212" s="10">
        <f t="shared" si="19"/>
        <v>39826.208333333336</v>
      </c>
      <c r="P212" s="10">
        <f>+'A) Base RI'!L212</f>
        <v>47791.45</v>
      </c>
      <c r="Q212" s="412">
        <f>'A) Base RI'!AS212</f>
        <v>1.2</v>
      </c>
      <c r="R212" s="404">
        <f t="shared" si="20"/>
        <v>596883.30833333312</v>
      </c>
      <c r="S212" s="457">
        <f>+'A) Base RI'!AN212</f>
        <v>81</v>
      </c>
      <c r="T212" s="404">
        <f t="shared" si="21"/>
        <v>555617.09999999974</v>
      </c>
      <c r="U212" s="404">
        <f t="shared" si="22"/>
        <v>7368.9297325102852</v>
      </c>
      <c r="V212" s="10">
        <f>+'A) Base RI'!O212</f>
        <v>0</v>
      </c>
      <c r="W212" s="10">
        <f>+'A) Base RI'!P212</f>
        <v>18196.75</v>
      </c>
      <c r="X212" s="10">
        <f>+'A) Base RI'!R212</f>
        <v>25927.95</v>
      </c>
      <c r="Y212" s="404">
        <f t="shared" si="23"/>
        <v>44124.7</v>
      </c>
      <c r="Z212" s="10">
        <f>+'A) Base RI'!N212</f>
        <v>10634.3</v>
      </c>
      <c r="AA212" s="10">
        <f>'A) Base RI'!AO212</f>
        <v>256</v>
      </c>
    </row>
    <row r="213" spans="1:27" x14ac:dyDescent="0.25">
      <c r="A213" s="8">
        <f>'A) Base RI'!A213</f>
        <v>5742</v>
      </c>
      <c r="B213" s="32" t="str">
        <f>'A) Base RI'!B213</f>
        <v>Agiez</v>
      </c>
      <c r="C213" s="10">
        <f>'A) Base RI'!C213+'A) Base RI'!D213</f>
        <v>610453.72</v>
      </c>
      <c r="D213" s="10">
        <f>'A) Base RI'!AP213</f>
        <v>-10427.08</v>
      </c>
      <c r="E213" s="398">
        <f>'A) Base RI'!AQ213</f>
        <v>0</v>
      </c>
      <c r="F213" s="398">
        <f>'A) Base RI'!AR213</f>
        <v>-62.6</v>
      </c>
      <c r="G213" s="404">
        <f t="shared" si="18"/>
        <v>599964.04</v>
      </c>
      <c r="H213" s="10">
        <f>+'A) Base RI'!E213</f>
        <v>0</v>
      </c>
      <c r="I213" s="10">
        <f>+'A) Base RI'!F213</f>
        <v>0</v>
      </c>
      <c r="J213" s="10">
        <f>+'A) Base RI'!G213+'A) Base RI'!H213+'A) Base RI'!X213</f>
        <v>3509.8</v>
      </c>
      <c r="K213" s="10">
        <f>+'A) Base RI'!I213</f>
        <v>0</v>
      </c>
      <c r="L213" s="10">
        <f>+'A) Base RI'!J213</f>
        <v>24170.26</v>
      </c>
      <c r="M213" s="10">
        <f>+'A) Base RI'!K213</f>
        <v>-6690.2</v>
      </c>
      <c r="N213" s="10">
        <f>+'A) Base RI'!Q213</f>
        <v>5903.49</v>
      </c>
      <c r="O213" s="10">
        <f t="shared" si="19"/>
        <v>54113</v>
      </c>
      <c r="P213" s="10">
        <f>+'A) Base RI'!L213</f>
        <v>27056.5</v>
      </c>
      <c r="Q213" s="412">
        <f>'A) Base RI'!AS213</f>
        <v>0.5</v>
      </c>
      <c r="R213" s="404">
        <f t="shared" si="20"/>
        <v>680970.39000000013</v>
      </c>
      <c r="S213" s="457">
        <f>+'A) Base RI'!AN213</f>
        <v>76</v>
      </c>
      <c r="T213" s="404">
        <f t="shared" si="21"/>
        <v>633547.59000000008</v>
      </c>
      <c r="U213" s="404">
        <f t="shared" si="22"/>
        <v>8960.136710526318</v>
      </c>
      <c r="V213" s="10">
        <f>+'A) Base RI'!O213</f>
        <v>178.2</v>
      </c>
      <c r="W213" s="10">
        <f>+'A) Base RI'!P213</f>
        <v>17490</v>
      </c>
      <c r="X213" s="10">
        <f>+'A) Base RI'!R213</f>
        <v>14262</v>
      </c>
      <c r="Y213" s="404">
        <f t="shared" si="23"/>
        <v>31930.2</v>
      </c>
      <c r="Z213" s="10">
        <f>+'A) Base RI'!N213</f>
        <v>0</v>
      </c>
      <c r="AA213" s="10">
        <f>'A) Base RI'!AO213</f>
        <v>377</v>
      </c>
    </row>
    <row r="214" spans="1:27" x14ac:dyDescent="0.25">
      <c r="A214" s="8">
        <f>'A) Base RI'!A214</f>
        <v>5743</v>
      </c>
      <c r="B214" s="32" t="str">
        <f>'A) Base RI'!B214</f>
        <v>Arnex-sur-Orbe</v>
      </c>
      <c r="C214" s="10">
        <f>'A) Base RI'!C214+'A) Base RI'!D214</f>
        <v>1361087.59</v>
      </c>
      <c r="D214" s="10">
        <f>'A) Base RI'!AP214</f>
        <v>-3376.36</v>
      </c>
      <c r="E214" s="398">
        <f>'A) Base RI'!AQ214</f>
        <v>0</v>
      </c>
      <c r="F214" s="398">
        <f>'A) Base RI'!AR214</f>
        <v>-639.04999999999995</v>
      </c>
      <c r="G214" s="404">
        <f t="shared" si="18"/>
        <v>1357072.18</v>
      </c>
      <c r="H214" s="10">
        <f>+'A) Base RI'!E214</f>
        <v>0</v>
      </c>
      <c r="I214" s="10">
        <f>+'A) Base RI'!F214</f>
        <v>0</v>
      </c>
      <c r="J214" s="10">
        <f>+'A) Base RI'!G214+'A) Base RI'!H214+'A) Base RI'!X214</f>
        <v>13075.94</v>
      </c>
      <c r="K214" s="10">
        <f>+'A) Base RI'!I214</f>
        <v>0</v>
      </c>
      <c r="L214" s="10">
        <f>+'A) Base RI'!J214</f>
        <v>437.06</v>
      </c>
      <c r="M214" s="10">
        <f>+'A) Base RI'!K214</f>
        <v>0</v>
      </c>
      <c r="N214" s="10">
        <f>+'A) Base RI'!Q214</f>
        <v>1628.95</v>
      </c>
      <c r="O214" s="10">
        <f t="shared" si="19"/>
        <v>86806.375</v>
      </c>
      <c r="P214" s="10">
        <f>+'A) Base RI'!L214</f>
        <v>69445.100000000006</v>
      </c>
      <c r="Q214" s="412">
        <f>'A) Base RI'!AS214</f>
        <v>0.8</v>
      </c>
      <c r="R214" s="404">
        <f t="shared" si="20"/>
        <v>1459020.5049999999</v>
      </c>
      <c r="S214" s="457">
        <f>+'A) Base RI'!AN214</f>
        <v>71</v>
      </c>
      <c r="T214" s="404">
        <f t="shared" si="21"/>
        <v>1372214.13</v>
      </c>
      <c r="U214" s="404">
        <f t="shared" si="22"/>
        <v>20549.584577464786</v>
      </c>
      <c r="V214" s="10">
        <f>+'A) Base RI'!O214</f>
        <v>-33.799999999999997</v>
      </c>
      <c r="W214" s="10">
        <f>+'A) Base RI'!P214</f>
        <v>38323.949999999997</v>
      </c>
      <c r="X214" s="10">
        <f>+'A) Base RI'!R214</f>
        <v>13143.1</v>
      </c>
      <c r="Y214" s="404">
        <f t="shared" si="23"/>
        <v>51433.249999999993</v>
      </c>
      <c r="Z214" s="10">
        <f>+'A) Base RI'!N214</f>
        <v>24432.05</v>
      </c>
      <c r="AA214" s="10">
        <f>'A) Base RI'!AO214</f>
        <v>637</v>
      </c>
    </row>
    <row r="215" spans="1:27" x14ac:dyDescent="0.25">
      <c r="A215" s="8">
        <f>'A) Base RI'!A215</f>
        <v>5744</v>
      </c>
      <c r="B215" s="32" t="str">
        <f>'A) Base RI'!B215</f>
        <v>Ballaigues</v>
      </c>
      <c r="C215" s="10">
        <f>'A) Base RI'!C215+'A) Base RI'!D215</f>
        <v>1514866.86</v>
      </c>
      <c r="D215" s="10">
        <f>'A) Base RI'!AP215</f>
        <v>-58554.74</v>
      </c>
      <c r="E215" s="398">
        <f>'A) Base RI'!AQ215</f>
        <v>0</v>
      </c>
      <c r="F215" s="398">
        <f>'A) Base RI'!AR215</f>
        <v>-1693.86</v>
      </c>
      <c r="G215" s="404">
        <f t="shared" si="18"/>
        <v>1454618.26</v>
      </c>
      <c r="H215" s="10">
        <f>+'A) Base RI'!E215</f>
        <v>0</v>
      </c>
      <c r="I215" s="10">
        <f>+'A) Base RI'!F215</f>
        <v>0</v>
      </c>
      <c r="J215" s="10">
        <f>+'A) Base RI'!G215+'A) Base RI'!H215+'A) Base RI'!X215</f>
        <v>868815.82000000007</v>
      </c>
      <c r="K215" s="10">
        <f>+'A) Base RI'!I215</f>
        <v>0</v>
      </c>
      <c r="L215" s="10">
        <f>+'A) Base RI'!J215</f>
        <v>125282.45</v>
      </c>
      <c r="M215" s="10">
        <f>+'A) Base RI'!K215</f>
        <v>0</v>
      </c>
      <c r="N215" s="10">
        <f>+'A) Base RI'!Q215</f>
        <v>318.24</v>
      </c>
      <c r="O215" s="10">
        <f t="shared" si="19"/>
        <v>180433.55</v>
      </c>
      <c r="P215" s="10">
        <f>+'A) Base RI'!L215</f>
        <v>180433.55</v>
      </c>
      <c r="Q215" s="412">
        <f>'A) Base RI'!AS215</f>
        <v>1</v>
      </c>
      <c r="R215" s="404">
        <f t="shared" si="20"/>
        <v>2629468.3200000003</v>
      </c>
      <c r="S215" s="457">
        <f>+'A) Base RI'!AN215</f>
        <v>65</v>
      </c>
      <c r="T215" s="404">
        <f t="shared" si="21"/>
        <v>2449034.7700000005</v>
      </c>
      <c r="U215" s="404">
        <f t="shared" si="22"/>
        <v>40453.358769230777</v>
      </c>
      <c r="V215" s="10">
        <f>+'A) Base RI'!O215</f>
        <v>38907.9</v>
      </c>
      <c r="W215" s="10">
        <f>+'A) Base RI'!P215</f>
        <v>81541.3</v>
      </c>
      <c r="X215" s="10">
        <f>+'A) Base RI'!R215</f>
        <v>36949.5</v>
      </c>
      <c r="Y215" s="404">
        <f t="shared" si="23"/>
        <v>157398.70000000001</v>
      </c>
      <c r="Z215" s="10">
        <f>+'A) Base RI'!N215</f>
        <v>1275736.1499999999</v>
      </c>
      <c r="AA215" s="10">
        <f>'A) Base RI'!AO215</f>
        <v>1143</v>
      </c>
    </row>
    <row r="216" spans="1:27" x14ac:dyDescent="0.25">
      <c r="A216" s="8">
        <f>'A) Base RI'!A216</f>
        <v>5745</v>
      </c>
      <c r="B216" s="32" t="str">
        <f>'A) Base RI'!B216</f>
        <v>Baulmes</v>
      </c>
      <c r="C216" s="10">
        <f>'A) Base RI'!C216+'A) Base RI'!D216</f>
        <v>1886265.67</v>
      </c>
      <c r="D216" s="10">
        <f>'A) Base RI'!AP216</f>
        <v>-29461.5</v>
      </c>
      <c r="E216" s="398">
        <f>'A) Base RI'!AQ216</f>
        <v>0</v>
      </c>
      <c r="F216" s="398">
        <f>'A) Base RI'!AR216</f>
        <v>-64.849999999999994</v>
      </c>
      <c r="G216" s="404">
        <f t="shared" si="18"/>
        <v>1856739.3199999998</v>
      </c>
      <c r="H216" s="10">
        <f>+'A) Base RI'!E216</f>
        <v>0</v>
      </c>
      <c r="I216" s="10">
        <f>+'A) Base RI'!F216</f>
        <v>0</v>
      </c>
      <c r="J216" s="10">
        <f>+'A) Base RI'!G216+'A) Base RI'!H216+'A) Base RI'!X216</f>
        <v>15618.720000000001</v>
      </c>
      <c r="K216" s="10">
        <f>+'A) Base RI'!I216</f>
        <v>0</v>
      </c>
      <c r="L216" s="10">
        <f>+'A) Base RI'!J216</f>
        <v>29002.38</v>
      </c>
      <c r="M216" s="10">
        <f>+'A) Base RI'!K216</f>
        <v>0</v>
      </c>
      <c r="N216" s="10">
        <f>+'A) Base RI'!Q216</f>
        <v>14623.15</v>
      </c>
      <c r="O216" s="10">
        <f t="shared" si="19"/>
        <v>136327</v>
      </c>
      <c r="P216" s="10">
        <f>+'A) Base RI'!L216</f>
        <v>136327</v>
      </c>
      <c r="Q216" s="412">
        <f>'A) Base RI'!AS216</f>
        <v>1</v>
      </c>
      <c r="R216" s="404">
        <f t="shared" si="20"/>
        <v>2052310.5699999996</v>
      </c>
      <c r="S216" s="457">
        <f>+'A) Base RI'!AN216</f>
        <v>76.5</v>
      </c>
      <c r="T216" s="404">
        <f t="shared" si="21"/>
        <v>1915983.5699999996</v>
      </c>
      <c r="U216" s="404">
        <f t="shared" si="22"/>
        <v>26827.589150326792</v>
      </c>
      <c r="V216" s="10">
        <f>+'A) Base RI'!O216</f>
        <v>3960</v>
      </c>
      <c r="W216" s="10">
        <f>+'A) Base RI'!P216</f>
        <v>61580.6</v>
      </c>
      <c r="X216" s="10">
        <f>+'A) Base RI'!R216</f>
        <v>23032.15</v>
      </c>
      <c r="Y216" s="404">
        <f t="shared" si="23"/>
        <v>88572.75</v>
      </c>
      <c r="Z216" s="10">
        <f>+'A) Base RI'!N216</f>
        <v>205276.15</v>
      </c>
      <c r="AA216" s="10">
        <f>'A) Base RI'!AO216</f>
        <v>1074</v>
      </c>
    </row>
    <row r="217" spans="1:27" x14ac:dyDescent="0.25">
      <c r="A217" s="8">
        <f>'A) Base RI'!A217</f>
        <v>5746</v>
      </c>
      <c r="B217" s="32" t="str">
        <f>'A) Base RI'!B217</f>
        <v>Bavois</v>
      </c>
      <c r="C217" s="10">
        <f>'A) Base RI'!C217+'A) Base RI'!D217</f>
        <v>1998174.1099999999</v>
      </c>
      <c r="D217" s="10">
        <f>'A) Base RI'!AP217</f>
        <v>-16408.57</v>
      </c>
      <c r="E217" s="398">
        <f>'A) Base RI'!AQ217</f>
        <v>0</v>
      </c>
      <c r="F217" s="398">
        <f>'A) Base RI'!AR217</f>
        <v>-57.41</v>
      </c>
      <c r="G217" s="404">
        <f t="shared" si="18"/>
        <v>1981708.13</v>
      </c>
      <c r="H217" s="10">
        <f>+'A) Base RI'!E217</f>
        <v>0</v>
      </c>
      <c r="I217" s="10">
        <f>+'A) Base RI'!F217</f>
        <v>0</v>
      </c>
      <c r="J217" s="10">
        <f>+'A) Base RI'!G217+'A) Base RI'!H217+'A) Base RI'!X217</f>
        <v>7628.1299999999992</v>
      </c>
      <c r="K217" s="10">
        <f>+'A) Base RI'!I217</f>
        <v>0</v>
      </c>
      <c r="L217" s="10">
        <f>+'A) Base RI'!J217</f>
        <v>15801.14</v>
      </c>
      <c r="M217" s="10">
        <f>+'A) Base RI'!K217</f>
        <v>19580.25</v>
      </c>
      <c r="N217" s="10">
        <f>+'A) Base RI'!Q217</f>
        <v>21672.13</v>
      </c>
      <c r="O217" s="10">
        <f t="shared" si="19"/>
        <v>177672.83333333334</v>
      </c>
      <c r="P217" s="10">
        <f>+'A) Base RI'!L217</f>
        <v>213207.4</v>
      </c>
      <c r="Q217" s="412">
        <f>'A) Base RI'!AS217</f>
        <v>1.2</v>
      </c>
      <c r="R217" s="404">
        <f t="shared" si="20"/>
        <v>2224062.6133333328</v>
      </c>
      <c r="S217" s="457">
        <f>+'A) Base RI'!AN217</f>
        <v>73</v>
      </c>
      <c r="T217" s="404">
        <f t="shared" si="21"/>
        <v>2026809.5299999996</v>
      </c>
      <c r="U217" s="404">
        <f t="shared" si="22"/>
        <v>30466.611141552505</v>
      </c>
      <c r="V217" s="10">
        <f>+'A) Base RI'!O217</f>
        <v>250149</v>
      </c>
      <c r="W217" s="10">
        <f>+'A) Base RI'!P217</f>
        <v>87804.15</v>
      </c>
      <c r="X217" s="10">
        <f>+'A) Base RI'!R217</f>
        <v>58860.95</v>
      </c>
      <c r="Y217" s="404">
        <f t="shared" si="23"/>
        <v>396814.10000000003</v>
      </c>
      <c r="Z217" s="10">
        <f>+'A) Base RI'!N217</f>
        <v>22104.3</v>
      </c>
      <c r="AA217" s="10">
        <f>'A) Base RI'!AO217</f>
        <v>994</v>
      </c>
    </row>
    <row r="218" spans="1:27" x14ac:dyDescent="0.25">
      <c r="A218" s="8">
        <f>'A) Base RI'!A218</f>
        <v>5747</v>
      </c>
      <c r="B218" s="32" t="str">
        <f>'A) Base RI'!B218</f>
        <v>Bofflens</v>
      </c>
      <c r="C218" s="10">
        <f>'A) Base RI'!C218+'A) Base RI'!D218</f>
        <v>320146.84999999998</v>
      </c>
      <c r="D218" s="10">
        <f>'A) Base RI'!AP218</f>
        <v>-88.84</v>
      </c>
      <c r="E218" s="398">
        <f>'A) Base RI'!AQ218</f>
        <v>0</v>
      </c>
      <c r="F218" s="398">
        <f>'A) Base RI'!AR218</f>
        <v>0</v>
      </c>
      <c r="G218" s="404">
        <f t="shared" si="18"/>
        <v>320058.00999999995</v>
      </c>
      <c r="H218" s="10">
        <f>+'A) Base RI'!E218</f>
        <v>0</v>
      </c>
      <c r="I218" s="10">
        <f>+'A) Base RI'!F218</f>
        <v>0</v>
      </c>
      <c r="J218" s="10">
        <f>+'A) Base RI'!G218+'A) Base RI'!H218+'A) Base RI'!X218</f>
        <v>23098.230000000003</v>
      </c>
      <c r="K218" s="10">
        <f>+'A) Base RI'!I218</f>
        <v>0</v>
      </c>
      <c r="L218" s="10">
        <f>+'A) Base RI'!J218</f>
        <v>11774.59</v>
      </c>
      <c r="M218" s="10">
        <f>+'A) Base RI'!K218</f>
        <v>0</v>
      </c>
      <c r="N218" s="10">
        <f>+'A) Base RI'!Q218</f>
        <v>0</v>
      </c>
      <c r="O218" s="10">
        <f t="shared" si="19"/>
        <v>32074.9</v>
      </c>
      <c r="P218" s="10">
        <f>+'A) Base RI'!L218</f>
        <v>32074.9</v>
      </c>
      <c r="Q218" s="412">
        <f>'A) Base RI'!AS218</f>
        <v>1</v>
      </c>
      <c r="R218" s="404">
        <f t="shared" si="20"/>
        <v>387005.73</v>
      </c>
      <c r="S218" s="457">
        <f>+'A) Base RI'!AN218</f>
        <v>69</v>
      </c>
      <c r="T218" s="404">
        <f t="shared" si="21"/>
        <v>354930.82999999996</v>
      </c>
      <c r="U218" s="404">
        <f t="shared" si="22"/>
        <v>5608.7786956521741</v>
      </c>
      <c r="V218" s="10">
        <f>+'A) Base RI'!O218</f>
        <v>0</v>
      </c>
      <c r="W218" s="10">
        <f>+'A) Base RI'!P218</f>
        <v>26165.599999999999</v>
      </c>
      <c r="X218" s="10">
        <f>+'A) Base RI'!R218</f>
        <v>22602.1</v>
      </c>
      <c r="Y218" s="404">
        <f t="shared" si="23"/>
        <v>48767.7</v>
      </c>
      <c r="Z218" s="10">
        <f>+'A) Base RI'!N218</f>
        <v>0</v>
      </c>
      <c r="AA218" s="10">
        <f>'A) Base RI'!AO218</f>
        <v>206</v>
      </c>
    </row>
    <row r="219" spans="1:27" x14ac:dyDescent="0.25">
      <c r="A219" s="8">
        <f>'A) Base RI'!A219</f>
        <v>5748</v>
      </c>
      <c r="B219" s="32" t="str">
        <f>'A) Base RI'!B219</f>
        <v>Bretonnières</v>
      </c>
      <c r="C219" s="10">
        <f>'A) Base RI'!C219+'A) Base RI'!D219</f>
        <v>363718.05</v>
      </c>
      <c r="D219" s="10">
        <f>'A) Base RI'!AP219</f>
        <v>-11543.63</v>
      </c>
      <c r="E219" s="398">
        <f>'A) Base RI'!AQ219</f>
        <v>0</v>
      </c>
      <c r="F219" s="398">
        <f>'A) Base RI'!AR219</f>
        <v>0</v>
      </c>
      <c r="G219" s="404">
        <f t="shared" si="18"/>
        <v>352174.42</v>
      </c>
      <c r="H219" s="10">
        <f>+'A) Base RI'!E219</f>
        <v>0</v>
      </c>
      <c r="I219" s="10">
        <f>+'A) Base RI'!F219</f>
        <v>2130</v>
      </c>
      <c r="J219" s="10">
        <f>+'A) Base RI'!G219+'A) Base RI'!H219+'A) Base RI'!X219</f>
        <v>3994.01</v>
      </c>
      <c r="K219" s="10">
        <f>+'A) Base RI'!I219</f>
        <v>0</v>
      </c>
      <c r="L219" s="10">
        <f>+'A) Base RI'!J219</f>
        <v>193.7</v>
      </c>
      <c r="M219" s="10">
        <f>+'A) Base RI'!K219</f>
        <v>0</v>
      </c>
      <c r="N219" s="10">
        <f>+'A) Base RI'!Q219</f>
        <v>12216.72</v>
      </c>
      <c r="O219" s="10">
        <f t="shared" si="19"/>
        <v>37485.333333333336</v>
      </c>
      <c r="P219" s="10">
        <f>+'A) Base RI'!L219</f>
        <v>22491.200000000001</v>
      </c>
      <c r="Q219" s="412">
        <f>'A) Base RI'!AS219</f>
        <v>0.6</v>
      </c>
      <c r="R219" s="404">
        <f t="shared" si="20"/>
        <v>408194.18333333329</v>
      </c>
      <c r="S219" s="457">
        <f>+'A) Base RI'!AN219</f>
        <v>70.5</v>
      </c>
      <c r="T219" s="404">
        <f t="shared" si="21"/>
        <v>368578.85</v>
      </c>
      <c r="U219" s="404">
        <f t="shared" si="22"/>
        <v>5789.9884160756492</v>
      </c>
      <c r="V219" s="10">
        <f>+'A) Base RI'!O219</f>
        <v>0</v>
      </c>
      <c r="W219" s="10">
        <f>+'A) Base RI'!P219</f>
        <v>7315</v>
      </c>
      <c r="X219" s="10">
        <f>+'A) Base RI'!R219</f>
        <v>21476.05</v>
      </c>
      <c r="Y219" s="404">
        <f t="shared" si="23"/>
        <v>28791.05</v>
      </c>
      <c r="Z219" s="10">
        <f>+'A) Base RI'!N219</f>
        <v>0</v>
      </c>
      <c r="AA219" s="10">
        <f>'A) Base RI'!AO219</f>
        <v>268</v>
      </c>
    </row>
    <row r="220" spans="1:27" x14ac:dyDescent="0.25">
      <c r="A220" s="8">
        <f>'A) Base RI'!A220</f>
        <v>5749</v>
      </c>
      <c r="B220" s="32" t="str">
        <f>'A) Base RI'!B220</f>
        <v>Chavornay</v>
      </c>
      <c r="C220" s="10">
        <f>'A) Base RI'!C220+'A) Base RI'!D220</f>
        <v>8799982.25</v>
      </c>
      <c r="D220" s="10">
        <f>'A) Base RI'!AP220</f>
        <v>-272346.67</v>
      </c>
      <c r="E220" s="398">
        <f>'A) Base RI'!AQ220</f>
        <v>0</v>
      </c>
      <c r="F220" s="398">
        <f>'A) Base RI'!AR220</f>
        <v>-3645.56</v>
      </c>
      <c r="G220" s="404">
        <f t="shared" si="18"/>
        <v>8523990.0199999996</v>
      </c>
      <c r="H220" s="10">
        <f>+'A) Base RI'!E220</f>
        <v>0</v>
      </c>
      <c r="I220" s="10">
        <f>+'A) Base RI'!F220</f>
        <v>0</v>
      </c>
      <c r="J220" s="10">
        <f>+'A) Base RI'!G220+'A) Base RI'!H220+'A) Base RI'!X220</f>
        <v>147028.80999999988</v>
      </c>
      <c r="K220" s="10">
        <f>+'A) Base RI'!I220</f>
        <v>0</v>
      </c>
      <c r="L220" s="10">
        <f>+'A) Base RI'!J220</f>
        <v>210085.08</v>
      </c>
      <c r="M220" s="10">
        <f>+'A) Base RI'!K220</f>
        <v>49595.7</v>
      </c>
      <c r="N220" s="10">
        <f>+'A) Base RI'!Q220</f>
        <v>153959.79999999999</v>
      </c>
      <c r="O220" s="10">
        <f t="shared" si="19"/>
        <v>833055.5</v>
      </c>
      <c r="P220" s="10">
        <f>+'A) Base RI'!L220</f>
        <v>833055.5</v>
      </c>
      <c r="Q220" s="412">
        <f>'A) Base RI'!AS220</f>
        <v>1</v>
      </c>
      <c r="R220" s="404">
        <f t="shared" si="20"/>
        <v>9917714.9100000001</v>
      </c>
      <c r="S220" s="457">
        <f>+'A) Base RI'!AN220</f>
        <v>70.5</v>
      </c>
      <c r="T220" s="404">
        <f t="shared" si="21"/>
        <v>9035063.7100000009</v>
      </c>
      <c r="U220" s="404">
        <f t="shared" si="22"/>
        <v>140676.80723404256</v>
      </c>
      <c r="V220" s="10">
        <f>+'A) Base RI'!O220</f>
        <v>121500</v>
      </c>
      <c r="W220" s="10">
        <f>+'A) Base RI'!P220</f>
        <v>392838.5</v>
      </c>
      <c r="X220" s="10">
        <f>+'A) Base RI'!R220</f>
        <v>232311.1</v>
      </c>
      <c r="Y220" s="404">
        <f t="shared" si="23"/>
        <v>746649.59999999998</v>
      </c>
      <c r="Z220" s="10">
        <f>+'A) Base RI'!N220</f>
        <v>712723.2</v>
      </c>
      <c r="AA220" s="10">
        <f>'A) Base RI'!AO220</f>
        <v>5227</v>
      </c>
    </row>
    <row r="221" spans="1:27" x14ac:dyDescent="0.25">
      <c r="A221" s="8">
        <f>'A) Base RI'!A221</f>
        <v>5750</v>
      </c>
      <c r="B221" s="32" t="str">
        <f>'A) Base RI'!B221</f>
        <v>Les Clées</v>
      </c>
      <c r="C221" s="10">
        <f>'A) Base RI'!C221+'A) Base RI'!D221</f>
        <v>467724.95</v>
      </c>
      <c r="D221" s="10">
        <f>'A) Base RI'!AP221</f>
        <v>-7429.7</v>
      </c>
      <c r="E221" s="398">
        <f>'A) Base RI'!AQ221</f>
        <v>0</v>
      </c>
      <c r="F221" s="398">
        <f>'A) Base RI'!AR221</f>
        <v>-1085.29</v>
      </c>
      <c r="G221" s="404">
        <f t="shared" si="18"/>
        <v>459209.96</v>
      </c>
      <c r="H221" s="10">
        <f>+'A) Base RI'!E221</f>
        <v>0</v>
      </c>
      <c r="I221" s="10">
        <f>+'A) Base RI'!F221</f>
        <v>1130</v>
      </c>
      <c r="J221" s="10">
        <f>+'A) Base RI'!G221+'A) Base RI'!H221+'A) Base RI'!X221</f>
        <v>-77.05</v>
      </c>
      <c r="K221" s="10">
        <f>+'A) Base RI'!I221</f>
        <v>0</v>
      </c>
      <c r="L221" s="10">
        <f>+'A) Base RI'!J221</f>
        <v>-3129.71</v>
      </c>
      <c r="M221" s="10">
        <f>+'A) Base RI'!K221</f>
        <v>15.55</v>
      </c>
      <c r="N221" s="10">
        <f>+'A) Base RI'!Q221</f>
        <v>3011.5</v>
      </c>
      <c r="O221" s="10">
        <f t="shared" si="19"/>
        <v>22875.25</v>
      </c>
      <c r="P221" s="10">
        <f>+'A) Base RI'!L221</f>
        <v>13725.15</v>
      </c>
      <c r="Q221" s="412">
        <f>'A) Base RI'!AS221</f>
        <v>0.6</v>
      </c>
      <c r="R221" s="404">
        <f t="shared" si="20"/>
        <v>483035.5</v>
      </c>
      <c r="S221" s="457">
        <f>+'A) Base RI'!AN221</f>
        <v>80</v>
      </c>
      <c r="T221" s="404">
        <f t="shared" si="21"/>
        <v>459014.7</v>
      </c>
      <c r="U221" s="404">
        <f t="shared" si="22"/>
        <v>6037.9437500000004</v>
      </c>
      <c r="V221" s="10">
        <f>+'A) Base RI'!O221</f>
        <v>15.7</v>
      </c>
      <c r="W221" s="10">
        <f>+'A) Base RI'!P221</f>
        <v>1080.95</v>
      </c>
      <c r="X221" s="10">
        <f>+'A) Base RI'!R221</f>
        <v>0</v>
      </c>
      <c r="Y221" s="404">
        <f t="shared" si="23"/>
        <v>1096.6500000000001</v>
      </c>
      <c r="Z221" s="10">
        <f>+'A) Base RI'!N221</f>
        <v>7784.9</v>
      </c>
      <c r="AA221" s="10">
        <f>'A) Base RI'!AO221</f>
        <v>187</v>
      </c>
    </row>
    <row r="222" spans="1:27" x14ac:dyDescent="0.25">
      <c r="A222" s="8">
        <f>'A) Base RI'!A222</f>
        <v>5752</v>
      </c>
      <c r="B222" s="32" t="str">
        <f>'A) Base RI'!B222</f>
        <v>Croy</v>
      </c>
      <c r="C222" s="10">
        <f>'A) Base RI'!C222+'A) Base RI'!D222</f>
        <v>636258.16999999993</v>
      </c>
      <c r="D222" s="10">
        <f>'A) Base RI'!AP222</f>
        <v>-23961.74</v>
      </c>
      <c r="E222" s="398">
        <f>'A) Base RI'!AQ222</f>
        <v>0</v>
      </c>
      <c r="F222" s="398">
        <f>'A) Base RI'!AR222</f>
        <v>-67.73</v>
      </c>
      <c r="G222" s="404">
        <f t="shared" si="18"/>
        <v>612228.69999999995</v>
      </c>
      <c r="H222" s="10">
        <f>+'A) Base RI'!E222</f>
        <v>0</v>
      </c>
      <c r="I222" s="10">
        <f>+'A) Base RI'!F222</f>
        <v>0</v>
      </c>
      <c r="J222" s="10">
        <f>+'A) Base RI'!G222+'A) Base RI'!H222+'A) Base RI'!X222</f>
        <v>12558.24</v>
      </c>
      <c r="K222" s="10">
        <f>+'A) Base RI'!I222</f>
        <v>0</v>
      </c>
      <c r="L222" s="10">
        <f>+'A) Base RI'!J222</f>
        <v>10649.79</v>
      </c>
      <c r="M222" s="10">
        <f>+'A) Base RI'!K222</f>
        <v>833.4</v>
      </c>
      <c r="N222" s="10">
        <f>+'A) Base RI'!Q222</f>
        <v>0</v>
      </c>
      <c r="O222" s="10">
        <f t="shared" si="19"/>
        <v>60572.857142857145</v>
      </c>
      <c r="P222" s="10">
        <f>+'A) Base RI'!L222</f>
        <v>42401</v>
      </c>
      <c r="Q222" s="412">
        <f>'A) Base RI'!AS222</f>
        <v>0.7</v>
      </c>
      <c r="R222" s="404">
        <f t="shared" si="20"/>
        <v>696842.98714285716</v>
      </c>
      <c r="S222" s="457">
        <f>+'A) Base RI'!AN222</f>
        <v>74</v>
      </c>
      <c r="T222" s="404">
        <f t="shared" si="21"/>
        <v>635436.73</v>
      </c>
      <c r="U222" s="404">
        <f t="shared" si="22"/>
        <v>9416.7971235521236</v>
      </c>
      <c r="V222" s="10">
        <f>+'A) Base RI'!O222</f>
        <v>1430.1</v>
      </c>
      <c r="W222" s="10">
        <f>+'A) Base RI'!P222</f>
        <v>20277.599999999999</v>
      </c>
      <c r="X222" s="10">
        <f>+'A) Base RI'!R222</f>
        <v>25630.6</v>
      </c>
      <c r="Y222" s="404">
        <f t="shared" si="23"/>
        <v>47338.299999999996</v>
      </c>
      <c r="Z222" s="10">
        <f>+'A) Base RI'!N222</f>
        <v>34854.65</v>
      </c>
      <c r="AA222" s="10">
        <f>'A) Base RI'!AO222</f>
        <v>397</v>
      </c>
    </row>
    <row r="223" spans="1:27" x14ac:dyDescent="0.25">
      <c r="A223" s="8">
        <f>'A) Base RI'!A223</f>
        <v>5754</v>
      </c>
      <c r="B223" s="32" t="str">
        <f>'A) Base RI'!B223</f>
        <v>Juriens</v>
      </c>
      <c r="C223" s="10">
        <f>'A) Base RI'!C223+'A) Base RI'!D223</f>
        <v>587230.06000000006</v>
      </c>
      <c r="D223" s="10">
        <f>'A) Base RI'!AP223</f>
        <v>705.93</v>
      </c>
      <c r="E223" s="398">
        <f>'A) Base RI'!AQ223</f>
        <v>0</v>
      </c>
      <c r="F223" s="398">
        <f>'A) Base RI'!AR223</f>
        <v>-85.63</v>
      </c>
      <c r="G223" s="404">
        <f t="shared" si="18"/>
        <v>587850.3600000001</v>
      </c>
      <c r="H223" s="10">
        <f>+'A) Base RI'!E223</f>
        <v>0</v>
      </c>
      <c r="I223" s="10">
        <f>+'A) Base RI'!F223</f>
        <v>0</v>
      </c>
      <c r="J223" s="10">
        <f>+'A) Base RI'!G223+'A) Base RI'!H223+'A) Base RI'!X223</f>
        <v>2142.1799999999998</v>
      </c>
      <c r="K223" s="10">
        <f>+'A) Base RI'!I223</f>
        <v>0</v>
      </c>
      <c r="L223" s="10">
        <f>+'A) Base RI'!J223</f>
        <v>2830.32</v>
      </c>
      <c r="M223" s="10">
        <f>+'A) Base RI'!K223</f>
        <v>1588.5</v>
      </c>
      <c r="N223" s="10">
        <f>+'A) Base RI'!Q223</f>
        <v>-837.37</v>
      </c>
      <c r="O223" s="10">
        <f t="shared" si="19"/>
        <v>41885.1</v>
      </c>
      <c r="P223" s="10">
        <f>+'A) Base RI'!L223</f>
        <v>41885.1</v>
      </c>
      <c r="Q223" s="412">
        <f>'A) Base RI'!AS223</f>
        <v>1</v>
      </c>
      <c r="R223" s="404">
        <f t="shared" si="20"/>
        <v>635459.09000000008</v>
      </c>
      <c r="S223" s="457">
        <f>+'A) Base RI'!AN223</f>
        <v>79</v>
      </c>
      <c r="T223" s="404">
        <f t="shared" si="21"/>
        <v>591985.49000000011</v>
      </c>
      <c r="U223" s="404">
        <f t="shared" si="22"/>
        <v>8043.7859493670894</v>
      </c>
      <c r="V223" s="10">
        <f>+'A) Base RI'!O223</f>
        <v>1386</v>
      </c>
      <c r="W223" s="10">
        <f>+'A) Base RI'!P223</f>
        <v>21175</v>
      </c>
      <c r="X223" s="10">
        <f>+'A) Base RI'!R223</f>
        <v>1849.15</v>
      </c>
      <c r="Y223" s="404">
        <f t="shared" si="23"/>
        <v>24410.15</v>
      </c>
      <c r="Z223" s="10">
        <f>+'A) Base RI'!N223</f>
        <v>0</v>
      </c>
      <c r="AA223" s="10">
        <f>'A) Base RI'!AO223</f>
        <v>336</v>
      </c>
    </row>
    <row r="224" spans="1:27" x14ac:dyDescent="0.25">
      <c r="A224" s="8">
        <f>'A) Base RI'!A224</f>
        <v>5755</v>
      </c>
      <c r="B224" s="32" t="str">
        <f>'A) Base RI'!B224</f>
        <v>Lignerolle</v>
      </c>
      <c r="C224" s="10">
        <f>'A) Base RI'!C224+'A) Base RI'!D224</f>
        <v>637041.67999999993</v>
      </c>
      <c r="D224" s="10">
        <f>'A) Base RI'!AP224</f>
        <v>-2212.75</v>
      </c>
      <c r="E224" s="398">
        <f>'A) Base RI'!AQ224</f>
        <v>0</v>
      </c>
      <c r="F224" s="398">
        <f>'A) Base RI'!AR224</f>
        <v>0</v>
      </c>
      <c r="G224" s="404">
        <f t="shared" si="18"/>
        <v>634828.92999999993</v>
      </c>
      <c r="H224" s="10">
        <f>+'A) Base RI'!E224</f>
        <v>0</v>
      </c>
      <c r="I224" s="10">
        <f>+'A) Base RI'!F224</f>
        <v>0</v>
      </c>
      <c r="J224" s="10">
        <f>+'A) Base RI'!G224+'A) Base RI'!H224+'A) Base RI'!X224</f>
        <v>8488.41</v>
      </c>
      <c r="K224" s="10">
        <f>+'A) Base RI'!I224</f>
        <v>0</v>
      </c>
      <c r="L224" s="10">
        <f>+'A) Base RI'!J224</f>
        <v>2001.7</v>
      </c>
      <c r="M224" s="10">
        <f>+'A) Base RI'!K224</f>
        <v>2533.1</v>
      </c>
      <c r="N224" s="10">
        <f>+'A) Base RI'!Q224</f>
        <v>355.56</v>
      </c>
      <c r="O224" s="10">
        <f t="shared" si="19"/>
        <v>62631.285714285717</v>
      </c>
      <c r="P224" s="10">
        <f>+'A) Base RI'!L224</f>
        <v>43841.9</v>
      </c>
      <c r="Q224" s="412">
        <f>'A) Base RI'!AS224</f>
        <v>0.7</v>
      </c>
      <c r="R224" s="404">
        <f t="shared" si="20"/>
        <v>710838.98571428563</v>
      </c>
      <c r="S224" s="457">
        <f>+'A) Base RI'!AN224</f>
        <v>78.5</v>
      </c>
      <c r="T224" s="404">
        <f t="shared" si="21"/>
        <v>645674.6</v>
      </c>
      <c r="U224" s="404">
        <f t="shared" si="22"/>
        <v>9055.2737033666963</v>
      </c>
      <c r="V224" s="10">
        <f>+'A) Base RI'!O224</f>
        <v>251932.6</v>
      </c>
      <c r="W224" s="10">
        <f>+'A) Base RI'!P224</f>
        <v>7650.5</v>
      </c>
      <c r="X224" s="10">
        <f>+'A) Base RI'!R224</f>
        <v>11972.4</v>
      </c>
      <c r="Y224" s="404">
        <f t="shared" si="23"/>
        <v>271555.5</v>
      </c>
      <c r="Z224" s="10">
        <f>+'A) Base RI'!N224</f>
        <v>23527.15</v>
      </c>
      <c r="AA224" s="10">
        <f>'A) Base RI'!AO224</f>
        <v>435</v>
      </c>
    </row>
    <row r="225" spans="1:27" x14ac:dyDescent="0.25">
      <c r="A225" s="8">
        <f>'A) Base RI'!A225</f>
        <v>5756</v>
      </c>
      <c r="B225" s="32" t="str">
        <f>'A) Base RI'!B225</f>
        <v>Montcherand</v>
      </c>
      <c r="C225" s="10">
        <f>'A) Base RI'!C225+'A) Base RI'!D225</f>
        <v>1029609.37</v>
      </c>
      <c r="D225" s="10">
        <f>'A) Base RI'!AP225</f>
        <v>-9371.33</v>
      </c>
      <c r="E225" s="398">
        <f>'A) Base RI'!AQ225</f>
        <v>0</v>
      </c>
      <c r="F225" s="398">
        <f>'A) Base RI'!AR225</f>
        <v>-1791.32</v>
      </c>
      <c r="G225" s="404">
        <f t="shared" si="18"/>
        <v>1018446.7200000001</v>
      </c>
      <c r="H225" s="10">
        <f>+'A) Base RI'!E225</f>
        <v>0</v>
      </c>
      <c r="I225" s="10">
        <f>+'A) Base RI'!F225</f>
        <v>0</v>
      </c>
      <c r="J225" s="10">
        <f>+'A) Base RI'!G225+'A) Base RI'!H225+'A) Base RI'!X225</f>
        <v>19442.45</v>
      </c>
      <c r="K225" s="10">
        <f>+'A) Base RI'!I225</f>
        <v>0</v>
      </c>
      <c r="L225" s="10">
        <f>+'A) Base RI'!J225</f>
        <v>7518.7</v>
      </c>
      <c r="M225" s="10">
        <f>+'A) Base RI'!K225</f>
        <v>-349.6</v>
      </c>
      <c r="N225" s="10">
        <f>+'A) Base RI'!Q225</f>
        <v>2224.9499999999998</v>
      </c>
      <c r="O225" s="10">
        <f t="shared" si="19"/>
        <v>87315</v>
      </c>
      <c r="P225" s="10">
        <f>+'A) Base RI'!L225</f>
        <v>87315</v>
      </c>
      <c r="Q225" s="412">
        <f>'A) Base RI'!AS225</f>
        <v>1</v>
      </c>
      <c r="R225" s="404">
        <f t="shared" si="20"/>
        <v>1134598.22</v>
      </c>
      <c r="S225" s="457">
        <f>+'A) Base RI'!AN225</f>
        <v>72</v>
      </c>
      <c r="T225" s="404">
        <f t="shared" si="21"/>
        <v>1047632.82</v>
      </c>
      <c r="U225" s="404">
        <f t="shared" si="22"/>
        <v>15758.308611111112</v>
      </c>
      <c r="V225" s="10">
        <f>+'A) Base RI'!O225</f>
        <v>0</v>
      </c>
      <c r="W225" s="10">
        <f>+'A) Base RI'!P225</f>
        <v>38445</v>
      </c>
      <c r="X225" s="10">
        <f>+'A) Base RI'!R225</f>
        <v>49479.25</v>
      </c>
      <c r="Y225" s="404">
        <f t="shared" si="23"/>
        <v>87924.25</v>
      </c>
      <c r="Z225" s="10">
        <f>+'A) Base RI'!N225</f>
        <v>34587.5</v>
      </c>
      <c r="AA225" s="10">
        <f>'A) Base RI'!AO225</f>
        <v>506</v>
      </c>
    </row>
    <row r="226" spans="1:27" x14ac:dyDescent="0.25">
      <c r="A226" s="8">
        <f>'A) Base RI'!A226</f>
        <v>5757</v>
      </c>
      <c r="B226" s="32" t="str">
        <f>'A) Base RI'!B226</f>
        <v>Orbe</v>
      </c>
      <c r="C226" s="10">
        <f>'A) Base RI'!C226+'A) Base RI'!D226</f>
        <v>12293958.949999999</v>
      </c>
      <c r="D226" s="10">
        <f>'A) Base RI'!AP226</f>
        <v>-281564.02</v>
      </c>
      <c r="E226" s="398">
        <f>'A) Base RI'!AQ226</f>
        <v>0</v>
      </c>
      <c r="F226" s="398">
        <f>'A) Base RI'!AR226</f>
        <v>-2912.13</v>
      </c>
      <c r="G226" s="404">
        <f t="shared" si="18"/>
        <v>12009482.799999999</v>
      </c>
      <c r="H226" s="10">
        <f>+'A) Base RI'!E226</f>
        <v>0</v>
      </c>
      <c r="I226" s="10">
        <f>+'A) Base RI'!F226</f>
        <v>0</v>
      </c>
      <c r="J226" s="10">
        <f>+'A) Base RI'!G226+'A) Base RI'!H226+'A) Base RI'!X226</f>
        <v>1185696.78</v>
      </c>
      <c r="K226" s="10">
        <f>+'A) Base RI'!I226</f>
        <v>0</v>
      </c>
      <c r="L226" s="10">
        <f>+'A) Base RI'!J226</f>
        <v>437458.61</v>
      </c>
      <c r="M226" s="10">
        <f>+'A) Base RI'!K226</f>
        <v>171329.3</v>
      </c>
      <c r="N226" s="10">
        <f>+'A) Base RI'!Q226</f>
        <v>22444.84</v>
      </c>
      <c r="O226" s="10">
        <f t="shared" si="19"/>
        <v>1559237</v>
      </c>
      <c r="P226" s="10">
        <f>+'A) Base RI'!L226</f>
        <v>1559237</v>
      </c>
      <c r="Q226" s="412">
        <f>'A) Base RI'!AS226</f>
        <v>1</v>
      </c>
      <c r="R226" s="404">
        <f t="shared" si="20"/>
        <v>15385649.329999998</v>
      </c>
      <c r="S226" s="457">
        <f>+'A) Base RI'!AN226</f>
        <v>75.5</v>
      </c>
      <c r="T226" s="404">
        <f t="shared" si="21"/>
        <v>13655083.029999997</v>
      </c>
      <c r="U226" s="404">
        <f t="shared" si="22"/>
        <v>203783.43483443707</v>
      </c>
      <c r="V226" s="10">
        <f>+'A) Base RI'!O226</f>
        <v>201441.5</v>
      </c>
      <c r="W226" s="10">
        <f>+'A) Base RI'!P226</f>
        <v>769220.45</v>
      </c>
      <c r="X226" s="10">
        <f>+'A) Base RI'!R226</f>
        <v>235922.25</v>
      </c>
      <c r="Y226" s="404">
        <f t="shared" si="23"/>
        <v>1206584.2</v>
      </c>
      <c r="Z226" s="10">
        <f>+'A) Base RI'!N226</f>
        <v>2913726.35</v>
      </c>
      <c r="AA226" s="10">
        <f>'A) Base RI'!AO226</f>
        <v>7124</v>
      </c>
    </row>
    <row r="227" spans="1:27" x14ac:dyDescent="0.25">
      <c r="A227" s="8">
        <f>'A) Base RI'!A227</f>
        <v>5758</v>
      </c>
      <c r="B227" s="32" t="str">
        <f>'A) Base RI'!B227</f>
        <v>La Praz</v>
      </c>
      <c r="C227" s="10">
        <f>'A) Base RI'!C227+'A) Base RI'!D227</f>
        <v>319010.27999999997</v>
      </c>
      <c r="D227" s="10">
        <f>'A) Base RI'!AP227</f>
        <v>-249.75</v>
      </c>
      <c r="E227" s="398">
        <f>'A) Base RI'!AQ227</f>
        <v>0</v>
      </c>
      <c r="F227" s="398">
        <f>'A) Base RI'!AR227</f>
        <v>0</v>
      </c>
      <c r="G227" s="404">
        <f t="shared" si="18"/>
        <v>318760.52999999997</v>
      </c>
      <c r="H227" s="10">
        <f>+'A) Base RI'!E227</f>
        <v>0</v>
      </c>
      <c r="I227" s="10">
        <f>+'A) Base RI'!F227</f>
        <v>920</v>
      </c>
      <c r="J227" s="10">
        <f>+'A) Base RI'!G227+'A) Base RI'!H227+'A) Base RI'!X227</f>
        <v>7027.55</v>
      </c>
      <c r="K227" s="10">
        <f>+'A) Base RI'!I227</f>
        <v>0</v>
      </c>
      <c r="L227" s="10">
        <f>+'A) Base RI'!J227</f>
        <v>3129.12</v>
      </c>
      <c r="M227" s="10">
        <f>+'A) Base RI'!K227</f>
        <v>0</v>
      </c>
      <c r="N227" s="10">
        <f>+'A) Base RI'!Q227</f>
        <v>0</v>
      </c>
      <c r="O227" s="10">
        <f t="shared" si="19"/>
        <v>28174.5</v>
      </c>
      <c r="P227" s="10">
        <f>+'A) Base RI'!L227</f>
        <v>25357.05</v>
      </c>
      <c r="Q227" s="412">
        <f>'A) Base RI'!AS227</f>
        <v>0.9</v>
      </c>
      <c r="R227" s="404">
        <f t="shared" si="20"/>
        <v>358011.69999999995</v>
      </c>
      <c r="S227" s="457">
        <f>+'A) Base RI'!AN227</f>
        <v>83</v>
      </c>
      <c r="T227" s="404">
        <f t="shared" si="21"/>
        <v>328917.19999999995</v>
      </c>
      <c r="U227" s="404">
        <f t="shared" si="22"/>
        <v>4313.3939759036139</v>
      </c>
      <c r="V227" s="10">
        <f>+'A) Base RI'!O227</f>
        <v>2917.6</v>
      </c>
      <c r="W227" s="10">
        <f>+'A) Base RI'!P227</f>
        <v>17141.55</v>
      </c>
      <c r="X227" s="10">
        <f>+'A) Base RI'!R227</f>
        <v>874.8</v>
      </c>
      <c r="Y227" s="404">
        <f t="shared" si="23"/>
        <v>20933.949999999997</v>
      </c>
      <c r="Z227" s="10">
        <f>+'A) Base RI'!N227</f>
        <v>6425.4</v>
      </c>
      <c r="AA227" s="10">
        <f>'A) Base RI'!AO227</f>
        <v>175</v>
      </c>
    </row>
    <row r="228" spans="1:27" x14ac:dyDescent="0.25">
      <c r="A228" s="8">
        <f>'A) Base RI'!A228</f>
        <v>5759</v>
      </c>
      <c r="B228" s="32" t="str">
        <f>'A) Base RI'!B228</f>
        <v>Premier</v>
      </c>
      <c r="C228" s="10">
        <f>'A) Base RI'!C228+'A) Base RI'!D228</f>
        <v>383041.89</v>
      </c>
      <c r="D228" s="10">
        <f>'A) Base RI'!AP228</f>
        <v>-8201.16</v>
      </c>
      <c r="E228" s="398">
        <f>'A) Base RI'!AQ228</f>
        <v>0</v>
      </c>
      <c r="F228" s="398">
        <f>'A) Base RI'!AR228</f>
        <v>-543.04</v>
      </c>
      <c r="G228" s="404">
        <f t="shared" si="18"/>
        <v>374297.69000000006</v>
      </c>
      <c r="H228" s="10">
        <f>+'A) Base RI'!E228</f>
        <v>0</v>
      </c>
      <c r="I228" s="10">
        <f>+'A) Base RI'!F228</f>
        <v>0</v>
      </c>
      <c r="J228" s="10">
        <f>+'A) Base RI'!G228+'A) Base RI'!H228+'A) Base RI'!X228</f>
        <v>980.29</v>
      </c>
      <c r="K228" s="10">
        <f>+'A) Base RI'!I228</f>
        <v>0</v>
      </c>
      <c r="L228" s="10">
        <f>+'A) Base RI'!J228</f>
        <v>2926.91</v>
      </c>
      <c r="M228" s="10">
        <f>+'A) Base RI'!K228</f>
        <v>242.95</v>
      </c>
      <c r="N228" s="10">
        <f>+'A) Base RI'!Q228</f>
        <v>12976.44</v>
      </c>
      <c r="O228" s="10">
        <f t="shared" si="19"/>
        <v>30520.7</v>
      </c>
      <c r="P228" s="10">
        <f>+'A) Base RI'!L228</f>
        <v>30520.7</v>
      </c>
      <c r="Q228" s="412">
        <f>'A) Base RI'!AS228</f>
        <v>1</v>
      </c>
      <c r="R228" s="404">
        <f t="shared" si="20"/>
        <v>421944.98000000004</v>
      </c>
      <c r="S228" s="457">
        <f>+'A) Base RI'!AN228</f>
        <v>79.5</v>
      </c>
      <c r="T228" s="404">
        <f t="shared" si="21"/>
        <v>391181.33</v>
      </c>
      <c r="U228" s="404">
        <f t="shared" si="22"/>
        <v>5307.4840251572332</v>
      </c>
      <c r="V228" s="10">
        <f>+'A) Base RI'!O228</f>
        <v>0</v>
      </c>
      <c r="W228" s="10">
        <f>+'A) Base RI'!P228</f>
        <v>22605</v>
      </c>
      <c r="X228" s="10">
        <f>+'A) Base RI'!R228</f>
        <v>17548.650000000001</v>
      </c>
      <c r="Y228" s="404">
        <f t="shared" si="23"/>
        <v>40153.65</v>
      </c>
      <c r="Z228" s="10">
        <f>+'A) Base RI'!N228</f>
        <v>1530.1</v>
      </c>
      <c r="AA228" s="10">
        <f>'A) Base RI'!AO228</f>
        <v>218</v>
      </c>
    </row>
    <row r="229" spans="1:27" x14ac:dyDescent="0.25">
      <c r="A229" s="8">
        <f>'A) Base RI'!A229</f>
        <v>5760</v>
      </c>
      <c r="B229" s="32" t="str">
        <f>'A) Base RI'!B229</f>
        <v>Rances</v>
      </c>
      <c r="C229" s="10">
        <f>'A) Base RI'!C229+'A) Base RI'!D229</f>
        <v>918442.07</v>
      </c>
      <c r="D229" s="10">
        <f>'A) Base RI'!AP229</f>
        <v>-25144.9</v>
      </c>
      <c r="E229" s="398">
        <f>'A) Base RI'!AQ229</f>
        <v>0</v>
      </c>
      <c r="F229" s="398">
        <f>'A) Base RI'!AR229</f>
        <v>-1893.53</v>
      </c>
      <c r="G229" s="404">
        <f t="shared" si="18"/>
        <v>891403.6399999999</v>
      </c>
      <c r="H229" s="10">
        <f>+'A) Base RI'!E229</f>
        <v>0</v>
      </c>
      <c r="I229" s="10">
        <f>+'A) Base RI'!F229</f>
        <v>0</v>
      </c>
      <c r="J229" s="10">
        <f>+'A) Base RI'!G229+'A) Base RI'!H229+'A) Base RI'!X229</f>
        <v>3188.6</v>
      </c>
      <c r="K229" s="10">
        <f>+'A) Base RI'!I229</f>
        <v>0</v>
      </c>
      <c r="L229" s="10">
        <f>+'A) Base RI'!J229</f>
        <v>832.32</v>
      </c>
      <c r="M229" s="10">
        <f>+'A) Base RI'!K229</f>
        <v>0</v>
      </c>
      <c r="N229" s="10">
        <f>+'A) Base RI'!Q229</f>
        <v>10272.66</v>
      </c>
      <c r="O229" s="10">
        <f t="shared" si="19"/>
        <v>75493.233333333337</v>
      </c>
      <c r="P229" s="10">
        <f>+'A) Base RI'!L229</f>
        <v>113239.85</v>
      </c>
      <c r="Q229" s="412">
        <f>'A) Base RI'!AS229</f>
        <v>1.5</v>
      </c>
      <c r="R229" s="404">
        <f t="shared" si="20"/>
        <v>981190.45333333313</v>
      </c>
      <c r="S229" s="457">
        <f>+'A) Base RI'!AN229</f>
        <v>76.5</v>
      </c>
      <c r="T229" s="404">
        <f t="shared" si="21"/>
        <v>905697.21999999986</v>
      </c>
      <c r="U229" s="404">
        <f t="shared" si="22"/>
        <v>12826.018997821348</v>
      </c>
      <c r="V229" s="10">
        <f>+'A) Base RI'!O229</f>
        <v>11202.7</v>
      </c>
      <c r="W229" s="10">
        <f>+'A) Base RI'!P229</f>
        <v>44138.9</v>
      </c>
      <c r="X229" s="10">
        <f>+'A) Base RI'!R229</f>
        <v>40310.300000000003</v>
      </c>
      <c r="Y229" s="404">
        <f t="shared" si="23"/>
        <v>95651.900000000009</v>
      </c>
      <c r="Z229" s="10">
        <f>+'A) Base RI'!N229</f>
        <v>22152.05</v>
      </c>
      <c r="AA229" s="10">
        <f>'A) Base RI'!AO229</f>
        <v>513</v>
      </c>
    </row>
    <row r="230" spans="1:27" x14ac:dyDescent="0.25">
      <c r="A230" s="8">
        <f>'A) Base RI'!A230</f>
        <v>5761</v>
      </c>
      <c r="B230" s="32" t="str">
        <f>'A) Base RI'!B230</f>
        <v>Romainmôtier-Envy</v>
      </c>
      <c r="C230" s="10">
        <f>'A) Base RI'!C230+'A) Base RI'!D230</f>
        <v>903066.24</v>
      </c>
      <c r="D230" s="10">
        <f>'A) Base RI'!AP230</f>
        <v>-23743.54</v>
      </c>
      <c r="E230" s="398">
        <f>'A) Base RI'!AQ230</f>
        <v>0</v>
      </c>
      <c r="F230" s="398">
        <f>'A) Base RI'!AR230</f>
        <v>0</v>
      </c>
      <c r="G230" s="404">
        <f t="shared" si="18"/>
        <v>879322.7</v>
      </c>
      <c r="H230" s="10">
        <f>+'A) Base RI'!E230</f>
        <v>0</v>
      </c>
      <c r="I230" s="10">
        <f>+'A) Base RI'!F230</f>
        <v>0</v>
      </c>
      <c r="J230" s="10">
        <f>+'A) Base RI'!G230+'A) Base RI'!H230+'A) Base RI'!X230</f>
        <v>5124.09</v>
      </c>
      <c r="K230" s="10">
        <f>+'A) Base RI'!I230</f>
        <v>0</v>
      </c>
      <c r="L230" s="10">
        <f>+'A) Base RI'!J230</f>
        <v>11547.56</v>
      </c>
      <c r="M230" s="10">
        <f>+'A) Base RI'!K230</f>
        <v>3997.55</v>
      </c>
      <c r="N230" s="10">
        <f>+'A) Base RI'!Q230</f>
        <v>0</v>
      </c>
      <c r="O230" s="10">
        <f t="shared" si="19"/>
        <v>82943.454545454544</v>
      </c>
      <c r="P230" s="10">
        <f>+'A) Base RI'!L230</f>
        <v>91237.8</v>
      </c>
      <c r="Q230" s="412">
        <f>'A) Base RI'!AS230</f>
        <v>1.1000000000000001</v>
      </c>
      <c r="R230" s="404">
        <f t="shared" si="20"/>
        <v>982935.35454545461</v>
      </c>
      <c r="S230" s="457">
        <f>+'A) Base RI'!AN230</f>
        <v>81</v>
      </c>
      <c r="T230" s="404">
        <f t="shared" si="21"/>
        <v>895994.35</v>
      </c>
      <c r="U230" s="404">
        <f t="shared" si="22"/>
        <v>12135.004377104378</v>
      </c>
      <c r="V230" s="10">
        <f>+'A) Base RI'!O230</f>
        <v>8830.5</v>
      </c>
      <c r="W230" s="10">
        <f>+'A) Base RI'!P230</f>
        <v>77623.199999999997</v>
      </c>
      <c r="X230" s="10">
        <f>+'A) Base RI'!R230</f>
        <v>48004.25</v>
      </c>
      <c r="Y230" s="404">
        <f t="shared" si="23"/>
        <v>134457.95000000001</v>
      </c>
      <c r="Z230" s="10">
        <f>+'A) Base RI'!N230</f>
        <v>62764.25</v>
      </c>
      <c r="AA230" s="10">
        <f>'A) Base RI'!AO230</f>
        <v>525</v>
      </c>
    </row>
    <row r="231" spans="1:27" x14ac:dyDescent="0.25">
      <c r="A231" s="8">
        <f>'A) Base RI'!A231</f>
        <v>5762</v>
      </c>
      <c r="B231" s="32" t="str">
        <f>'A) Base RI'!B231</f>
        <v>Sergey</v>
      </c>
      <c r="C231" s="10">
        <f>'A) Base RI'!C231+'A) Base RI'!D231</f>
        <v>270626.64</v>
      </c>
      <c r="D231" s="10">
        <f>'A) Base RI'!AP231</f>
        <v>-62.44</v>
      </c>
      <c r="E231" s="398">
        <f>'A) Base RI'!AQ231</f>
        <v>0</v>
      </c>
      <c r="F231" s="398">
        <f>'A) Base RI'!AR231</f>
        <v>0</v>
      </c>
      <c r="G231" s="404">
        <f t="shared" si="18"/>
        <v>270564.2</v>
      </c>
      <c r="H231" s="10">
        <f>+'A) Base RI'!E231</f>
        <v>0</v>
      </c>
      <c r="I231" s="10">
        <f>+'A) Base RI'!F231</f>
        <v>0</v>
      </c>
      <c r="J231" s="10">
        <f>+'A) Base RI'!G231+'A) Base RI'!H231+'A) Base RI'!X231</f>
        <v>4218.5</v>
      </c>
      <c r="K231" s="10">
        <f>+'A) Base RI'!I231</f>
        <v>0</v>
      </c>
      <c r="L231" s="10">
        <f>+'A) Base RI'!J231</f>
        <v>-1087.5</v>
      </c>
      <c r="M231" s="10">
        <f>+'A) Base RI'!K231</f>
        <v>75</v>
      </c>
      <c r="N231" s="10">
        <f>+'A) Base RI'!Q231</f>
        <v>9.4</v>
      </c>
      <c r="O231" s="10">
        <f t="shared" si="19"/>
        <v>20516.599999999999</v>
      </c>
      <c r="P231" s="10">
        <f>+'A) Base RI'!L231</f>
        <v>20516.599999999999</v>
      </c>
      <c r="Q231" s="412">
        <f>'A) Base RI'!AS231</f>
        <v>1</v>
      </c>
      <c r="R231" s="404">
        <f t="shared" si="20"/>
        <v>294296.2</v>
      </c>
      <c r="S231" s="457">
        <f>+'A) Base RI'!AN231</f>
        <v>78</v>
      </c>
      <c r="T231" s="404">
        <f t="shared" si="21"/>
        <v>273704.60000000003</v>
      </c>
      <c r="U231" s="404">
        <f t="shared" si="22"/>
        <v>3773.0282051282052</v>
      </c>
      <c r="V231" s="10">
        <f>+'A) Base RI'!O231</f>
        <v>0</v>
      </c>
      <c r="W231" s="10">
        <f>+'A) Base RI'!P231</f>
        <v>0</v>
      </c>
      <c r="X231" s="10">
        <f>+'A) Base RI'!R231</f>
        <v>0</v>
      </c>
      <c r="Y231" s="404">
        <f t="shared" si="23"/>
        <v>0</v>
      </c>
      <c r="Z231" s="10">
        <f>+'A) Base RI'!N231</f>
        <v>0</v>
      </c>
      <c r="AA231" s="10">
        <f>'A) Base RI'!AO231</f>
        <v>145</v>
      </c>
    </row>
    <row r="232" spans="1:27" x14ac:dyDescent="0.25">
      <c r="A232" s="8">
        <f>'A) Base RI'!A232</f>
        <v>5763</v>
      </c>
      <c r="B232" s="32" t="str">
        <f>'A) Base RI'!B232</f>
        <v>Valeyres-sous-Rances</v>
      </c>
      <c r="C232" s="10">
        <f>'A) Base RI'!C232+'A) Base RI'!D232</f>
        <v>1258816.48</v>
      </c>
      <c r="D232" s="10">
        <f>'A) Base RI'!AP232</f>
        <v>-6373.31</v>
      </c>
      <c r="E232" s="398">
        <f>'A) Base RI'!AQ232</f>
        <v>0</v>
      </c>
      <c r="F232" s="398">
        <f>'A) Base RI'!AR232</f>
        <v>-752.01</v>
      </c>
      <c r="G232" s="404">
        <f t="shared" si="18"/>
        <v>1251691.1599999999</v>
      </c>
      <c r="H232" s="10">
        <f>+'A) Base RI'!E232</f>
        <v>0</v>
      </c>
      <c r="I232" s="10">
        <f>+'A) Base RI'!F232</f>
        <v>0</v>
      </c>
      <c r="J232" s="10">
        <f>+'A) Base RI'!G232+'A) Base RI'!H232+'A) Base RI'!X232</f>
        <v>19202.95</v>
      </c>
      <c r="K232" s="10">
        <f>+'A) Base RI'!I232</f>
        <v>0</v>
      </c>
      <c r="L232" s="10">
        <f>+'A) Base RI'!J232</f>
        <v>27278.89</v>
      </c>
      <c r="M232" s="10">
        <f>+'A) Base RI'!K232</f>
        <v>3988.7</v>
      </c>
      <c r="N232" s="10">
        <f>+'A) Base RI'!Q232</f>
        <v>0</v>
      </c>
      <c r="O232" s="10">
        <f t="shared" si="19"/>
        <v>88872.5</v>
      </c>
      <c r="P232" s="10">
        <f>+'A) Base RI'!L232</f>
        <v>88872.5</v>
      </c>
      <c r="Q232" s="412">
        <f>'A) Base RI'!AS232</f>
        <v>1</v>
      </c>
      <c r="R232" s="404">
        <f t="shared" si="20"/>
        <v>1391034.1999999997</v>
      </c>
      <c r="S232" s="457">
        <f>+'A) Base RI'!AN232</f>
        <v>68</v>
      </c>
      <c r="T232" s="404">
        <f t="shared" si="21"/>
        <v>1298172.9999999998</v>
      </c>
      <c r="U232" s="404">
        <f t="shared" si="22"/>
        <v>20456.385294117645</v>
      </c>
      <c r="V232" s="10">
        <f>+'A) Base RI'!O232</f>
        <v>0</v>
      </c>
      <c r="W232" s="10">
        <f>+'A) Base RI'!P232</f>
        <v>21871.35</v>
      </c>
      <c r="X232" s="10">
        <f>+'A) Base RI'!R232</f>
        <v>8235.85</v>
      </c>
      <c r="Y232" s="404">
        <f t="shared" si="23"/>
        <v>30107.199999999997</v>
      </c>
      <c r="Z232" s="10">
        <f>+'A) Base RI'!N232</f>
        <v>40842.1</v>
      </c>
      <c r="AA232" s="10">
        <f>'A) Base RI'!AO232</f>
        <v>609</v>
      </c>
    </row>
    <row r="233" spans="1:27" x14ac:dyDescent="0.25">
      <c r="A233" s="8">
        <f>'A) Base RI'!A233</f>
        <v>5764</v>
      </c>
      <c r="B233" s="32" t="str">
        <f>'A) Base RI'!B233</f>
        <v>Vallorbe</v>
      </c>
      <c r="C233" s="10">
        <f>'A) Base RI'!C233+'A) Base RI'!D233</f>
        <v>5100310.6900000004</v>
      </c>
      <c r="D233" s="10">
        <f>'A) Base RI'!AP233</f>
        <v>-191456.46</v>
      </c>
      <c r="E233" s="398">
        <f>'A) Base RI'!AQ233</f>
        <v>0</v>
      </c>
      <c r="F233" s="398">
        <f>'A) Base RI'!AR233</f>
        <v>-3532.07</v>
      </c>
      <c r="G233" s="404">
        <f t="shared" si="18"/>
        <v>4905322.16</v>
      </c>
      <c r="H233" s="10">
        <f>+'A) Base RI'!E233</f>
        <v>0</v>
      </c>
      <c r="I233" s="10">
        <f>+'A) Base RI'!F233</f>
        <v>0</v>
      </c>
      <c r="J233" s="10">
        <f>+'A) Base RI'!G233+'A) Base RI'!H233+'A) Base RI'!X233</f>
        <v>373828.01999999996</v>
      </c>
      <c r="K233" s="10">
        <f>+'A) Base RI'!I233</f>
        <v>0</v>
      </c>
      <c r="L233" s="10">
        <f>+'A) Base RI'!J233</f>
        <v>215461.1</v>
      </c>
      <c r="M233" s="10">
        <f>+'A) Base RI'!K233</f>
        <v>40595.599999999999</v>
      </c>
      <c r="N233" s="10">
        <f>+'A) Base RI'!Q233</f>
        <v>29176.75</v>
      </c>
      <c r="O233" s="10">
        <f t="shared" si="19"/>
        <v>463831.75</v>
      </c>
      <c r="P233" s="10">
        <f>+'A) Base RI'!L233</f>
        <v>463831.75</v>
      </c>
      <c r="Q233" s="412">
        <f>'A) Base RI'!AS233</f>
        <v>1</v>
      </c>
      <c r="R233" s="404">
        <f t="shared" si="20"/>
        <v>6028215.379999999</v>
      </c>
      <c r="S233" s="457">
        <f>+'A) Base RI'!AN233</f>
        <v>71.5</v>
      </c>
      <c r="T233" s="404">
        <f t="shared" si="21"/>
        <v>5523788.0299999993</v>
      </c>
      <c r="U233" s="404">
        <f t="shared" si="22"/>
        <v>84310.704615384602</v>
      </c>
      <c r="V233" s="10">
        <f>+'A) Base RI'!O233</f>
        <v>135412.4</v>
      </c>
      <c r="W233" s="10">
        <f>+'A) Base RI'!P233</f>
        <v>164862.54999999999</v>
      </c>
      <c r="X233" s="10">
        <f>+'A) Base RI'!R233</f>
        <v>54187.95</v>
      </c>
      <c r="Y233" s="404">
        <f t="shared" si="23"/>
        <v>354462.89999999997</v>
      </c>
      <c r="Z233" s="10">
        <f>+'A) Base RI'!N233</f>
        <v>2315164.4</v>
      </c>
      <c r="AA233" s="10">
        <f>'A) Base RI'!AO233</f>
        <v>3874</v>
      </c>
    </row>
    <row r="234" spans="1:27" x14ac:dyDescent="0.25">
      <c r="A234" s="8">
        <f>'A) Base RI'!A234</f>
        <v>5765</v>
      </c>
      <c r="B234" s="32" t="str">
        <f>'A) Base RI'!B234</f>
        <v>Vaulion</v>
      </c>
      <c r="C234" s="10">
        <f>'A) Base RI'!C234+'A) Base RI'!D234</f>
        <v>845069.1</v>
      </c>
      <c r="D234" s="10">
        <f>'A) Base RI'!AP234</f>
        <v>-38231.56</v>
      </c>
      <c r="E234" s="398">
        <f>'A) Base RI'!AQ234</f>
        <v>0</v>
      </c>
      <c r="F234" s="398">
        <f>'A) Base RI'!AR234</f>
        <v>-18.149999999999999</v>
      </c>
      <c r="G234" s="404">
        <f t="shared" si="18"/>
        <v>806819.39</v>
      </c>
      <c r="H234" s="10">
        <f>+'A) Base RI'!E234</f>
        <v>0</v>
      </c>
      <c r="I234" s="10">
        <f>+'A) Base RI'!F234</f>
        <v>0</v>
      </c>
      <c r="J234" s="10">
        <f>+'A) Base RI'!G234+'A) Base RI'!H234+'A) Base RI'!X234</f>
        <v>2091.9500000000003</v>
      </c>
      <c r="K234" s="10">
        <f>+'A) Base RI'!I234</f>
        <v>0</v>
      </c>
      <c r="L234" s="10">
        <f>+'A) Base RI'!J234</f>
        <v>12677.3</v>
      </c>
      <c r="M234" s="10">
        <f>+'A) Base RI'!K234</f>
        <v>0</v>
      </c>
      <c r="N234" s="10">
        <f>+'A) Base RI'!Q234</f>
        <v>29995.119999999999</v>
      </c>
      <c r="O234" s="10">
        <f t="shared" si="19"/>
        <v>64898.6</v>
      </c>
      <c r="P234" s="10">
        <f>+'A) Base RI'!L234</f>
        <v>32449.3</v>
      </c>
      <c r="Q234" s="412">
        <f>'A) Base RI'!AS234</f>
        <v>0.5</v>
      </c>
      <c r="R234" s="404">
        <f t="shared" si="20"/>
        <v>916482.36</v>
      </c>
      <c r="S234" s="457">
        <f>+'A) Base RI'!AN234</f>
        <v>81</v>
      </c>
      <c r="T234" s="404">
        <f t="shared" si="21"/>
        <v>851583.76</v>
      </c>
      <c r="U234" s="404">
        <f t="shared" si="22"/>
        <v>11314.597037037036</v>
      </c>
      <c r="V234" s="10">
        <f>+'A) Base RI'!O234</f>
        <v>5642.5</v>
      </c>
      <c r="W234" s="10">
        <f>+'A) Base RI'!P234</f>
        <v>31419</v>
      </c>
      <c r="X234" s="10">
        <f>+'A) Base RI'!R234</f>
        <v>61265.5</v>
      </c>
      <c r="Y234" s="404">
        <f t="shared" si="23"/>
        <v>98327</v>
      </c>
      <c r="Z234" s="10">
        <f>+'A) Base RI'!N234</f>
        <v>53317.25</v>
      </c>
      <c r="AA234" s="10">
        <f>'A) Base RI'!AO234</f>
        <v>506</v>
      </c>
    </row>
    <row r="235" spans="1:27" x14ac:dyDescent="0.25">
      <c r="A235" s="8">
        <f>'A) Base RI'!A235</f>
        <v>5766</v>
      </c>
      <c r="B235" s="32" t="str">
        <f>'A) Base RI'!B235</f>
        <v>Vuiteboeuf</v>
      </c>
      <c r="C235" s="10">
        <f>'A) Base RI'!C235+'A) Base RI'!D235</f>
        <v>1120771.1399999999</v>
      </c>
      <c r="D235" s="10">
        <f>'A) Base RI'!AP235</f>
        <v>-16611.82</v>
      </c>
      <c r="E235" s="398">
        <f>'A) Base RI'!AQ235</f>
        <v>0</v>
      </c>
      <c r="F235" s="398">
        <f>'A) Base RI'!AR235</f>
        <v>-86.19</v>
      </c>
      <c r="G235" s="404">
        <f t="shared" si="18"/>
        <v>1104073.1299999999</v>
      </c>
      <c r="H235" s="10">
        <f>+'A) Base RI'!E235</f>
        <v>0</v>
      </c>
      <c r="I235" s="10">
        <f>+'A) Base RI'!F235</f>
        <v>0</v>
      </c>
      <c r="J235" s="10">
        <f>+'A) Base RI'!G235+'A) Base RI'!H235+'A) Base RI'!X235</f>
        <v>12437.12</v>
      </c>
      <c r="K235" s="10">
        <f>+'A) Base RI'!I235</f>
        <v>0</v>
      </c>
      <c r="L235" s="10">
        <f>+'A) Base RI'!J235</f>
        <v>30624.49</v>
      </c>
      <c r="M235" s="10">
        <f>+'A) Base RI'!K235</f>
        <v>-5391.85</v>
      </c>
      <c r="N235" s="10">
        <f>+'A) Base RI'!Q235</f>
        <v>5493.2</v>
      </c>
      <c r="O235" s="10">
        <f t="shared" si="19"/>
        <v>84268</v>
      </c>
      <c r="P235" s="10">
        <f>+'A) Base RI'!L235</f>
        <v>58987.6</v>
      </c>
      <c r="Q235" s="412">
        <f>'A) Base RI'!AS235</f>
        <v>0.7</v>
      </c>
      <c r="R235" s="404">
        <f t="shared" si="20"/>
        <v>1231504.0899999999</v>
      </c>
      <c r="S235" s="457">
        <f>+'A) Base RI'!AN235</f>
        <v>77</v>
      </c>
      <c r="T235" s="404">
        <f t="shared" si="21"/>
        <v>1152627.94</v>
      </c>
      <c r="U235" s="404">
        <f t="shared" si="22"/>
        <v>15993.559610389608</v>
      </c>
      <c r="V235" s="10">
        <f>+'A) Base RI'!O235</f>
        <v>0</v>
      </c>
      <c r="W235" s="10">
        <f>+'A) Base RI'!P235</f>
        <v>20955</v>
      </c>
      <c r="X235" s="10">
        <f>+'A) Base RI'!R235</f>
        <v>18660.849999999999</v>
      </c>
      <c r="Y235" s="404">
        <f t="shared" si="23"/>
        <v>39615.85</v>
      </c>
      <c r="Z235" s="10">
        <f>+'A) Base RI'!N235</f>
        <v>27786</v>
      </c>
      <c r="AA235" s="10">
        <f>'A) Base RI'!AO235</f>
        <v>584</v>
      </c>
    </row>
    <row r="236" spans="1:27" x14ac:dyDescent="0.25">
      <c r="A236" s="8">
        <f>'A) Base RI'!A236</f>
        <v>5785</v>
      </c>
      <c r="B236" s="32" t="str">
        <f>'A) Base RI'!B236</f>
        <v>Corcelles-le-Jorat</v>
      </c>
      <c r="C236" s="10">
        <f>'A) Base RI'!C236+'A) Base RI'!D236</f>
        <v>1262204.23</v>
      </c>
      <c r="D236" s="10">
        <f>'A) Base RI'!AP236</f>
        <v>-10648.48</v>
      </c>
      <c r="E236" s="398">
        <f>'A) Base RI'!AQ236</f>
        <v>0</v>
      </c>
      <c r="F236" s="398">
        <f>'A) Base RI'!AR236</f>
        <v>-1741.16</v>
      </c>
      <c r="G236" s="404">
        <f t="shared" si="18"/>
        <v>1249814.5900000001</v>
      </c>
      <c r="H236" s="10">
        <f>+'A) Base RI'!E236</f>
        <v>0</v>
      </c>
      <c r="I236" s="10">
        <f>+'A) Base RI'!F236</f>
        <v>0</v>
      </c>
      <c r="J236" s="10">
        <f>+'A) Base RI'!G236+'A) Base RI'!H236+'A) Base RI'!X236</f>
        <v>2680.3700000000003</v>
      </c>
      <c r="K236" s="10">
        <f>+'A) Base RI'!I236</f>
        <v>0</v>
      </c>
      <c r="L236" s="10">
        <f>+'A) Base RI'!J236</f>
        <v>19643.89</v>
      </c>
      <c r="M236" s="10">
        <f>+'A) Base RI'!K236</f>
        <v>1202.5999999999999</v>
      </c>
      <c r="N236" s="10">
        <f>+'A) Base RI'!Q236</f>
        <v>399.81</v>
      </c>
      <c r="O236" s="10">
        <f t="shared" si="19"/>
        <v>74271.75</v>
      </c>
      <c r="P236" s="10">
        <f>+'A) Base RI'!L236</f>
        <v>74271.75</v>
      </c>
      <c r="Q236" s="412">
        <f>'A) Base RI'!AS236</f>
        <v>1</v>
      </c>
      <c r="R236" s="404">
        <f t="shared" si="20"/>
        <v>1348013.0100000002</v>
      </c>
      <c r="S236" s="457">
        <f>+'A) Base RI'!AN236</f>
        <v>77</v>
      </c>
      <c r="T236" s="404">
        <f t="shared" si="21"/>
        <v>1272538.6600000001</v>
      </c>
      <c r="U236" s="404">
        <f t="shared" si="22"/>
        <v>17506.662467532471</v>
      </c>
      <c r="V236" s="10">
        <f>+'A) Base RI'!O236</f>
        <v>32518.2</v>
      </c>
      <c r="W236" s="10">
        <f>+'A) Base RI'!P236</f>
        <v>67824.5</v>
      </c>
      <c r="X236" s="10">
        <f>+'A) Base RI'!R236</f>
        <v>32452.7</v>
      </c>
      <c r="Y236" s="404">
        <f t="shared" si="23"/>
        <v>132795.4</v>
      </c>
      <c r="Z236" s="10">
        <f>+'A) Base RI'!N236</f>
        <v>0</v>
      </c>
      <c r="AA236" s="10">
        <f>'A) Base RI'!AO236</f>
        <v>451</v>
      </c>
    </row>
    <row r="237" spans="1:27" x14ac:dyDescent="0.25">
      <c r="A237" s="8">
        <f>'A) Base RI'!A237</f>
        <v>5788</v>
      </c>
      <c r="B237" s="32" t="str">
        <f>'A) Base RI'!B237</f>
        <v>Essertes</v>
      </c>
      <c r="C237" s="10">
        <f>'A) Base RI'!C237+'A) Base RI'!D237</f>
        <v>1066672.3199999998</v>
      </c>
      <c r="D237" s="10">
        <f>'A) Base RI'!AP237</f>
        <v>-10265.540000000001</v>
      </c>
      <c r="E237" s="398">
        <f>'A) Base RI'!AQ237</f>
        <v>0</v>
      </c>
      <c r="F237" s="398">
        <f>'A) Base RI'!AR237</f>
        <v>-69.650000000000006</v>
      </c>
      <c r="G237" s="404">
        <f t="shared" si="18"/>
        <v>1056337.1299999999</v>
      </c>
      <c r="H237" s="10">
        <f>+'A) Base RI'!E237</f>
        <v>0</v>
      </c>
      <c r="I237" s="10">
        <f>+'A) Base RI'!F237</f>
        <v>0</v>
      </c>
      <c r="J237" s="10">
        <f>+'A) Base RI'!G237+'A) Base RI'!H237+'A) Base RI'!X237</f>
        <v>2833.63</v>
      </c>
      <c r="K237" s="10">
        <f>+'A) Base RI'!I237</f>
        <v>0</v>
      </c>
      <c r="L237" s="10">
        <f>+'A) Base RI'!J237</f>
        <v>21465.43</v>
      </c>
      <c r="M237" s="10">
        <f>+'A) Base RI'!K237</f>
        <v>4364</v>
      </c>
      <c r="N237" s="10">
        <f>+'A) Base RI'!Q237</f>
        <v>5664.79</v>
      </c>
      <c r="O237" s="10">
        <f t="shared" si="19"/>
        <v>69414.92</v>
      </c>
      <c r="P237" s="10">
        <f>+'A) Base RI'!L237</f>
        <v>86768.65</v>
      </c>
      <c r="Q237" s="412">
        <f>'A) Base RI'!AS237</f>
        <v>1.25</v>
      </c>
      <c r="R237" s="404">
        <f t="shared" si="20"/>
        <v>1160079.8999999997</v>
      </c>
      <c r="S237" s="457">
        <f>+'A) Base RI'!AN237</f>
        <v>71.5</v>
      </c>
      <c r="T237" s="404">
        <f t="shared" si="21"/>
        <v>1086300.9799999997</v>
      </c>
      <c r="U237" s="404">
        <f t="shared" si="22"/>
        <v>16224.893706293702</v>
      </c>
      <c r="V237" s="10">
        <f>+'A) Base RI'!O237</f>
        <v>0</v>
      </c>
      <c r="W237" s="10">
        <f>+'A) Base RI'!P237</f>
        <v>23527.65</v>
      </c>
      <c r="X237" s="10">
        <f>+'A) Base RI'!R237</f>
        <v>49678</v>
      </c>
      <c r="Y237" s="404">
        <f t="shared" si="23"/>
        <v>73205.649999999994</v>
      </c>
      <c r="Z237" s="10">
        <f>+'A) Base RI'!N237</f>
        <v>445.1</v>
      </c>
      <c r="AA237" s="10">
        <f>'A) Base RI'!AO237</f>
        <v>389</v>
      </c>
    </row>
    <row r="238" spans="1:27" x14ac:dyDescent="0.25">
      <c r="A238" s="8">
        <f>'A) Base RI'!A238</f>
        <v>5790</v>
      </c>
      <c r="B238" s="32" t="str">
        <f>'A) Base RI'!B238</f>
        <v>Maracon</v>
      </c>
      <c r="C238" s="10">
        <f>'A) Base RI'!C238+'A) Base RI'!D238</f>
        <v>872304.70000000007</v>
      </c>
      <c r="D238" s="10">
        <f>'A) Base RI'!AP238</f>
        <v>-91.98</v>
      </c>
      <c r="E238" s="398">
        <f>'A) Base RI'!AQ238</f>
        <v>0</v>
      </c>
      <c r="F238" s="398">
        <f>'A) Base RI'!AR238</f>
        <v>-394.87</v>
      </c>
      <c r="G238" s="404">
        <f t="shared" si="18"/>
        <v>871817.85000000009</v>
      </c>
      <c r="H238" s="10">
        <f>+'A) Base RI'!E238</f>
        <v>0</v>
      </c>
      <c r="I238" s="10">
        <f>+'A) Base RI'!F238</f>
        <v>0</v>
      </c>
      <c r="J238" s="10">
        <f>+'A) Base RI'!G238+'A) Base RI'!H238+'A) Base RI'!X238</f>
        <v>9039.6</v>
      </c>
      <c r="K238" s="10">
        <f>+'A) Base RI'!I238</f>
        <v>0</v>
      </c>
      <c r="L238" s="10">
        <f>+'A) Base RI'!J238</f>
        <v>23539.63</v>
      </c>
      <c r="M238" s="10">
        <f>+'A) Base RI'!K238</f>
        <v>2948</v>
      </c>
      <c r="N238" s="10">
        <f>+'A) Base RI'!Q238</f>
        <v>0</v>
      </c>
      <c r="O238" s="10">
        <f t="shared" si="19"/>
        <v>90812.25</v>
      </c>
      <c r="P238" s="10">
        <f>+'A) Base RI'!L238</f>
        <v>90812.25</v>
      </c>
      <c r="Q238" s="412">
        <f>'A) Base RI'!AS238</f>
        <v>1</v>
      </c>
      <c r="R238" s="404">
        <f t="shared" si="20"/>
        <v>998157.33000000007</v>
      </c>
      <c r="S238" s="457">
        <f>+'A) Base RI'!AN238</f>
        <v>74.5</v>
      </c>
      <c r="T238" s="404">
        <f t="shared" si="21"/>
        <v>904397.08000000007</v>
      </c>
      <c r="U238" s="404">
        <f t="shared" si="22"/>
        <v>13398.084966442953</v>
      </c>
      <c r="V238" s="10">
        <f>+'A) Base RI'!O238</f>
        <v>0</v>
      </c>
      <c r="W238" s="10">
        <f>+'A) Base RI'!P238</f>
        <v>38445.15</v>
      </c>
      <c r="X238" s="10">
        <f>+'A) Base RI'!R238</f>
        <v>17586.650000000001</v>
      </c>
      <c r="Y238" s="404">
        <f t="shared" si="23"/>
        <v>56031.8</v>
      </c>
      <c r="Z238" s="10">
        <f>+'A) Base RI'!N238</f>
        <v>8885.9</v>
      </c>
      <c r="AA238" s="10">
        <f>'A) Base RI'!AO238</f>
        <v>538</v>
      </c>
    </row>
    <row r="239" spans="1:27" x14ac:dyDescent="0.25">
      <c r="A239" s="8">
        <f>'A) Base RI'!A239</f>
        <v>5792</v>
      </c>
      <c r="B239" s="32" t="str">
        <f>'A) Base RI'!B239</f>
        <v>Montpreveyres</v>
      </c>
      <c r="C239" s="10">
        <f>'A) Base RI'!C239+'A) Base RI'!D239</f>
        <v>1192107.6499999999</v>
      </c>
      <c r="D239" s="10">
        <f>'A) Base RI'!AP239</f>
        <v>-11325.64</v>
      </c>
      <c r="E239" s="398">
        <f>'A) Base RI'!AQ239</f>
        <v>0</v>
      </c>
      <c r="F239" s="398">
        <f>'A) Base RI'!AR239</f>
        <v>-4.33</v>
      </c>
      <c r="G239" s="404">
        <f t="shared" si="18"/>
        <v>1180777.68</v>
      </c>
      <c r="H239" s="10">
        <f>+'A) Base RI'!E239</f>
        <v>0</v>
      </c>
      <c r="I239" s="10">
        <f>+'A) Base RI'!F239</f>
        <v>0</v>
      </c>
      <c r="J239" s="10">
        <f>+'A) Base RI'!G239+'A) Base RI'!H239+'A) Base RI'!X239</f>
        <v>3324.2299999999996</v>
      </c>
      <c r="K239" s="10">
        <f>+'A) Base RI'!I239</f>
        <v>0</v>
      </c>
      <c r="L239" s="10">
        <f>+'A) Base RI'!J239</f>
        <v>18841.11</v>
      </c>
      <c r="M239" s="10">
        <f>+'A) Base RI'!K239</f>
        <v>-1992</v>
      </c>
      <c r="N239" s="10">
        <f>+'A) Base RI'!Q239</f>
        <v>1084.8900000000001</v>
      </c>
      <c r="O239" s="10">
        <f t="shared" si="19"/>
        <v>118656.4</v>
      </c>
      <c r="P239" s="10">
        <f>+'A) Base RI'!L239</f>
        <v>118656.4</v>
      </c>
      <c r="Q239" s="412">
        <f>'A) Base RI'!AS239</f>
        <v>1</v>
      </c>
      <c r="R239" s="404">
        <f t="shared" si="20"/>
        <v>1320692.3099999998</v>
      </c>
      <c r="S239" s="457">
        <f>+'A) Base RI'!AN239</f>
        <v>75</v>
      </c>
      <c r="T239" s="404">
        <f t="shared" si="21"/>
        <v>1204027.9099999999</v>
      </c>
      <c r="U239" s="404">
        <f t="shared" si="22"/>
        <v>17609.230799999998</v>
      </c>
      <c r="V239" s="10">
        <f>+'A) Base RI'!O239</f>
        <v>7826.8</v>
      </c>
      <c r="W239" s="10">
        <f>+'A) Base RI'!P239</f>
        <v>52272</v>
      </c>
      <c r="X239" s="10">
        <f>+'A) Base RI'!R239</f>
        <v>51778.25</v>
      </c>
      <c r="Y239" s="404">
        <f t="shared" si="23"/>
        <v>111877.05</v>
      </c>
      <c r="Z239" s="10">
        <f>+'A) Base RI'!N239</f>
        <v>116.15</v>
      </c>
      <c r="AA239" s="10">
        <f>'A) Base RI'!AO239</f>
        <v>653</v>
      </c>
    </row>
    <row r="240" spans="1:27" x14ac:dyDescent="0.25">
      <c r="A240" s="8">
        <f>'A) Base RI'!A240</f>
        <v>5798</v>
      </c>
      <c r="B240" s="32" t="str">
        <f>'A) Base RI'!B240</f>
        <v>Ropraz</v>
      </c>
      <c r="C240" s="10">
        <f>'A) Base RI'!C240+'A) Base RI'!D240</f>
        <v>1114539.72</v>
      </c>
      <c r="D240" s="10">
        <f>'A) Base RI'!AP240</f>
        <v>-14050.28</v>
      </c>
      <c r="E240" s="398">
        <f>'A) Base RI'!AQ240</f>
        <v>0</v>
      </c>
      <c r="F240" s="398">
        <f>'A) Base RI'!AR240</f>
        <v>-77.489999999999995</v>
      </c>
      <c r="G240" s="404">
        <f t="shared" si="18"/>
        <v>1100411.95</v>
      </c>
      <c r="H240" s="10">
        <f>+'A) Base RI'!E240</f>
        <v>0</v>
      </c>
      <c r="I240" s="10">
        <f>+'A) Base RI'!F240</f>
        <v>0</v>
      </c>
      <c r="J240" s="10">
        <f>+'A) Base RI'!G240+'A) Base RI'!H240+'A) Base RI'!X240</f>
        <v>12357.77</v>
      </c>
      <c r="K240" s="10">
        <f>+'A) Base RI'!I240</f>
        <v>0</v>
      </c>
      <c r="L240" s="10">
        <f>+'A) Base RI'!J240</f>
        <v>21076.43</v>
      </c>
      <c r="M240" s="10">
        <f>+'A) Base RI'!K240</f>
        <v>6288.25</v>
      </c>
      <c r="N240" s="10">
        <f>+'A) Base RI'!Q240</f>
        <v>791.08</v>
      </c>
      <c r="O240" s="10">
        <f t="shared" si="19"/>
        <v>80487.3</v>
      </c>
      <c r="P240" s="10">
        <f>+'A) Base RI'!L240</f>
        <v>40243.65</v>
      </c>
      <c r="Q240" s="412">
        <f>'A) Base RI'!AS240</f>
        <v>0.5</v>
      </c>
      <c r="R240" s="404">
        <f t="shared" si="20"/>
        <v>1221412.78</v>
      </c>
      <c r="S240" s="457">
        <f>+'A) Base RI'!AN240</f>
        <v>77.5</v>
      </c>
      <c r="T240" s="404">
        <f t="shared" si="21"/>
        <v>1134637.23</v>
      </c>
      <c r="U240" s="404">
        <f t="shared" si="22"/>
        <v>15760.164903225806</v>
      </c>
      <c r="V240" s="10">
        <f>+'A) Base RI'!O240</f>
        <v>15707.6</v>
      </c>
      <c r="W240" s="10">
        <f>+'A) Base RI'!P240</f>
        <v>42477.9</v>
      </c>
      <c r="X240" s="10">
        <f>+'A) Base RI'!R240</f>
        <v>10790.15</v>
      </c>
      <c r="Y240" s="404">
        <f t="shared" si="23"/>
        <v>68975.649999999994</v>
      </c>
      <c r="Z240" s="10">
        <f>+'A) Base RI'!N240</f>
        <v>21843.25</v>
      </c>
      <c r="AA240" s="10">
        <f>'A) Base RI'!AO240</f>
        <v>528</v>
      </c>
    </row>
    <row r="241" spans="1:27" x14ac:dyDescent="0.25">
      <c r="A241" s="8">
        <f>'A) Base RI'!A241</f>
        <v>5799</v>
      </c>
      <c r="B241" s="32" t="str">
        <f>'A) Base RI'!B241</f>
        <v>Servion</v>
      </c>
      <c r="C241" s="10">
        <f>'A) Base RI'!C241+'A) Base RI'!D241</f>
        <v>4308535.33</v>
      </c>
      <c r="D241" s="10">
        <f>'A) Base RI'!AP241</f>
        <v>-37689.599999999999</v>
      </c>
      <c r="E241" s="398">
        <f>'A) Base RI'!AQ241</f>
        <v>0</v>
      </c>
      <c r="F241" s="398">
        <f>'A) Base RI'!AR241</f>
        <v>-571.88</v>
      </c>
      <c r="G241" s="404">
        <f t="shared" si="18"/>
        <v>4270273.8500000006</v>
      </c>
      <c r="H241" s="10">
        <f>+'A) Base RI'!E241</f>
        <v>0</v>
      </c>
      <c r="I241" s="10">
        <f>+'A) Base RI'!F241</f>
        <v>0</v>
      </c>
      <c r="J241" s="10">
        <f>+'A) Base RI'!G241+'A) Base RI'!H241+'A) Base RI'!X241</f>
        <v>28730.050000000003</v>
      </c>
      <c r="K241" s="10">
        <f>+'A) Base RI'!I241</f>
        <v>0</v>
      </c>
      <c r="L241" s="10">
        <f>+'A) Base RI'!J241</f>
        <v>61021.97</v>
      </c>
      <c r="M241" s="10">
        <f>+'A) Base RI'!K241</f>
        <v>20849.349999999999</v>
      </c>
      <c r="N241" s="10">
        <f>+'A) Base RI'!Q241</f>
        <v>11812.31</v>
      </c>
      <c r="O241" s="10">
        <f t="shared" si="19"/>
        <v>395030.85</v>
      </c>
      <c r="P241" s="10">
        <f>+'A) Base RI'!L241</f>
        <v>395030.85</v>
      </c>
      <c r="Q241" s="412">
        <f>'A) Base RI'!AS241</f>
        <v>1</v>
      </c>
      <c r="R241" s="404">
        <f t="shared" si="20"/>
        <v>4787718.379999999</v>
      </c>
      <c r="S241" s="457">
        <f>+'A) Base RI'!AN241</f>
        <v>69</v>
      </c>
      <c r="T241" s="404">
        <f t="shared" si="21"/>
        <v>4371838.18</v>
      </c>
      <c r="U241" s="404">
        <f t="shared" si="22"/>
        <v>69387.22289855071</v>
      </c>
      <c r="V241" s="10">
        <f>+'A) Base RI'!O241</f>
        <v>39892.699999999997</v>
      </c>
      <c r="W241" s="10">
        <f>+'A) Base RI'!P241</f>
        <v>284271.75</v>
      </c>
      <c r="X241" s="10">
        <f>+'A) Base RI'!R241</f>
        <v>250111.05</v>
      </c>
      <c r="Y241" s="404">
        <f t="shared" si="23"/>
        <v>574275.5</v>
      </c>
      <c r="Z241" s="10">
        <f>+'A) Base RI'!N241</f>
        <v>26847.85</v>
      </c>
      <c r="AA241" s="10">
        <f>'A) Base RI'!AO241</f>
        <v>2076</v>
      </c>
    </row>
    <row r="242" spans="1:27" x14ac:dyDescent="0.25">
      <c r="A242" s="8">
        <f>'A) Base RI'!A242</f>
        <v>5803</v>
      </c>
      <c r="B242" s="32" t="str">
        <f>'A) Base RI'!B242</f>
        <v>Vulliens</v>
      </c>
      <c r="C242" s="10">
        <f>'A) Base RI'!C242+'A) Base RI'!D242</f>
        <v>1341055.44</v>
      </c>
      <c r="D242" s="10">
        <f>'A) Base RI'!AP242</f>
        <v>-39936.660000000003</v>
      </c>
      <c r="E242" s="398">
        <f>'A) Base RI'!AQ242</f>
        <v>0</v>
      </c>
      <c r="F242" s="398">
        <f>'A) Base RI'!AR242</f>
        <v>-335.67</v>
      </c>
      <c r="G242" s="404">
        <f t="shared" si="18"/>
        <v>1300783.1100000001</v>
      </c>
      <c r="H242" s="10">
        <f>+'A) Base RI'!E242</f>
        <v>0</v>
      </c>
      <c r="I242" s="10">
        <f>+'A) Base RI'!F242</f>
        <v>0</v>
      </c>
      <c r="J242" s="10">
        <f>+'A) Base RI'!G242+'A) Base RI'!H242+'A) Base RI'!X242</f>
        <v>-1666.14</v>
      </c>
      <c r="K242" s="10">
        <f>+'A) Base RI'!I242</f>
        <v>0</v>
      </c>
      <c r="L242" s="10">
        <f>+'A) Base RI'!J242</f>
        <v>26442.34</v>
      </c>
      <c r="M242" s="10">
        <f>+'A) Base RI'!K242</f>
        <v>0</v>
      </c>
      <c r="N242" s="10">
        <f>+'A) Base RI'!Q242</f>
        <v>3726.78</v>
      </c>
      <c r="O242" s="10">
        <f t="shared" si="19"/>
        <v>105284.85</v>
      </c>
      <c r="P242" s="10">
        <f>+'A) Base RI'!L242</f>
        <v>105284.85</v>
      </c>
      <c r="Q242" s="412">
        <f>'A) Base RI'!AS242</f>
        <v>1</v>
      </c>
      <c r="R242" s="404">
        <f t="shared" si="20"/>
        <v>1434570.9400000004</v>
      </c>
      <c r="S242" s="457">
        <f>+'A) Base RI'!AN242</f>
        <v>76</v>
      </c>
      <c r="T242" s="404">
        <f t="shared" si="21"/>
        <v>1329286.0900000003</v>
      </c>
      <c r="U242" s="404">
        <f t="shared" si="22"/>
        <v>18875.933421052636</v>
      </c>
      <c r="V242" s="10">
        <f>+'A) Base RI'!O242</f>
        <v>39814.300000000003</v>
      </c>
      <c r="W242" s="10">
        <f>+'A) Base RI'!P242</f>
        <v>12735.6</v>
      </c>
      <c r="X242" s="10">
        <f>+'A) Base RI'!R242</f>
        <v>11322.85</v>
      </c>
      <c r="Y242" s="404">
        <f t="shared" si="23"/>
        <v>63872.75</v>
      </c>
      <c r="Z242" s="10">
        <f>+'A) Base RI'!N242</f>
        <v>959.9</v>
      </c>
      <c r="AA242" s="10">
        <f>'A) Base RI'!AO242</f>
        <v>624</v>
      </c>
    </row>
    <row r="243" spans="1:27" x14ac:dyDescent="0.25">
      <c r="A243" s="8">
        <f>'A) Base RI'!A243</f>
        <v>5804</v>
      </c>
      <c r="B243" s="32" t="str">
        <f>'A) Base RI'!B243</f>
        <v>Jorat-Menthue</v>
      </c>
      <c r="C243" s="10">
        <f>'A) Base RI'!C243+'A) Base RI'!D243</f>
        <v>3008889.64</v>
      </c>
      <c r="D243" s="10">
        <f>'A) Base RI'!AP243</f>
        <v>-71782.210000000006</v>
      </c>
      <c r="E243" s="398">
        <f>'A) Base RI'!AQ243</f>
        <v>0</v>
      </c>
      <c r="F243" s="398">
        <f>'A) Base RI'!AR243</f>
        <v>-60.84</v>
      </c>
      <c r="G243" s="404">
        <f t="shared" si="18"/>
        <v>2937046.5900000003</v>
      </c>
      <c r="H243" s="10">
        <f>+'A) Base RI'!E243</f>
        <v>0</v>
      </c>
      <c r="I243" s="10">
        <f>+'A) Base RI'!F243</f>
        <v>0</v>
      </c>
      <c r="J243" s="10">
        <f>+'A) Base RI'!G243+'A) Base RI'!H243+'A) Base RI'!X243</f>
        <v>62993.320000000007</v>
      </c>
      <c r="K243" s="10">
        <f>+'A) Base RI'!I243</f>
        <v>0</v>
      </c>
      <c r="L243" s="10">
        <f>+'A) Base RI'!J243</f>
        <v>17046.580000000002</v>
      </c>
      <c r="M243" s="10">
        <f>+'A) Base RI'!K243</f>
        <v>3532.6</v>
      </c>
      <c r="N243" s="10">
        <f>+'A) Base RI'!Q243</f>
        <v>603.1</v>
      </c>
      <c r="O243" s="10">
        <f t="shared" si="19"/>
        <v>270624.8</v>
      </c>
      <c r="P243" s="10">
        <f>+'A) Base RI'!L243</f>
        <v>270624.8</v>
      </c>
      <c r="Q243" s="412">
        <f>'A) Base RI'!AS243</f>
        <v>1</v>
      </c>
      <c r="R243" s="404">
        <f t="shared" si="20"/>
        <v>3291846.99</v>
      </c>
      <c r="S243" s="457">
        <f>+'A) Base RI'!AN243</f>
        <v>70.5</v>
      </c>
      <c r="T243" s="404">
        <f t="shared" si="21"/>
        <v>3017689.5900000003</v>
      </c>
      <c r="U243" s="404">
        <f t="shared" si="22"/>
        <v>46692.865106382982</v>
      </c>
      <c r="V243" s="10">
        <f>+'A) Base RI'!O243</f>
        <v>117376.8</v>
      </c>
      <c r="W243" s="10">
        <f>+'A) Base RI'!P243</f>
        <v>158492.65</v>
      </c>
      <c r="X243" s="10">
        <f>+'A) Base RI'!R243</f>
        <v>116405.75</v>
      </c>
      <c r="Y243" s="404">
        <f t="shared" si="23"/>
        <v>392275.20000000001</v>
      </c>
      <c r="Z243" s="10">
        <f>+'A) Base RI'!N243</f>
        <v>8222.75</v>
      </c>
      <c r="AA243" s="10">
        <f>'A) Base RI'!AO243</f>
        <v>1602</v>
      </c>
    </row>
    <row r="244" spans="1:27" x14ac:dyDescent="0.25">
      <c r="A244" s="8">
        <f>'A) Base RI'!A244</f>
        <v>5805</v>
      </c>
      <c r="B244" s="32" t="str">
        <f>'A) Base RI'!B244</f>
        <v>Oron</v>
      </c>
      <c r="C244" s="10">
        <f>'A) Base RI'!C244+'A) Base RI'!D244</f>
        <v>9049430.8499999996</v>
      </c>
      <c r="D244" s="10">
        <f>'A) Base RI'!AP244</f>
        <v>-218205.85</v>
      </c>
      <c r="E244" s="398">
        <f>'A) Base RI'!AQ244</f>
        <v>0</v>
      </c>
      <c r="F244" s="398">
        <f>'A) Base RI'!AR244</f>
        <v>-10693.07</v>
      </c>
      <c r="G244" s="404">
        <f t="shared" si="18"/>
        <v>8820531.9299999997</v>
      </c>
      <c r="H244" s="10">
        <f>+'A) Base RI'!E244</f>
        <v>0</v>
      </c>
      <c r="I244" s="10">
        <f>+'A) Base RI'!F244</f>
        <v>0</v>
      </c>
      <c r="J244" s="10">
        <f>+'A) Base RI'!G244+'A) Base RI'!H244+'A) Base RI'!X244</f>
        <v>684570.44</v>
      </c>
      <c r="K244" s="10">
        <f>+'A) Base RI'!I244</f>
        <v>0</v>
      </c>
      <c r="L244" s="10">
        <f>+'A) Base RI'!J244</f>
        <v>172989.54</v>
      </c>
      <c r="M244" s="10">
        <f>+'A) Base RI'!K244</f>
        <v>1707.05</v>
      </c>
      <c r="N244" s="10">
        <f>+'A) Base RI'!Q244</f>
        <v>56114.74</v>
      </c>
      <c r="O244" s="10">
        <f t="shared" si="19"/>
        <v>940281.77272727259</v>
      </c>
      <c r="P244" s="10">
        <f>+'A) Base RI'!L244</f>
        <v>1034309.95</v>
      </c>
      <c r="Q244" s="412">
        <f>'A) Base RI'!AS244</f>
        <v>1.1000000000000001</v>
      </c>
      <c r="R244" s="404">
        <f t="shared" si="20"/>
        <v>10676195.472727273</v>
      </c>
      <c r="S244" s="457">
        <f>+'A) Base RI'!AN244</f>
        <v>69</v>
      </c>
      <c r="T244" s="404">
        <f t="shared" si="21"/>
        <v>9734206.6499999985</v>
      </c>
      <c r="U244" s="404">
        <f t="shared" si="22"/>
        <v>154727.47061923583</v>
      </c>
      <c r="V244" s="10">
        <f>+'A) Base RI'!O244</f>
        <v>147130.09</v>
      </c>
      <c r="W244" s="10">
        <f>+'A) Base RI'!P244</f>
        <v>305685.7</v>
      </c>
      <c r="X244" s="10">
        <f>+'A) Base RI'!R244</f>
        <v>186201.7</v>
      </c>
      <c r="Y244" s="404">
        <f t="shared" si="23"/>
        <v>639017.49</v>
      </c>
      <c r="Z244" s="10">
        <f>+'A) Base RI'!N244</f>
        <v>124255.6</v>
      </c>
      <c r="AA244" s="10">
        <f>'A) Base RI'!AO244</f>
        <v>5663</v>
      </c>
    </row>
    <row r="245" spans="1:27" x14ac:dyDescent="0.25">
      <c r="A245" s="8">
        <f>'A) Base RI'!A245</f>
        <v>5806</v>
      </c>
      <c r="B245" s="32" t="str">
        <f>'A) Base RI'!B245</f>
        <v>Jorat-Mézières</v>
      </c>
      <c r="C245" s="10">
        <f>'A) Base RI'!C245+'A) Base RI'!D245</f>
        <v>5888127.1400000006</v>
      </c>
      <c r="D245" s="10">
        <f>'A) Base RI'!AP245</f>
        <v>-28820.5</v>
      </c>
      <c r="E245" s="398">
        <f>'A) Base RI'!AQ245</f>
        <v>0</v>
      </c>
      <c r="F245" s="398">
        <f>'A) Base RI'!AR245</f>
        <v>-2223.91</v>
      </c>
      <c r="G245" s="404">
        <f t="shared" si="18"/>
        <v>5857082.7300000004</v>
      </c>
      <c r="H245" s="10">
        <f>+'A) Base RI'!E245</f>
        <v>0</v>
      </c>
      <c r="I245" s="10">
        <f>+'A) Base RI'!F245</f>
        <v>0</v>
      </c>
      <c r="J245" s="10">
        <f>+'A) Base RI'!G245+'A) Base RI'!H245+'A) Base RI'!X245</f>
        <v>112035.34</v>
      </c>
      <c r="K245" s="10">
        <f>+'A) Base RI'!I245</f>
        <v>53124.25</v>
      </c>
      <c r="L245" s="10">
        <f>+'A) Base RI'!J245</f>
        <v>61110.42</v>
      </c>
      <c r="M245" s="10">
        <f>+'A) Base RI'!K245</f>
        <v>16744.75</v>
      </c>
      <c r="N245" s="10">
        <f>+'A) Base RI'!Q245</f>
        <v>26120.86</v>
      </c>
      <c r="O245" s="10">
        <f t="shared" si="19"/>
        <v>521911.25</v>
      </c>
      <c r="P245" s="10">
        <f>+'A) Base RI'!L245</f>
        <v>521911.25</v>
      </c>
      <c r="Q245" s="412">
        <f>'A) Base RI'!AS245</f>
        <v>1</v>
      </c>
      <c r="R245" s="404">
        <f t="shared" si="20"/>
        <v>6648129.6000000006</v>
      </c>
      <c r="S245" s="457">
        <f>+'A) Base RI'!AN245</f>
        <v>73</v>
      </c>
      <c r="T245" s="404">
        <f t="shared" si="21"/>
        <v>6109473.6000000006</v>
      </c>
      <c r="U245" s="404">
        <f t="shared" si="22"/>
        <v>91070.268493150696</v>
      </c>
      <c r="V245" s="10">
        <f>+'A) Base RI'!O245</f>
        <v>99419.199999999997</v>
      </c>
      <c r="W245" s="10">
        <f>+'A) Base RI'!P245</f>
        <v>230887.7</v>
      </c>
      <c r="X245" s="10">
        <f>+'A) Base RI'!R245</f>
        <v>197024.7</v>
      </c>
      <c r="Y245" s="404">
        <f t="shared" si="23"/>
        <v>527331.60000000009</v>
      </c>
      <c r="Z245" s="10">
        <f>+'A) Base RI'!N245</f>
        <v>30186.6</v>
      </c>
      <c r="AA245" s="10">
        <f>'A) Base RI'!AO245</f>
        <v>2966</v>
      </c>
    </row>
    <row r="246" spans="1:27" x14ac:dyDescent="0.25">
      <c r="A246" s="8">
        <f>'A) Base RI'!A246</f>
        <v>5812</v>
      </c>
      <c r="B246" s="32" t="str">
        <f>'A) Base RI'!B246</f>
        <v>Champtauroz</v>
      </c>
      <c r="C246" s="10">
        <f>'A) Base RI'!C246+'A) Base RI'!D246</f>
        <v>181882.5</v>
      </c>
      <c r="D246" s="10">
        <f>'A) Base RI'!AP246</f>
        <v>-5185.42</v>
      </c>
      <c r="E246" s="398">
        <f>'A) Base RI'!AQ246</f>
        <v>0</v>
      </c>
      <c r="F246" s="398">
        <f>'A) Base RI'!AR246</f>
        <v>-82.27</v>
      </c>
      <c r="G246" s="404">
        <f t="shared" si="18"/>
        <v>176614.81</v>
      </c>
      <c r="H246" s="10">
        <f>+'A) Base RI'!E246</f>
        <v>0</v>
      </c>
      <c r="I246" s="10">
        <f>+'A) Base RI'!F246</f>
        <v>0</v>
      </c>
      <c r="J246" s="10">
        <f>+'A) Base RI'!G246+'A) Base RI'!H246+'A) Base RI'!X246</f>
        <v>-4295.84</v>
      </c>
      <c r="K246" s="10">
        <f>+'A) Base RI'!I246</f>
        <v>0</v>
      </c>
      <c r="L246" s="10">
        <f>+'A) Base RI'!J246</f>
        <v>0</v>
      </c>
      <c r="M246" s="10">
        <f>+'A) Base RI'!K246</f>
        <v>637.5</v>
      </c>
      <c r="N246" s="10">
        <f>+'A) Base RI'!Q246</f>
        <v>0</v>
      </c>
      <c r="O246" s="10">
        <f t="shared" si="19"/>
        <v>19784.749999999996</v>
      </c>
      <c r="P246" s="10">
        <f>+'A) Base RI'!L246</f>
        <v>15827.8</v>
      </c>
      <c r="Q246" s="412">
        <f>'A) Base RI'!AS246</f>
        <v>0.8</v>
      </c>
      <c r="R246" s="404">
        <f t="shared" si="20"/>
        <v>192741.22</v>
      </c>
      <c r="S246" s="457">
        <f>+'A) Base RI'!AN246</f>
        <v>77</v>
      </c>
      <c r="T246" s="404">
        <f t="shared" si="21"/>
        <v>172318.97</v>
      </c>
      <c r="U246" s="404">
        <f t="shared" si="22"/>
        <v>2503.1327272727272</v>
      </c>
      <c r="V246" s="10">
        <f>+'A) Base RI'!O246</f>
        <v>1716.7</v>
      </c>
      <c r="W246" s="10">
        <f>+'A) Base RI'!P246</f>
        <v>9223.0499999999993</v>
      </c>
      <c r="X246" s="10">
        <f>+'A) Base RI'!R246</f>
        <v>15795.2</v>
      </c>
      <c r="Y246" s="404">
        <f t="shared" si="23"/>
        <v>26734.95</v>
      </c>
      <c r="Z246" s="10">
        <f>+'A) Base RI'!N246</f>
        <v>0</v>
      </c>
      <c r="AA246" s="10">
        <f>'A) Base RI'!AO246</f>
        <v>144</v>
      </c>
    </row>
    <row r="247" spans="1:27" x14ac:dyDescent="0.25">
      <c r="A247" s="8">
        <f>'A) Base RI'!A247</f>
        <v>5813</v>
      </c>
      <c r="B247" s="32" t="str">
        <f>'A) Base RI'!B247</f>
        <v>Chevroux</v>
      </c>
      <c r="C247" s="10">
        <f>'A) Base RI'!C247+'A) Base RI'!D247</f>
        <v>918632.11</v>
      </c>
      <c r="D247" s="10">
        <f>'A) Base RI'!AP247</f>
        <v>-18087.39</v>
      </c>
      <c r="E247" s="398">
        <f>'A) Base RI'!AQ247</f>
        <v>0</v>
      </c>
      <c r="F247" s="398">
        <f>'A) Base RI'!AR247</f>
        <v>-32.130000000000003</v>
      </c>
      <c r="G247" s="404">
        <f t="shared" si="18"/>
        <v>900512.59</v>
      </c>
      <c r="H247" s="10">
        <f>+'A) Base RI'!E247</f>
        <v>0</v>
      </c>
      <c r="I247" s="10">
        <f>+'A) Base RI'!F247</f>
        <v>3140</v>
      </c>
      <c r="J247" s="10">
        <f>+'A) Base RI'!G247+'A) Base RI'!H247+'A) Base RI'!X247</f>
        <v>23148.129999999997</v>
      </c>
      <c r="K247" s="10">
        <f>+'A) Base RI'!I247</f>
        <v>0</v>
      </c>
      <c r="L247" s="10">
        <f>+'A) Base RI'!J247</f>
        <v>19887.509999999998</v>
      </c>
      <c r="M247" s="10">
        <f>+'A) Base RI'!K247</f>
        <v>0</v>
      </c>
      <c r="N247" s="10">
        <f>+'A) Base RI'!Q247</f>
        <v>0</v>
      </c>
      <c r="O247" s="10">
        <f t="shared" si="19"/>
        <v>93126.5</v>
      </c>
      <c r="P247" s="10">
        <f>+'A) Base RI'!L247</f>
        <v>111751.8</v>
      </c>
      <c r="Q247" s="412">
        <f>'A) Base RI'!AS247</f>
        <v>1.2</v>
      </c>
      <c r="R247" s="404">
        <f t="shared" si="20"/>
        <v>1039814.73</v>
      </c>
      <c r="S247" s="457">
        <f>+'A) Base RI'!AN247</f>
        <v>68.5</v>
      </c>
      <c r="T247" s="404">
        <f t="shared" si="21"/>
        <v>943548.23</v>
      </c>
      <c r="U247" s="404">
        <f t="shared" si="22"/>
        <v>15179.777080291971</v>
      </c>
      <c r="V247" s="10">
        <f>+'A) Base RI'!O247</f>
        <v>0</v>
      </c>
      <c r="W247" s="10">
        <f>+'A) Base RI'!P247</f>
        <v>31951.200000000001</v>
      </c>
      <c r="X247" s="10">
        <f>+'A) Base RI'!R247</f>
        <v>21245.65</v>
      </c>
      <c r="Y247" s="404">
        <f t="shared" si="23"/>
        <v>53196.850000000006</v>
      </c>
      <c r="Z247" s="10">
        <f>+'A) Base RI'!N247</f>
        <v>0</v>
      </c>
      <c r="AA247" s="10">
        <f>'A) Base RI'!AO247</f>
        <v>495</v>
      </c>
    </row>
    <row r="248" spans="1:27" x14ac:dyDescent="0.25">
      <c r="A248" s="8">
        <f>'A) Base RI'!A248</f>
        <v>5816</v>
      </c>
      <c r="B248" s="32" t="str">
        <f>'A) Base RI'!B248</f>
        <v>Corcelles-près-Payerne</v>
      </c>
      <c r="C248" s="10">
        <f>'A) Base RI'!C248+'A) Base RI'!D248</f>
        <v>3510187.8000000003</v>
      </c>
      <c r="D248" s="10">
        <f>'A) Base RI'!AP248</f>
        <v>-103745.94</v>
      </c>
      <c r="E248" s="398">
        <f>'A) Base RI'!AQ248</f>
        <v>0</v>
      </c>
      <c r="F248" s="398">
        <f>'A) Base RI'!AR248</f>
        <v>-109.39</v>
      </c>
      <c r="G248" s="404">
        <f t="shared" si="18"/>
        <v>3406332.47</v>
      </c>
      <c r="H248" s="10">
        <f>+'A) Base RI'!E248</f>
        <v>0</v>
      </c>
      <c r="I248" s="10">
        <f>+'A) Base RI'!F248</f>
        <v>0</v>
      </c>
      <c r="J248" s="10">
        <f>+'A) Base RI'!G248+'A) Base RI'!H248+'A) Base RI'!X248</f>
        <v>121886.28</v>
      </c>
      <c r="K248" s="10">
        <f>+'A) Base RI'!I248</f>
        <v>0</v>
      </c>
      <c r="L248" s="10">
        <f>+'A) Base RI'!J248</f>
        <v>141840.5</v>
      </c>
      <c r="M248" s="10">
        <f>+'A) Base RI'!K248</f>
        <v>35251</v>
      </c>
      <c r="N248" s="10">
        <f>+'A) Base RI'!Q248</f>
        <v>60788.11</v>
      </c>
      <c r="O248" s="10">
        <f t="shared" si="19"/>
        <v>380137.92857142858</v>
      </c>
      <c r="P248" s="10">
        <f>+'A) Base RI'!L248</f>
        <v>266096.55</v>
      </c>
      <c r="Q248" s="412">
        <f>'A) Base RI'!AS248</f>
        <v>0.7</v>
      </c>
      <c r="R248" s="404">
        <f t="shared" si="20"/>
        <v>4146236.2885714285</v>
      </c>
      <c r="S248" s="457">
        <f>+'A) Base RI'!AN248</f>
        <v>68.5</v>
      </c>
      <c r="T248" s="404">
        <f t="shared" si="21"/>
        <v>3730847.36</v>
      </c>
      <c r="U248" s="404">
        <f t="shared" si="22"/>
        <v>60528.996913451512</v>
      </c>
      <c r="V248" s="10">
        <f>+'A) Base RI'!O248</f>
        <v>1729.1</v>
      </c>
      <c r="W248" s="10">
        <f>+'A) Base RI'!P248</f>
        <v>274976.25</v>
      </c>
      <c r="X248" s="10">
        <f>+'A) Base RI'!R248</f>
        <v>66491.5</v>
      </c>
      <c r="Y248" s="404">
        <f t="shared" si="23"/>
        <v>343196.85</v>
      </c>
      <c r="Z248" s="10">
        <f>+'A) Base RI'!N248</f>
        <v>21017.599999999999</v>
      </c>
      <c r="AA248" s="10">
        <f>'A) Base RI'!AO248</f>
        <v>2681</v>
      </c>
    </row>
    <row r="249" spans="1:27" x14ac:dyDescent="0.25">
      <c r="A249" s="8">
        <f>'A) Base RI'!A249</f>
        <v>5817</v>
      </c>
      <c r="B249" s="32" t="str">
        <f>'A) Base RI'!B249</f>
        <v>Grandcour</v>
      </c>
      <c r="C249" s="10">
        <f>'A) Base RI'!C249+'A) Base RI'!D249</f>
        <v>1458255.9600000002</v>
      </c>
      <c r="D249" s="10">
        <f>'A) Base RI'!AP249</f>
        <v>-30557.05</v>
      </c>
      <c r="E249" s="398">
        <f>'A) Base RI'!AQ249</f>
        <v>0</v>
      </c>
      <c r="F249" s="398">
        <f>'A) Base RI'!AR249</f>
        <v>-58.94</v>
      </c>
      <c r="G249" s="404">
        <f t="shared" si="18"/>
        <v>1427639.9700000002</v>
      </c>
      <c r="H249" s="10">
        <f>+'A) Base RI'!E249</f>
        <v>0</v>
      </c>
      <c r="I249" s="10">
        <f>+'A) Base RI'!F249</f>
        <v>5550</v>
      </c>
      <c r="J249" s="10">
        <f>+'A) Base RI'!G249+'A) Base RI'!H249+'A) Base RI'!X249</f>
        <v>9484.27</v>
      </c>
      <c r="K249" s="10">
        <f>+'A) Base RI'!I249</f>
        <v>0</v>
      </c>
      <c r="L249" s="10">
        <f>+'A) Base RI'!J249</f>
        <v>28493.41</v>
      </c>
      <c r="M249" s="10">
        <f>+'A) Base RI'!K249</f>
        <v>4565.45</v>
      </c>
      <c r="N249" s="10">
        <f>+'A) Base RI'!Q249</f>
        <v>0</v>
      </c>
      <c r="O249" s="10">
        <f t="shared" si="19"/>
        <v>130590.9</v>
      </c>
      <c r="P249" s="10">
        <f>+'A) Base RI'!L249</f>
        <v>130590.9</v>
      </c>
      <c r="Q249" s="412">
        <f>'A) Base RI'!AS249</f>
        <v>1</v>
      </c>
      <c r="R249" s="404">
        <f t="shared" si="20"/>
        <v>1606324</v>
      </c>
      <c r="S249" s="457">
        <f>+'A) Base RI'!AN249</f>
        <v>73.5</v>
      </c>
      <c r="T249" s="404">
        <f t="shared" si="21"/>
        <v>1465617.6500000001</v>
      </c>
      <c r="U249" s="404">
        <f t="shared" si="22"/>
        <v>21854.748299319726</v>
      </c>
      <c r="V249" s="10">
        <f>+'A) Base RI'!O249</f>
        <v>0</v>
      </c>
      <c r="W249" s="10">
        <f>+'A) Base RI'!P249</f>
        <v>42402.65</v>
      </c>
      <c r="X249" s="10">
        <f>+'A) Base RI'!R249</f>
        <v>11832.55</v>
      </c>
      <c r="Y249" s="404">
        <f t="shared" si="23"/>
        <v>54235.199999999997</v>
      </c>
      <c r="Z249" s="10">
        <f>+'A) Base RI'!N249</f>
        <v>597.70000000000005</v>
      </c>
      <c r="AA249" s="10">
        <f>'A) Base RI'!AO249</f>
        <v>967</v>
      </c>
    </row>
    <row r="250" spans="1:27" x14ac:dyDescent="0.25">
      <c r="A250" s="8">
        <f>'A) Base RI'!A250</f>
        <v>5819</v>
      </c>
      <c r="B250" s="32" t="str">
        <f>'A) Base RI'!B250</f>
        <v>Henniez</v>
      </c>
      <c r="C250" s="10">
        <f>'A) Base RI'!C250+'A) Base RI'!D250</f>
        <v>705607.12</v>
      </c>
      <c r="D250" s="10">
        <f>'A) Base RI'!AP250</f>
        <v>-110582.45</v>
      </c>
      <c r="E250" s="398">
        <f>'A) Base RI'!AQ250</f>
        <v>0</v>
      </c>
      <c r="F250" s="398">
        <f>'A) Base RI'!AR250</f>
        <v>-141.16999999999999</v>
      </c>
      <c r="G250" s="404">
        <f t="shared" si="18"/>
        <v>594883.5</v>
      </c>
      <c r="H250" s="10">
        <f>+'A) Base RI'!E250</f>
        <v>0</v>
      </c>
      <c r="I250" s="10">
        <f>+'A) Base RI'!F250</f>
        <v>0</v>
      </c>
      <c r="J250" s="10">
        <f>+'A) Base RI'!G250+'A) Base RI'!H250+'A) Base RI'!X250</f>
        <v>90980.01</v>
      </c>
      <c r="K250" s="10">
        <f>+'A) Base RI'!I250</f>
        <v>0</v>
      </c>
      <c r="L250" s="10">
        <f>+'A) Base RI'!J250</f>
        <v>11764.43</v>
      </c>
      <c r="M250" s="10">
        <f>+'A) Base RI'!K250</f>
        <v>2047.3</v>
      </c>
      <c r="N250" s="10">
        <f>+'A) Base RI'!Q250</f>
        <v>7342.54</v>
      </c>
      <c r="O250" s="10">
        <f t="shared" si="19"/>
        <v>84289.25</v>
      </c>
      <c r="P250" s="10">
        <f>+'A) Base RI'!L250</f>
        <v>84289.25</v>
      </c>
      <c r="Q250" s="412">
        <f>'A) Base RI'!AS250</f>
        <v>1</v>
      </c>
      <c r="R250" s="404">
        <f t="shared" si="20"/>
        <v>791307.03000000014</v>
      </c>
      <c r="S250" s="457">
        <f>+'A) Base RI'!AN250</f>
        <v>69</v>
      </c>
      <c r="T250" s="404">
        <f t="shared" si="21"/>
        <v>704970.4800000001</v>
      </c>
      <c r="U250" s="404">
        <f t="shared" si="22"/>
        <v>11468.217826086959</v>
      </c>
      <c r="V250" s="10">
        <f>+'A) Base RI'!O250</f>
        <v>-57.25</v>
      </c>
      <c r="W250" s="10">
        <f>+'A) Base RI'!P250</f>
        <v>39219.949999999997</v>
      </c>
      <c r="X250" s="10">
        <f>+'A) Base RI'!R250</f>
        <v>0</v>
      </c>
      <c r="Y250" s="404">
        <f t="shared" si="23"/>
        <v>39162.699999999997</v>
      </c>
      <c r="Z250" s="10">
        <f>+'A) Base RI'!N250</f>
        <v>4251.7</v>
      </c>
      <c r="AA250" s="10">
        <f>'A) Base RI'!AO250</f>
        <v>396</v>
      </c>
    </row>
    <row r="251" spans="1:27" x14ac:dyDescent="0.25">
      <c r="A251" s="8">
        <f>'A) Base RI'!A251</f>
        <v>5821</v>
      </c>
      <c r="B251" s="32" t="str">
        <f>'A) Base RI'!B251</f>
        <v>Missy</v>
      </c>
      <c r="C251" s="10">
        <f>'A) Base RI'!C251+'A) Base RI'!D251</f>
        <v>548107.04</v>
      </c>
      <c r="D251" s="10">
        <f>'A) Base RI'!AP251</f>
        <v>-53017.08</v>
      </c>
      <c r="E251" s="398">
        <f>'A) Base RI'!AQ251</f>
        <v>0</v>
      </c>
      <c r="F251" s="398">
        <f>'A) Base RI'!AR251</f>
        <v>-15.82</v>
      </c>
      <c r="G251" s="404">
        <f t="shared" si="18"/>
        <v>495074.14</v>
      </c>
      <c r="H251" s="10">
        <f>+'A) Base RI'!E251</f>
        <v>0</v>
      </c>
      <c r="I251" s="10">
        <f>+'A) Base RI'!F251</f>
        <v>0</v>
      </c>
      <c r="J251" s="10">
        <f>+'A) Base RI'!G251+'A) Base RI'!H251+'A) Base RI'!X251</f>
        <v>4370.26</v>
      </c>
      <c r="K251" s="10">
        <f>+'A) Base RI'!I251</f>
        <v>0</v>
      </c>
      <c r="L251" s="10">
        <f>+'A) Base RI'!J251</f>
        <v>14087.59</v>
      </c>
      <c r="M251" s="10">
        <f>+'A) Base RI'!K251</f>
        <v>1305</v>
      </c>
      <c r="N251" s="10">
        <f>+'A) Base RI'!Q251</f>
        <v>290.04000000000002</v>
      </c>
      <c r="O251" s="10">
        <f t="shared" si="19"/>
        <v>51709.8</v>
      </c>
      <c r="P251" s="10">
        <f>+'A) Base RI'!L251</f>
        <v>51709.8</v>
      </c>
      <c r="Q251" s="412">
        <f>'A) Base RI'!AS251</f>
        <v>1</v>
      </c>
      <c r="R251" s="404">
        <f t="shared" si="20"/>
        <v>566836.83000000007</v>
      </c>
      <c r="S251" s="457">
        <f>+'A) Base RI'!AN251</f>
        <v>72</v>
      </c>
      <c r="T251" s="404">
        <f t="shared" si="21"/>
        <v>513822.03</v>
      </c>
      <c r="U251" s="404">
        <f t="shared" si="22"/>
        <v>7872.7337500000012</v>
      </c>
      <c r="V251" s="10">
        <f>+'A) Base RI'!O251</f>
        <v>0</v>
      </c>
      <c r="W251" s="10">
        <f>+'A) Base RI'!P251</f>
        <v>25626.400000000001</v>
      </c>
      <c r="X251" s="10">
        <f>+'A) Base RI'!R251</f>
        <v>6413.9</v>
      </c>
      <c r="Y251" s="404">
        <f t="shared" si="23"/>
        <v>32040.300000000003</v>
      </c>
      <c r="Z251" s="10">
        <f>+'A) Base RI'!N251</f>
        <v>0</v>
      </c>
      <c r="AA251" s="10">
        <f>'A) Base RI'!AO251</f>
        <v>368</v>
      </c>
    </row>
    <row r="252" spans="1:27" x14ac:dyDescent="0.25">
      <c r="A252" s="8">
        <f>'A) Base RI'!A252</f>
        <v>5822</v>
      </c>
      <c r="B252" s="32" t="str">
        <f>'A) Base RI'!B252</f>
        <v>Payerne</v>
      </c>
      <c r="C252" s="10">
        <f>'A) Base RI'!C252+'A) Base RI'!D252</f>
        <v>14408845.66</v>
      </c>
      <c r="D252" s="10">
        <f>'A) Base RI'!AP252</f>
        <v>-554597.1</v>
      </c>
      <c r="E252" s="398">
        <f>'A) Base RI'!AQ252</f>
        <v>0</v>
      </c>
      <c r="F252" s="398">
        <f>'A) Base RI'!AR252</f>
        <v>-3101.92</v>
      </c>
      <c r="G252" s="404">
        <f t="shared" si="18"/>
        <v>13851146.640000001</v>
      </c>
      <c r="H252" s="10">
        <f>+'A) Base RI'!E252</f>
        <v>0</v>
      </c>
      <c r="I252" s="10">
        <f>+'A) Base RI'!F252</f>
        <v>0</v>
      </c>
      <c r="J252" s="10">
        <f>+'A) Base RI'!G252+'A) Base RI'!H252+'A) Base RI'!X252</f>
        <v>1204305.2</v>
      </c>
      <c r="K252" s="10">
        <f>+'A) Base RI'!I252</f>
        <v>0</v>
      </c>
      <c r="L252" s="10">
        <f>+'A) Base RI'!J252</f>
        <v>604941.57999999996</v>
      </c>
      <c r="M252" s="10">
        <f>+'A) Base RI'!K252</f>
        <v>190380.7</v>
      </c>
      <c r="N252" s="10">
        <f>+'A) Base RI'!Q252</f>
        <v>71942.77</v>
      </c>
      <c r="O252" s="10">
        <f t="shared" si="19"/>
        <v>1440447.85</v>
      </c>
      <c r="P252" s="10">
        <f>+'A) Base RI'!L252</f>
        <v>1440447.85</v>
      </c>
      <c r="Q252" s="412">
        <f>'A) Base RI'!AS252</f>
        <v>1</v>
      </c>
      <c r="R252" s="404">
        <f t="shared" si="20"/>
        <v>17363164.739999998</v>
      </c>
      <c r="S252" s="457">
        <f>+'A) Base RI'!AN252</f>
        <v>73</v>
      </c>
      <c r="T252" s="404">
        <f t="shared" si="21"/>
        <v>15732336.189999999</v>
      </c>
      <c r="U252" s="404">
        <f t="shared" si="22"/>
        <v>237851.57178082189</v>
      </c>
      <c r="V252" s="10">
        <f>+'A) Base RI'!O252</f>
        <v>225116.9</v>
      </c>
      <c r="W252" s="10">
        <f>+'A) Base RI'!P252</f>
        <v>687297.2</v>
      </c>
      <c r="X252" s="10">
        <f>+'A) Base RI'!R252</f>
        <v>705567.35</v>
      </c>
      <c r="Y252" s="404">
        <f t="shared" si="23"/>
        <v>1617981.45</v>
      </c>
      <c r="Z252" s="10">
        <f>+'A) Base RI'!N252</f>
        <v>57956.25</v>
      </c>
      <c r="AA252" s="10">
        <f>'A) Base RI'!AO252</f>
        <v>10108</v>
      </c>
    </row>
    <row r="253" spans="1:27" x14ac:dyDescent="0.25">
      <c r="A253" s="8">
        <f>'A) Base RI'!A253</f>
        <v>5827</v>
      </c>
      <c r="B253" s="32" t="str">
        <f>'A) Base RI'!B253</f>
        <v>Trey</v>
      </c>
      <c r="C253" s="10">
        <f>'A) Base RI'!C253+'A) Base RI'!D253</f>
        <v>417578.97</v>
      </c>
      <c r="D253" s="10">
        <f>'A) Base RI'!AP253</f>
        <v>-3618.99</v>
      </c>
      <c r="E253" s="398">
        <f>'A) Base RI'!AQ253</f>
        <v>0</v>
      </c>
      <c r="F253" s="398">
        <f>'A) Base RI'!AR253</f>
        <v>0</v>
      </c>
      <c r="G253" s="404">
        <f t="shared" si="18"/>
        <v>413959.98</v>
      </c>
      <c r="H253" s="10">
        <f>+'A) Base RI'!E253</f>
        <v>0</v>
      </c>
      <c r="I253" s="10">
        <f>+'A) Base RI'!F253</f>
        <v>1610</v>
      </c>
      <c r="J253" s="10">
        <f>+'A) Base RI'!G253+'A) Base RI'!H253+'A) Base RI'!X253</f>
        <v>21301.33</v>
      </c>
      <c r="K253" s="10">
        <f>+'A) Base RI'!I253</f>
        <v>0</v>
      </c>
      <c r="L253" s="10">
        <f>+'A) Base RI'!J253</f>
        <v>6017.26</v>
      </c>
      <c r="M253" s="10">
        <f>+'A) Base RI'!K253</f>
        <v>-155.65</v>
      </c>
      <c r="N253" s="10">
        <f>+'A) Base RI'!Q253</f>
        <v>0</v>
      </c>
      <c r="O253" s="10">
        <f t="shared" si="19"/>
        <v>38030.15</v>
      </c>
      <c r="P253" s="10">
        <f>+'A) Base RI'!L253</f>
        <v>38030.15</v>
      </c>
      <c r="Q253" s="412">
        <f>'A) Base RI'!AS253</f>
        <v>1</v>
      </c>
      <c r="R253" s="404">
        <f t="shared" si="20"/>
        <v>480763.07</v>
      </c>
      <c r="S253" s="457">
        <f>+'A) Base RI'!AN253</f>
        <v>78</v>
      </c>
      <c r="T253" s="404">
        <f t="shared" si="21"/>
        <v>441278.57</v>
      </c>
      <c r="U253" s="404">
        <f t="shared" si="22"/>
        <v>6163.6291025641031</v>
      </c>
      <c r="V253" s="10">
        <f>+'A) Base RI'!O253</f>
        <v>0</v>
      </c>
      <c r="W253" s="10">
        <f>+'A) Base RI'!P253</f>
        <v>12236.9</v>
      </c>
      <c r="X253" s="10">
        <f>+'A) Base RI'!R253</f>
        <v>13692.55</v>
      </c>
      <c r="Y253" s="404">
        <f t="shared" si="23"/>
        <v>25929.449999999997</v>
      </c>
      <c r="Z253" s="10">
        <f>+'A) Base RI'!N253</f>
        <v>0</v>
      </c>
      <c r="AA253" s="10">
        <f>'A) Base RI'!AO253</f>
        <v>302</v>
      </c>
    </row>
    <row r="254" spans="1:27" x14ac:dyDescent="0.25">
      <c r="A254" s="8">
        <f>'A) Base RI'!A254</f>
        <v>5828</v>
      </c>
      <c r="B254" s="32" t="str">
        <f>'A) Base RI'!B254</f>
        <v>Treytorrens (Payerne)</v>
      </c>
      <c r="C254" s="10">
        <f>'A) Base RI'!C254+'A) Base RI'!D254</f>
        <v>177332.65</v>
      </c>
      <c r="D254" s="10">
        <f>'A) Base RI'!AP254</f>
        <v>-1731.49</v>
      </c>
      <c r="E254" s="398">
        <f>'A) Base RI'!AQ254</f>
        <v>0</v>
      </c>
      <c r="F254" s="398">
        <f>'A) Base RI'!AR254</f>
        <v>0</v>
      </c>
      <c r="G254" s="404">
        <f t="shared" si="18"/>
        <v>175601.16</v>
      </c>
      <c r="H254" s="10">
        <f>+'A) Base RI'!E254</f>
        <v>0</v>
      </c>
      <c r="I254" s="10">
        <f>+'A) Base RI'!F254</f>
        <v>0</v>
      </c>
      <c r="J254" s="10">
        <f>+'A) Base RI'!G254+'A) Base RI'!H254+'A) Base RI'!X254</f>
        <v>-69.319999999999993</v>
      </c>
      <c r="K254" s="10">
        <f>+'A) Base RI'!I254</f>
        <v>0</v>
      </c>
      <c r="L254" s="10">
        <f>+'A) Base RI'!J254</f>
        <v>275.24</v>
      </c>
      <c r="M254" s="10">
        <f>+'A) Base RI'!K254</f>
        <v>0</v>
      </c>
      <c r="N254" s="10">
        <f>+'A) Base RI'!Q254</f>
        <v>0</v>
      </c>
      <c r="O254" s="10">
        <f t="shared" si="19"/>
        <v>16419.866666666665</v>
      </c>
      <c r="P254" s="10">
        <f>+'A) Base RI'!L254</f>
        <v>24629.8</v>
      </c>
      <c r="Q254" s="412">
        <f>'A) Base RI'!AS254</f>
        <v>1.5</v>
      </c>
      <c r="R254" s="404">
        <f t="shared" si="20"/>
        <v>192226.94666666666</v>
      </c>
      <c r="S254" s="457">
        <f>+'A) Base RI'!AN254</f>
        <v>84</v>
      </c>
      <c r="T254" s="404">
        <f t="shared" si="21"/>
        <v>175807.08</v>
      </c>
      <c r="U254" s="404">
        <f t="shared" si="22"/>
        <v>2288.4160317460314</v>
      </c>
      <c r="V254" s="10">
        <f>+'A) Base RI'!O254</f>
        <v>318.10000000000002</v>
      </c>
      <c r="W254" s="10">
        <f>+'A) Base RI'!P254</f>
        <v>5731</v>
      </c>
      <c r="X254" s="10">
        <f>+'A) Base RI'!R254</f>
        <v>0</v>
      </c>
      <c r="Y254" s="404">
        <f t="shared" si="23"/>
        <v>6049.1</v>
      </c>
      <c r="Z254" s="10">
        <f>+'A) Base RI'!N254</f>
        <v>0</v>
      </c>
      <c r="AA254" s="10">
        <f>'A) Base RI'!AO254</f>
        <v>114</v>
      </c>
    </row>
    <row r="255" spans="1:27" x14ac:dyDescent="0.25">
      <c r="A255" s="8">
        <f>'A) Base RI'!A255</f>
        <v>5830</v>
      </c>
      <c r="B255" s="32" t="str">
        <f>'A) Base RI'!B255</f>
        <v>Villarzel</v>
      </c>
      <c r="C255" s="10">
        <f>'A) Base RI'!C255+'A) Base RI'!D255</f>
        <v>893401</v>
      </c>
      <c r="D255" s="10">
        <f>'A) Base RI'!AP255</f>
        <v>-18510.71</v>
      </c>
      <c r="E255" s="398">
        <f>'A) Base RI'!AQ255</f>
        <v>0</v>
      </c>
      <c r="F255" s="398">
        <f>'A) Base RI'!AR255</f>
        <v>-182.73</v>
      </c>
      <c r="G255" s="404">
        <f t="shared" si="18"/>
        <v>874707.56</v>
      </c>
      <c r="H255" s="10">
        <f>+'A) Base RI'!E255</f>
        <v>0</v>
      </c>
      <c r="I255" s="10">
        <f>+'A) Base RI'!F255</f>
        <v>0</v>
      </c>
      <c r="J255" s="10">
        <f>+'A) Base RI'!G255+'A) Base RI'!H255+'A) Base RI'!X255</f>
        <v>6092.7400000000007</v>
      </c>
      <c r="K255" s="10">
        <f>+'A) Base RI'!I255</f>
        <v>0</v>
      </c>
      <c r="L255" s="10">
        <f>+'A) Base RI'!J255</f>
        <v>10849.04</v>
      </c>
      <c r="M255" s="10">
        <f>+'A) Base RI'!K255</f>
        <v>2089.6999999999998</v>
      </c>
      <c r="N255" s="10">
        <f>+'A) Base RI'!Q255</f>
        <v>9106.51</v>
      </c>
      <c r="O255" s="10">
        <f t="shared" si="19"/>
        <v>57415</v>
      </c>
      <c r="P255" s="10">
        <f>+'A) Base RI'!L255</f>
        <v>57415</v>
      </c>
      <c r="Q255" s="412">
        <f>'A) Base RI'!AS255</f>
        <v>1</v>
      </c>
      <c r="R255" s="404">
        <f t="shared" si="20"/>
        <v>960260.55</v>
      </c>
      <c r="S255" s="457">
        <f>+'A) Base RI'!AN255</f>
        <v>77</v>
      </c>
      <c r="T255" s="404">
        <f t="shared" si="21"/>
        <v>900755.85000000009</v>
      </c>
      <c r="U255" s="404">
        <f t="shared" si="22"/>
        <v>12470.916233766235</v>
      </c>
      <c r="V255" s="10">
        <f>+'A) Base RI'!O255</f>
        <v>0</v>
      </c>
      <c r="W255" s="10">
        <f>+'A) Base RI'!P255</f>
        <v>59520</v>
      </c>
      <c r="X255" s="10">
        <f>+'A) Base RI'!R255</f>
        <v>18343.95</v>
      </c>
      <c r="Y255" s="404">
        <f t="shared" si="23"/>
        <v>77863.95</v>
      </c>
      <c r="Z255" s="10">
        <f>+'A) Base RI'!N255</f>
        <v>6516</v>
      </c>
      <c r="AA255" s="10">
        <f>'A) Base RI'!AO255</f>
        <v>477</v>
      </c>
    </row>
    <row r="256" spans="1:27" x14ac:dyDescent="0.25">
      <c r="A256" s="8">
        <f>'A) Base RI'!A256</f>
        <v>5831</v>
      </c>
      <c r="B256" s="32" t="str">
        <f>'A) Base RI'!B256</f>
        <v>Valbroye</v>
      </c>
      <c r="C256" s="10">
        <f>'A) Base RI'!C256+'A) Base RI'!D256</f>
        <v>5215829.9000000004</v>
      </c>
      <c r="D256" s="10">
        <f>'A) Base RI'!AP256</f>
        <v>-139996.24</v>
      </c>
      <c r="E256" s="398">
        <f>'A) Base RI'!AQ256</f>
        <v>0</v>
      </c>
      <c r="F256" s="398">
        <f>'A) Base RI'!AR256</f>
        <v>-1227.58</v>
      </c>
      <c r="G256" s="404">
        <f t="shared" si="18"/>
        <v>5074606.0800000001</v>
      </c>
      <c r="H256" s="10">
        <f>+'A) Base RI'!E256</f>
        <v>0</v>
      </c>
      <c r="I256" s="10">
        <f>+'A) Base RI'!F256</f>
        <v>0</v>
      </c>
      <c r="J256" s="10">
        <f>+'A) Base RI'!G256+'A) Base RI'!H256+'A) Base RI'!X256</f>
        <v>70396</v>
      </c>
      <c r="K256" s="10">
        <f>+'A) Base RI'!I256</f>
        <v>0</v>
      </c>
      <c r="L256" s="10">
        <f>+'A) Base RI'!J256</f>
        <v>170860.28</v>
      </c>
      <c r="M256" s="10">
        <f>+'A) Base RI'!K256</f>
        <v>24914.05</v>
      </c>
      <c r="N256" s="10">
        <f>+'A) Base RI'!Q256</f>
        <v>71958.5</v>
      </c>
      <c r="O256" s="10">
        <f t="shared" si="19"/>
        <v>492114.75</v>
      </c>
      <c r="P256" s="10">
        <f>+'A) Base RI'!L256</f>
        <v>295268.84999999998</v>
      </c>
      <c r="Q256" s="412">
        <f>'A) Base RI'!AS256</f>
        <v>0.6</v>
      </c>
      <c r="R256" s="404">
        <f t="shared" si="20"/>
        <v>5904849.6600000001</v>
      </c>
      <c r="S256" s="457">
        <f>+'A) Base RI'!AN256</f>
        <v>70.5</v>
      </c>
      <c r="T256" s="404">
        <f t="shared" si="21"/>
        <v>5387820.8600000003</v>
      </c>
      <c r="U256" s="404">
        <f t="shared" si="22"/>
        <v>83756.732765957451</v>
      </c>
      <c r="V256" s="10">
        <f>+'A) Base RI'!O256</f>
        <v>83792.850000000006</v>
      </c>
      <c r="W256" s="10">
        <f>+'A) Base RI'!P256</f>
        <v>278845.59999999998</v>
      </c>
      <c r="X256" s="10">
        <f>+'A) Base RI'!R256</f>
        <v>130362.9</v>
      </c>
      <c r="Y256" s="404">
        <f t="shared" si="23"/>
        <v>493001.35</v>
      </c>
      <c r="Z256" s="10">
        <f>+'A) Base RI'!N256</f>
        <v>22474.9</v>
      </c>
      <c r="AA256" s="10">
        <f>'A) Base RI'!AO256</f>
        <v>3373</v>
      </c>
    </row>
    <row r="257" spans="1:27" x14ac:dyDescent="0.25">
      <c r="A257" s="8">
        <f>'A) Base RI'!A257</f>
        <v>5841</v>
      </c>
      <c r="B257" s="32" t="str">
        <f>'A) Base RI'!B257</f>
        <v>Château-d'Oex</v>
      </c>
      <c r="C257" s="10">
        <f>'A) Base RI'!C257+'A) Base RI'!D257</f>
        <v>6996927.5999999996</v>
      </c>
      <c r="D257" s="10">
        <f>'A) Base RI'!AP257</f>
        <v>-109064.02</v>
      </c>
      <c r="E257" s="398">
        <f>'A) Base RI'!AQ257</f>
        <v>0</v>
      </c>
      <c r="F257" s="398">
        <f>'A) Base RI'!AR257</f>
        <v>-14091.22</v>
      </c>
      <c r="G257" s="404">
        <f t="shared" si="18"/>
        <v>6873772.3600000003</v>
      </c>
      <c r="H257" s="10">
        <f>+'A) Base RI'!E257</f>
        <v>0</v>
      </c>
      <c r="I257" s="10">
        <f>+'A) Base RI'!F257</f>
        <v>0</v>
      </c>
      <c r="J257" s="10">
        <f>+'A) Base RI'!G257+'A) Base RI'!H257+'A) Base RI'!X257</f>
        <v>128739.34999999999</v>
      </c>
      <c r="K257" s="10">
        <f>+'A) Base RI'!I257</f>
        <v>531790.05000000005</v>
      </c>
      <c r="L257" s="10">
        <f>+'A) Base RI'!J257</f>
        <v>282488.05</v>
      </c>
      <c r="M257" s="10">
        <f>+'A) Base RI'!K257</f>
        <v>23768.85</v>
      </c>
      <c r="N257" s="10">
        <f>+'A) Base RI'!Q257</f>
        <v>15481.08</v>
      </c>
      <c r="O257" s="10">
        <f t="shared" si="19"/>
        <v>999619.1</v>
      </c>
      <c r="P257" s="10">
        <f>+'A) Base RI'!L257</f>
        <v>1499428.65</v>
      </c>
      <c r="Q257" s="412">
        <f>'A) Base RI'!AS257</f>
        <v>1.5</v>
      </c>
      <c r="R257" s="404">
        <f t="shared" si="20"/>
        <v>8855658.8399999999</v>
      </c>
      <c r="S257" s="457">
        <f>+'A) Base RI'!AN257</f>
        <v>81.5</v>
      </c>
      <c r="T257" s="404">
        <f t="shared" si="21"/>
        <v>7832270.8899999997</v>
      </c>
      <c r="U257" s="404">
        <f t="shared" si="22"/>
        <v>108658.39067484663</v>
      </c>
      <c r="V257" s="10">
        <f>+'A) Base RI'!O257</f>
        <v>1020620.5</v>
      </c>
      <c r="W257" s="10">
        <f>+'A) Base RI'!P257</f>
        <v>353825.05</v>
      </c>
      <c r="X257" s="10">
        <f>+'A) Base RI'!R257</f>
        <v>252646.95</v>
      </c>
      <c r="Y257" s="404">
        <f t="shared" si="23"/>
        <v>1627092.5</v>
      </c>
      <c r="Z257" s="10">
        <f>+'A) Base RI'!N257</f>
        <v>7425.55</v>
      </c>
      <c r="AA257" s="10">
        <f>'A) Base RI'!AO257</f>
        <v>3494</v>
      </c>
    </row>
    <row r="258" spans="1:27" x14ac:dyDescent="0.25">
      <c r="A258" s="8">
        <f>'A) Base RI'!A258</f>
        <v>5842</v>
      </c>
      <c r="B258" s="32" t="str">
        <f>'A) Base RI'!B258</f>
        <v>Rossinière</v>
      </c>
      <c r="C258" s="10">
        <f>'A) Base RI'!C258+'A) Base RI'!D258</f>
        <v>1035255.21</v>
      </c>
      <c r="D258" s="10">
        <f>'A) Base RI'!AP258</f>
        <v>-216.64</v>
      </c>
      <c r="E258" s="398">
        <f>'A) Base RI'!AQ258</f>
        <v>0</v>
      </c>
      <c r="F258" s="398">
        <f>'A) Base RI'!AR258</f>
        <v>-1530.31</v>
      </c>
      <c r="G258" s="404">
        <f t="shared" si="18"/>
        <v>1033508.2599999999</v>
      </c>
      <c r="H258" s="10">
        <f>+'A) Base RI'!E258</f>
        <v>0</v>
      </c>
      <c r="I258" s="10">
        <f>+'A) Base RI'!F258</f>
        <v>0</v>
      </c>
      <c r="J258" s="10">
        <f>+'A) Base RI'!G258+'A) Base RI'!H258+'A) Base RI'!X258</f>
        <v>21447.040000000001</v>
      </c>
      <c r="K258" s="10">
        <f>+'A) Base RI'!I258</f>
        <v>0</v>
      </c>
      <c r="L258" s="10">
        <f>+'A) Base RI'!J258</f>
        <v>22435.73</v>
      </c>
      <c r="M258" s="10">
        <f>+'A) Base RI'!K258</f>
        <v>916.35</v>
      </c>
      <c r="N258" s="10">
        <f>+'A) Base RI'!Q258</f>
        <v>143.91999999999999</v>
      </c>
      <c r="O258" s="10">
        <f t="shared" si="19"/>
        <v>96854.733333333337</v>
      </c>
      <c r="P258" s="10">
        <f>+'A) Base RI'!L258</f>
        <v>145282.1</v>
      </c>
      <c r="Q258" s="412">
        <f>'A) Base RI'!AS258</f>
        <v>1.5</v>
      </c>
      <c r="R258" s="404">
        <f t="shared" si="20"/>
        <v>1175306.0333333332</v>
      </c>
      <c r="S258" s="457">
        <f>+'A) Base RI'!AN258</f>
        <v>81</v>
      </c>
      <c r="T258" s="404">
        <f t="shared" si="21"/>
        <v>1077534.9499999997</v>
      </c>
      <c r="U258" s="404">
        <f t="shared" si="22"/>
        <v>14509.951028806583</v>
      </c>
      <c r="V258" s="10">
        <f>+'A) Base RI'!O258</f>
        <v>0</v>
      </c>
      <c r="W258" s="10">
        <f>+'A) Base RI'!P258</f>
        <v>38379</v>
      </c>
      <c r="X258" s="10">
        <f>+'A) Base RI'!R258</f>
        <v>33838.050000000003</v>
      </c>
      <c r="Y258" s="404">
        <f t="shared" si="23"/>
        <v>72217.05</v>
      </c>
      <c r="Z258" s="10">
        <f>+'A) Base RI'!N258</f>
        <v>0</v>
      </c>
      <c r="AA258" s="10">
        <f>'A) Base RI'!AO258</f>
        <v>537</v>
      </c>
    </row>
    <row r="259" spans="1:27" x14ac:dyDescent="0.25">
      <c r="A259" s="8">
        <f>'A) Base RI'!A259</f>
        <v>5843</v>
      </c>
      <c r="B259" s="32" t="str">
        <f>'A) Base RI'!B259</f>
        <v>Rougemont</v>
      </c>
      <c r="C259" s="10">
        <f>'A) Base RI'!C259+'A) Base RI'!D259</f>
        <v>5217404.0299999993</v>
      </c>
      <c r="D259" s="10">
        <f>'A) Base RI'!AP259</f>
        <v>-8788.98</v>
      </c>
      <c r="E259" s="398">
        <f>'A) Base RI'!AQ259</f>
        <v>0</v>
      </c>
      <c r="F259" s="398">
        <f>'A) Base RI'!AR259</f>
        <v>-29770.84</v>
      </c>
      <c r="G259" s="404">
        <f t="shared" si="18"/>
        <v>5178844.209999999</v>
      </c>
      <c r="H259" s="10">
        <f>+'A) Base RI'!E259</f>
        <v>0</v>
      </c>
      <c r="I259" s="10">
        <f>+'A) Base RI'!F259</f>
        <v>0</v>
      </c>
      <c r="J259" s="10">
        <f>+'A) Base RI'!G259+'A) Base RI'!H259+'A) Base RI'!X259</f>
        <v>60518.459999999992</v>
      </c>
      <c r="K259" s="10">
        <f>+'A) Base RI'!I259</f>
        <v>1271760.1000000001</v>
      </c>
      <c r="L259" s="10">
        <f>+'A) Base RI'!J259</f>
        <v>95400.23</v>
      </c>
      <c r="M259" s="10">
        <f>+'A) Base RI'!K259</f>
        <v>33861.050000000003</v>
      </c>
      <c r="N259" s="10">
        <f>+'A) Base RI'!Q259</f>
        <v>0</v>
      </c>
      <c r="O259" s="10">
        <f t="shared" si="19"/>
        <v>794321.79999999993</v>
      </c>
      <c r="P259" s="10">
        <f>+'A) Base RI'!L259</f>
        <v>1191482.7</v>
      </c>
      <c r="Q259" s="412">
        <f>'A) Base RI'!AS259</f>
        <v>1.5</v>
      </c>
      <c r="R259" s="404">
        <f t="shared" si="20"/>
        <v>7434705.8499999996</v>
      </c>
      <c r="S259" s="457">
        <f>+'A) Base RI'!AN259</f>
        <v>74</v>
      </c>
      <c r="T259" s="404">
        <f t="shared" si="21"/>
        <v>6606523</v>
      </c>
      <c r="U259" s="404">
        <f t="shared" si="22"/>
        <v>100468.99797297297</v>
      </c>
      <c r="V259" s="10">
        <f>+'A) Base RI'!O259</f>
        <v>674623.9</v>
      </c>
      <c r="W259" s="10">
        <f>+'A) Base RI'!P259</f>
        <v>404220.25</v>
      </c>
      <c r="X259" s="10">
        <f>+'A) Base RI'!R259</f>
        <v>194786.55</v>
      </c>
      <c r="Y259" s="404">
        <f t="shared" si="23"/>
        <v>1273630.7</v>
      </c>
      <c r="Z259" s="10">
        <f>+'A) Base RI'!N259</f>
        <v>0</v>
      </c>
      <c r="AA259" s="10">
        <f>'A) Base RI'!AO259</f>
        <v>863</v>
      </c>
    </row>
    <row r="260" spans="1:27" x14ac:dyDescent="0.25">
      <c r="A260" s="8">
        <f>'A) Base RI'!A260</f>
        <v>5851</v>
      </c>
      <c r="B260" s="32" t="str">
        <f>'A) Base RI'!B260</f>
        <v>Allaman</v>
      </c>
      <c r="C260" s="10">
        <f>'A) Base RI'!C260+'A) Base RI'!D260</f>
        <v>967797.86</v>
      </c>
      <c r="D260" s="10">
        <f>'A) Base RI'!AP260</f>
        <v>-32697.91</v>
      </c>
      <c r="E260" s="398">
        <f>'A) Base RI'!AQ260</f>
        <v>0</v>
      </c>
      <c r="F260" s="398">
        <f>'A) Base RI'!AR260</f>
        <v>-498.12</v>
      </c>
      <c r="G260" s="404">
        <f t="shared" si="18"/>
        <v>934601.83</v>
      </c>
      <c r="H260" s="10">
        <f>+'A) Base RI'!E260</f>
        <v>0</v>
      </c>
      <c r="I260" s="10">
        <f>+'A) Base RI'!F260</f>
        <v>0</v>
      </c>
      <c r="J260" s="10">
        <f>+'A) Base RI'!G260+'A) Base RI'!H260+'A) Base RI'!X260</f>
        <v>105849.20000000001</v>
      </c>
      <c r="K260" s="10">
        <f>+'A) Base RI'!I260</f>
        <v>137387.79999999999</v>
      </c>
      <c r="L260" s="10">
        <f>+'A) Base RI'!J260</f>
        <v>29560.63</v>
      </c>
      <c r="M260" s="10">
        <f>+'A) Base RI'!K260</f>
        <v>29978.65</v>
      </c>
      <c r="N260" s="10">
        <f>+'A) Base RI'!Q260</f>
        <v>0</v>
      </c>
      <c r="O260" s="10">
        <f t="shared" si="19"/>
        <v>221474.72727272726</v>
      </c>
      <c r="P260" s="10">
        <f>+'A) Base RI'!L260</f>
        <v>243622.2</v>
      </c>
      <c r="Q260" s="412">
        <f>'A) Base RI'!AS260</f>
        <v>1.1000000000000001</v>
      </c>
      <c r="R260" s="404">
        <f t="shared" si="20"/>
        <v>1458852.8372727272</v>
      </c>
      <c r="S260" s="457">
        <f>+'A) Base RI'!AN260</f>
        <v>60</v>
      </c>
      <c r="T260" s="404">
        <f t="shared" si="21"/>
        <v>1207399.46</v>
      </c>
      <c r="U260" s="404">
        <f t="shared" si="22"/>
        <v>24314.213954545452</v>
      </c>
      <c r="V260" s="10">
        <f>+'A) Base RI'!O260</f>
        <v>0</v>
      </c>
      <c r="W260" s="10">
        <f>+'A) Base RI'!P260</f>
        <v>207.65</v>
      </c>
      <c r="X260" s="10">
        <f>+'A) Base RI'!R260</f>
        <v>0</v>
      </c>
      <c r="Y260" s="404">
        <f t="shared" si="23"/>
        <v>207.65</v>
      </c>
      <c r="Z260" s="10">
        <f>+'A) Base RI'!N260</f>
        <v>73719.45</v>
      </c>
      <c r="AA260" s="10">
        <f>'A) Base RI'!AO260</f>
        <v>443</v>
      </c>
    </row>
    <row r="261" spans="1:27" x14ac:dyDescent="0.25">
      <c r="A261" s="8">
        <f>'A) Base RI'!A261</f>
        <v>5852</v>
      </c>
      <c r="B261" s="32" t="str">
        <f>'A) Base RI'!B261</f>
        <v>Bursinel</v>
      </c>
      <c r="C261" s="10">
        <f>'A) Base RI'!C261+'A) Base RI'!D261</f>
        <v>2336894.7999999998</v>
      </c>
      <c r="D261" s="10">
        <f>'A) Base RI'!AP261</f>
        <v>-19184.080000000002</v>
      </c>
      <c r="E261" s="398">
        <f>'A) Base RI'!AQ261</f>
        <v>0</v>
      </c>
      <c r="F261" s="398">
        <f>'A) Base RI'!AR261</f>
        <v>-2256.67</v>
      </c>
      <c r="G261" s="404">
        <f t="shared" si="18"/>
        <v>2315454.0499999998</v>
      </c>
      <c r="H261" s="10">
        <f>+'A) Base RI'!E261</f>
        <v>0</v>
      </c>
      <c r="I261" s="10">
        <f>+'A) Base RI'!F261</f>
        <v>0</v>
      </c>
      <c r="J261" s="10">
        <f>+'A) Base RI'!G261+'A) Base RI'!H261+'A) Base RI'!X261</f>
        <v>15199.699999999999</v>
      </c>
      <c r="K261" s="10">
        <f>+'A) Base RI'!I261</f>
        <v>207092.4</v>
      </c>
      <c r="L261" s="10">
        <f>+'A) Base RI'!J261</f>
        <v>-64794.71</v>
      </c>
      <c r="M261" s="10">
        <f>+'A) Base RI'!K261</f>
        <v>7344.35</v>
      </c>
      <c r="N261" s="10">
        <f>+'A) Base RI'!Q261</f>
        <v>0</v>
      </c>
      <c r="O261" s="10">
        <f t="shared" si="19"/>
        <v>185961.33333333334</v>
      </c>
      <c r="P261" s="10">
        <f>+'A) Base RI'!L261</f>
        <v>139471</v>
      </c>
      <c r="Q261" s="412">
        <f>'A) Base RI'!AS261</f>
        <v>0.75</v>
      </c>
      <c r="R261" s="404">
        <f t="shared" si="20"/>
        <v>2666257.1233333335</v>
      </c>
      <c r="S261" s="457">
        <f>+'A) Base RI'!AN261</f>
        <v>65.5</v>
      </c>
      <c r="T261" s="404">
        <f t="shared" si="21"/>
        <v>2472951.44</v>
      </c>
      <c r="U261" s="404">
        <f t="shared" si="22"/>
        <v>40706.215623409669</v>
      </c>
      <c r="V261" s="10">
        <f>+'A) Base RI'!O261</f>
        <v>0</v>
      </c>
      <c r="W261" s="10">
        <f>+'A) Base RI'!P261</f>
        <v>61570.65</v>
      </c>
      <c r="X261" s="10">
        <f>+'A) Base RI'!R261</f>
        <v>13682.65</v>
      </c>
      <c r="Y261" s="404">
        <f t="shared" si="23"/>
        <v>75253.3</v>
      </c>
      <c r="Z261" s="10">
        <f>+'A) Base RI'!N261</f>
        <v>8183.75</v>
      </c>
      <c r="AA261" s="10">
        <f>'A) Base RI'!AO261</f>
        <v>491</v>
      </c>
    </row>
    <row r="262" spans="1:27" x14ac:dyDescent="0.25">
      <c r="A262" s="8">
        <f>'A) Base RI'!A262</f>
        <v>5853</v>
      </c>
      <c r="B262" s="32" t="str">
        <f>'A) Base RI'!B262</f>
        <v>Bursins</v>
      </c>
      <c r="C262" s="10">
        <f>'A) Base RI'!C262+'A) Base RI'!D262</f>
        <v>2527880.35</v>
      </c>
      <c r="D262" s="10">
        <f>'A) Base RI'!AP262</f>
        <v>-116166.46</v>
      </c>
      <c r="E262" s="398">
        <f>'A) Base RI'!AQ262</f>
        <v>0</v>
      </c>
      <c r="F262" s="398">
        <f>'A) Base RI'!AR262</f>
        <v>-1408.33</v>
      </c>
      <c r="G262" s="404">
        <f t="shared" si="18"/>
        <v>2410305.56</v>
      </c>
      <c r="H262" s="10">
        <f>+'A) Base RI'!E262</f>
        <v>0</v>
      </c>
      <c r="I262" s="10">
        <f>+'A) Base RI'!F262</f>
        <v>0</v>
      </c>
      <c r="J262" s="10">
        <f>+'A) Base RI'!G262+'A) Base RI'!H262+'A) Base RI'!X262</f>
        <v>67990.3</v>
      </c>
      <c r="K262" s="10">
        <f>+'A) Base RI'!I262</f>
        <v>192967.04000000001</v>
      </c>
      <c r="L262" s="10">
        <f>+'A) Base RI'!J262</f>
        <v>84796</v>
      </c>
      <c r="M262" s="10">
        <f>+'A) Base RI'!K262</f>
        <v>15561.65</v>
      </c>
      <c r="N262" s="10">
        <f>+'A) Base RI'!Q262</f>
        <v>684.76</v>
      </c>
      <c r="O262" s="10">
        <f t="shared" si="19"/>
        <v>210822.3</v>
      </c>
      <c r="P262" s="10">
        <f>+'A) Base RI'!L262</f>
        <v>210822.3</v>
      </c>
      <c r="Q262" s="412">
        <f>'A) Base RI'!AS262</f>
        <v>1</v>
      </c>
      <c r="R262" s="404">
        <f t="shared" si="20"/>
        <v>2983127.6099999994</v>
      </c>
      <c r="S262" s="457">
        <f>+'A) Base RI'!AN262</f>
        <v>71</v>
      </c>
      <c r="T262" s="404">
        <f t="shared" si="21"/>
        <v>2756743.6599999997</v>
      </c>
      <c r="U262" s="404">
        <f t="shared" si="22"/>
        <v>42015.881830985905</v>
      </c>
      <c r="V262" s="10">
        <f>+'A) Base RI'!O262</f>
        <v>6636346.2000000002</v>
      </c>
      <c r="W262" s="10">
        <f>+'A) Base RI'!P262</f>
        <v>221924.2</v>
      </c>
      <c r="X262" s="10">
        <f>+'A) Base RI'!R262</f>
        <v>268394.8</v>
      </c>
      <c r="Y262" s="404">
        <f t="shared" si="23"/>
        <v>7126665.2000000002</v>
      </c>
      <c r="Z262" s="10">
        <f>+'A) Base RI'!N262</f>
        <v>65850.05</v>
      </c>
      <c r="AA262" s="10">
        <f>'A) Base RI'!AO262</f>
        <v>773</v>
      </c>
    </row>
    <row r="263" spans="1:27" x14ac:dyDescent="0.25">
      <c r="A263" s="8">
        <f>'A) Base RI'!A263</f>
        <v>5854</v>
      </c>
      <c r="B263" s="32" t="str">
        <f>'A) Base RI'!B263</f>
        <v>Burtigny</v>
      </c>
      <c r="C263" s="10">
        <f>'A) Base RI'!C263+'A) Base RI'!D263</f>
        <v>787618.16</v>
      </c>
      <c r="D263" s="10">
        <f>'A) Base RI'!AP263</f>
        <v>-6688.48</v>
      </c>
      <c r="E263" s="398">
        <f>'A) Base RI'!AQ263</f>
        <v>0</v>
      </c>
      <c r="F263" s="398">
        <f>'A) Base RI'!AR263</f>
        <v>-393.73</v>
      </c>
      <c r="G263" s="404">
        <f t="shared" si="18"/>
        <v>780535.95000000007</v>
      </c>
      <c r="H263" s="10">
        <f>+'A) Base RI'!E263</f>
        <v>0</v>
      </c>
      <c r="I263" s="10">
        <f>+'A) Base RI'!F263</f>
        <v>0</v>
      </c>
      <c r="J263" s="10">
        <f>+'A) Base RI'!G263+'A) Base RI'!H263+'A) Base RI'!X263</f>
        <v>7.4999999999990221</v>
      </c>
      <c r="K263" s="10">
        <f>+'A) Base RI'!I263</f>
        <v>0</v>
      </c>
      <c r="L263" s="10">
        <f>+'A) Base RI'!J263</f>
        <v>4608.1000000000004</v>
      </c>
      <c r="M263" s="10">
        <f>+'A) Base RI'!K263</f>
        <v>2031.9</v>
      </c>
      <c r="N263" s="10">
        <f>+'A) Base RI'!Q263</f>
        <v>745.3</v>
      </c>
      <c r="O263" s="10">
        <f t="shared" si="19"/>
        <v>74702.766666666663</v>
      </c>
      <c r="P263" s="10">
        <f>+'A) Base RI'!L263</f>
        <v>112054.15</v>
      </c>
      <c r="Q263" s="412">
        <f>'A) Base RI'!AS263</f>
        <v>1.5</v>
      </c>
      <c r="R263" s="404">
        <f t="shared" si="20"/>
        <v>862631.51666666684</v>
      </c>
      <c r="S263" s="457">
        <f>+'A) Base RI'!AN263</f>
        <v>80</v>
      </c>
      <c r="T263" s="404">
        <f t="shared" si="21"/>
        <v>785896.85000000009</v>
      </c>
      <c r="U263" s="404">
        <f t="shared" si="22"/>
        <v>10782.893958333336</v>
      </c>
      <c r="V263" s="10">
        <f>+'A) Base RI'!O263</f>
        <v>0</v>
      </c>
      <c r="W263" s="10">
        <f>+'A) Base RI'!P263</f>
        <v>37590</v>
      </c>
      <c r="X263" s="10">
        <f>+'A) Base RI'!R263</f>
        <v>68535.350000000006</v>
      </c>
      <c r="Y263" s="404">
        <f t="shared" si="23"/>
        <v>106125.35</v>
      </c>
      <c r="Z263" s="10">
        <f>+'A) Base RI'!N263</f>
        <v>24487.9</v>
      </c>
      <c r="AA263" s="10">
        <f>'A) Base RI'!AO263</f>
        <v>404</v>
      </c>
    </row>
    <row r="264" spans="1:27" x14ac:dyDescent="0.25">
      <c r="A264" s="8">
        <f>'A) Base RI'!A264</f>
        <v>5855</v>
      </c>
      <c r="B264" s="32" t="str">
        <f>'A) Base RI'!B264</f>
        <v>Dully</v>
      </c>
      <c r="C264" s="10">
        <f>'A) Base RI'!C264+'A) Base RI'!D264</f>
        <v>3394557.16</v>
      </c>
      <c r="D264" s="10">
        <f>'A) Base RI'!AP264</f>
        <v>-16694.16</v>
      </c>
      <c r="E264" s="398">
        <f>'A) Base RI'!AQ264</f>
        <v>0</v>
      </c>
      <c r="F264" s="398">
        <f>'A) Base RI'!AR264</f>
        <v>-19267.39</v>
      </c>
      <c r="G264" s="404">
        <f t="shared" ref="G264:G315" si="24">SUM(C264:F264)</f>
        <v>3358595.61</v>
      </c>
      <c r="H264" s="10">
        <f>+'A) Base RI'!E264</f>
        <v>0</v>
      </c>
      <c r="I264" s="10">
        <f>+'A) Base RI'!F264</f>
        <v>0</v>
      </c>
      <c r="J264" s="10">
        <f>+'A) Base RI'!G264+'A) Base RI'!H264+'A) Base RI'!X264</f>
        <v>69687.460000000006</v>
      </c>
      <c r="K264" s="10">
        <f>+'A) Base RI'!I264</f>
        <v>624296.19999999995</v>
      </c>
      <c r="L264" s="10">
        <f>+'A) Base RI'!J264</f>
        <v>20299.87</v>
      </c>
      <c r="M264" s="10">
        <f>+'A) Base RI'!K264</f>
        <v>12031</v>
      </c>
      <c r="N264" s="10">
        <f>+'A) Base RI'!Q264</f>
        <v>13553.69</v>
      </c>
      <c r="O264" s="10">
        <f t="shared" ref="O264:O315" si="25">(P264/Q264)*1</f>
        <v>711303.4</v>
      </c>
      <c r="P264" s="10">
        <f>+'A) Base RI'!L264</f>
        <v>355651.7</v>
      </c>
      <c r="Q264" s="412">
        <f>'A) Base RI'!AS264</f>
        <v>0.5</v>
      </c>
      <c r="R264" s="404">
        <f t="shared" ref="R264:R315" si="26">SUM(G264:O264)</f>
        <v>4809767.2299999995</v>
      </c>
      <c r="S264" s="457">
        <f>+'A) Base RI'!AN264</f>
        <v>49</v>
      </c>
      <c r="T264" s="404">
        <f t="shared" ref="T264:T315" si="27">(G264+H264+J264+K264+L264+N264)</f>
        <v>4086432.8299999996</v>
      </c>
      <c r="U264" s="404">
        <f t="shared" ref="U264:U315" si="28">R264/S264</f>
        <v>98158.514897959176</v>
      </c>
      <c r="V264" s="10">
        <f>+'A) Base RI'!O264</f>
        <v>0</v>
      </c>
      <c r="W264" s="10">
        <f>+'A) Base RI'!P264</f>
        <v>281968.5</v>
      </c>
      <c r="X264" s="10">
        <f>+'A) Base RI'!R264</f>
        <v>259119.6</v>
      </c>
      <c r="Y264" s="404">
        <f t="shared" ref="Y264:Y315" si="29">SUM(V264:X264)</f>
        <v>541088.1</v>
      </c>
      <c r="Z264" s="10">
        <f>+'A) Base RI'!N264</f>
        <v>1221.55</v>
      </c>
      <c r="AA264" s="10">
        <f>'A) Base RI'!AO264</f>
        <v>628</v>
      </c>
    </row>
    <row r="265" spans="1:27" x14ac:dyDescent="0.25">
      <c r="A265" s="8">
        <f>'A) Base RI'!A265</f>
        <v>5856</v>
      </c>
      <c r="B265" s="32" t="str">
        <f>'A) Base RI'!B265</f>
        <v>Essertines-sur-Rolle</v>
      </c>
      <c r="C265" s="10">
        <f>'A) Base RI'!C265+'A) Base RI'!D265</f>
        <v>1935598.13</v>
      </c>
      <c r="D265" s="10">
        <f>'A) Base RI'!AP265</f>
        <v>-16746.740000000002</v>
      </c>
      <c r="E265" s="398">
        <f>'A) Base RI'!AQ265</f>
        <v>0</v>
      </c>
      <c r="F265" s="398">
        <f>'A) Base RI'!AR265</f>
        <v>-1487.96</v>
      </c>
      <c r="G265" s="404">
        <f t="shared" si="24"/>
        <v>1917363.43</v>
      </c>
      <c r="H265" s="10">
        <f>+'A) Base RI'!E265</f>
        <v>0</v>
      </c>
      <c r="I265" s="10">
        <f>+'A) Base RI'!F265</f>
        <v>0</v>
      </c>
      <c r="J265" s="10">
        <f>+'A) Base RI'!G265+'A) Base RI'!H265+'A) Base RI'!X265</f>
        <v>1602.81</v>
      </c>
      <c r="K265" s="10">
        <f>+'A) Base RI'!I265</f>
        <v>246810.25</v>
      </c>
      <c r="L265" s="10">
        <f>+'A) Base RI'!J265</f>
        <v>19297.080000000002</v>
      </c>
      <c r="M265" s="10">
        <f>+'A) Base RI'!K265</f>
        <v>974.25</v>
      </c>
      <c r="N265" s="10">
        <f>+'A) Base RI'!Q265</f>
        <v>0</v>
      </c>
      <c r="O265" s="10">
        <f t="shared" si="25"/>
        <v>188776.80769230769</v>
      </c>
      <c r="P265" s="10">
        <f>+'A) Base RI'!L265</f>
        <v>245409.85</v>
      </c>
      <c r="Q265" s="412">
        <f>'A) Base RI'!AS265</f>
        <v>1.3</v>
      </c>
      <c r="R265" s="404">
        <f t="shared" si="26"/>
        <v>2374824.6276923078</v>
      </c>
      <c r="S265" s="457">
        <f>+'A) Base RI'!AN265</f>
        <v>66.5</v>
      </c>
      <c r="T265" s="404">
        <f t="shared" si="27"/>
        <v>2185073.5700000003</v>
      </c>
      <c r="U265" s="404">
        <f t="shared" si="28"/>
        <v>35711.648536726432</v>
      </c>
      <c r="V265" s="10">
        <f>+'A) Base RI'!O265</f>
        <v>2586.6</v>
      </c>
      <c r="W265" s="10">
        <f>+'A) Base RI'!P265</f>
        <v>174442.55</v>
      </c>
      <c r="X265" s="10">
        <f>+'A) Base RI'!R265</f>
        <v>98051.85</v>
      </c>
      <c r="Y265" s="404">
        <f t="shared" si="29"/>
        <v>275081</v>
      </c>
      <c r="Z265" s="10">
        <f>+'A) Base RI'!N265</f>
        <v>7661.75</v>
      </c>
      <c r="AA265" s="10">
        <f>'A) Base RI'!AO265</f>
        <v>740</v>
      </c>
    </row>
    <row r="266" spans="1:27" x14ac:dyDescent="0.25">
      <c r="A266" s="8">
        <f>'A) Base RI'!A266</f>
        <v>5857</v>
      </c>
      <c r="B266" s="32" t="str">
        <f>'A) Base RI'!B266</f>
        <v>Gilly</v>
      </c>
      <c r="C266" s="10">
        <f>'A) Base RI'!C266+'A) Base RI'!D266</f>
        <v>4851683.63</v>
      </c>
      <c r="D266" s="10">
        <f>'A) Base RI'!AP266</f>
        <v>-20777.62</v>
      </c>
      <c r="E266" s="398">
        <f>'A) Base RI'!AQ266</f>
        <v>0</v>
      </c>
      <c r="F266" s="398">
        <f>'A) Base RI'!AR266</f>
        <v>-1154.3499999999999</v>
      </c>
      <c r="G266" s="404">
        <f t="shared" si="24"/>
        <v>4829751.66</v>
      </c>
      <c r="H266" s="10">
        <f>+'A) Base RI'!E266</f>
        <v>0</v>
      </c>
      <c r="I266" s="10">
        <f>+'A) Base RI'!F266</f>
        <v>0</v>
      </c>
      <c r="J266" s="10">
        <f>+'A) Base RI'!G266+'A) Base RI'!H266+'A) Base RI'!X266</f>
        <v>-6109.869999999999</v>
      </c>
      <c r="K266" s="10">
        <f>+'A) Base RI'!I266</f>
        <v>0</v>
      </c>
      <c r="L266" s="10">
        <f>+'A) Base RI'!J266</f>
        <v>44842.03</v>
      </c>
      <c r="M266" s="10">
        <f>+'A) Base RI'!K266</f>
        <v>12376.1</v>
      </c>
      <c r="N266" s="10">
        <f>+'A) Base RI'!Q266</f>
        <v>1.81</v>
      </c>
      <c r="O266" s="10">
        <f t="shared" si="25"/>
        <v>416421.6</v>
      </c>
      <c r="P266" s="10">
        <f>+'A) Base RI'!L266</f>
        <v>416421.6</v>
      </c>
      <c r="Q266" s="412">
        <f>'A) Base RI'!AS266</f>
        <v>1</v>
      </c>
      <c r="R266" s="404">
        <f t="shared" si="26"/>
        <v>5297283.3299999991</v>
      </c>
      <c r="S266" s="457">
        <f>+'A) Base RI'!AN266</f>
        <v>64.5</v>
      </c>
      <c r="T266" s="404">
        <f t="shared" si="27"/>
        <v>4868485.63</v>
      </c>
      <c r="U266" s="404">
        <f t="shared" si="28"/>
        <v>82128.423720930223</v>
      </c>
      <c r="V266" s="10">
        <f>+'A) Base RI'!O266</f>
        <v>7273.5</v>
      </c>
      <c r="W266" s="10">
        <f>+'A) Base RI'!P266</f>
        <v>167585.70000000001</v>
      </c>
      <c r="X266" s="10">
        <f>+'A) Base RI'!R266</f>
        <v>55483.5</v>
      </c>
      <c r="Y266" s="404">
        <f t="shared" si="29"/>
        <v>230342.7</v>
      </c>
      <c r="Z266" s="10">
        <f>+'A) Base RI'!N266</f>
        <v>83818.8</v>
      </c>
      <c r="AA266" s="10">
        <f>'A) Base RI'!AO266</f>
        <v>1428</v>
      </c>
    </row>
    <row r="267" spans="1:27" x14ac:dyDescent="0.25">
      <c r="A267" s="8">
        <f>'A) Base RI'!A267</f>
        <v>5858</v>
      </c>
      <c r="B267" s="32" t="str">
        <f>'A) Base RI'!B267</f>
        <v>Luins</v>
      </c>
      <c r="C267" s="10">
        <f>'A) Base RI'!C267+'A) Base RI'!D267</f>
        <v>1993778.2799999998</v>
      </c>
      <c r="D267" s="10">
        <f>'A) Base RI'!AP267</f>
        <v>-41048.5</v>
      </c>
      <c r="E267" s="398">
        <f>'A) Base RI'!AQ267</f>
        <v>0</v>
      </c>
      <c r="F267" s="398">
        <f>'A) Base RI'!AR267</f>
        <v>-4349.6899999999996</v>
      </c>
      <c r="G267" s="404">
        <f t="shared" si="24"/>
        <v>1948380.0899999999</v>
      </c>
      <c r="H267" s="10">
        <f>+'A) Base RI'!E267</f>
        <v>0</v>
      </c>
      <c r="I267" s="10">
        <f>+'A) Base RI'!F267</f>
        <v>0</v>
      </c>
      <c r="J267" s="10">
        <f>+'A) Base RI'!G267+'A) Base RI'!H267+'A) Base RI'!X267</f>
        <v>39713.99</v>
      </c>
      <c r="K267" s="10">
        <f>+'A) Base RI'!I267</f>
        <v>176046.84</v>
      </c>
      <c r="L267" s="10">
        <f>+'A) Base RI'!J267</f>
        <v>34452.339999999997</v>
      </c>
      <c r="M267" s="10">
        <f>+'A) Base RI'!K267</f>
        <v>1071.1500000000001</v>
      </c>
      <c r="N267" s="10">
        <f>+'A) Base RI'!Q267</f>
        <v>1660.35</v>
      </c>
      <c r="O267" s="10">
        <f t="shared" si="25"/>
        <v>155679.86666666667</v>
      </c>
      <c r="P267" s="10">
        <f>+'A) Base RI'!L267</f>
        <v>233519.8</v>
      </c>
      <c r="Q267" s="412">
        <f>'A) Base RI'!AS267</f>
        <v>1.5</v>
      </c>
      <c r="R267" s="404">
        <f t="shared" si="26"/>
        <v>2357004.6266666665</v>
      </c>
      <c r="S267" s="457">
        <f>+'A) Base RI'!AN267</f>
        <v>58.5</v>
      </c>
      <c r="T267" s="404">
        <f t="shared" si="27"/>
        <v>2200253.61</v>
      </c>
      <c r="U267" s="404">
        <f t="shared" si="28"/>
        <v>40290.677378917375</v>
      </c>
      <c r="V267" s="10">
        <f>+'A) Base RI'!O267</f>
        <v>19001.400000000001</v>
      </c>
      <c r="W267" s="10">
        <f>+'A) Base RI'!P267</f>
        <v>74517.25</v>
      </c>
      <c r="X267" s="10">
        <f>+'A) Base RI'!R267</f>
        <v>21161.9</v>
      </c>
      <c r="Y267" s="404">
        <f t="shared" si="29"/>
        <v>114680.54999999999</v>
      </c>
      <c r="Z267" s="10">
        <f>+'A) Base RI'!N267</f>
        <v>4072.3</v>
      </c>
      <c r="AA267" s="10">
        <f>'A) Base RI'!AO267</f>
        <v>619</v>
      </c>
    </row>
    <row r="268" spans="1:27" x14ac:dyDescent="0.25">
      <c r="A268" s="8">
        <f>'A) Base RI'!A268</f>
        <v>5859</v>
      </c>
      <c r="B268" s="32" t="str">
        <f>'A) Base RI'!B268</f>
        <v>Mont-sur-Rolle</v>
      </c>
      <c r="C268" s="10">
        <f>'A) Base RI'!C268+'A) Base RI'!D268</f>
        <v>8159276.6799999997</v>
      </c>
      <c r="D268" s="10">
        <f>'A) Base RI'!AP268</f>
        <v>-59061.15</v>
      </c>
      <c r="E268" s="398">
        <f>'A) Base RI'!AQ268</f>
        <v>0</v>
      </c>
      <c r="F268" s="398">
        <f>'A) Base RI'!AR268</f>
        <v>-20714.57</v>
      </c>
      <c r="G268" s="404">
        <f t="shared" si="24"/>
        <v>8079500.959999999</v>
      </c>
      <c r="H268" s="10">
        <f>+'A) Base RI'!E268</f>
        <v>0</v>
      </c>
      <c r="I268" s="10">
        <f>+'A) Base RI'!F268</f>
        <v>0</v>
      </c>
      <c r="J268" s="10">
        <f>+'A) Base RI'!G268+'A) Base RI'!H268+'A) Base RI'!X268</f>
        <v>81808.87</v>
      </c>
      <c r="K268" s="10">
        <f>+'A) Base RI'!I268</f>
        <v>325204.3</v>
      </c>
      <c r="L268" s="10">
        <f>+'A) Base RI'!J268</f>
        <v>116484.27</v>
      </c>
      <c r="M268" s="10">
        <f>+'A) Base RI'!K268</f>
        <v>23121.5</v>
      </c>
      <c r="N268" s="10">
        <f>+'A) Base RI'!Q268</f>
        <v>9685.19</v>
      </c>
      <c r="O268" s="10">
        <f t="shared" si="25"/>
        <v>664772.1</v>
      </c>
      <c r="P268" s="10">
        <f>+'A) Base RI'!L268</f>
        <v>664772.1</v>
      </c>
      <c r="Q268" s="412">
        <f>'A) Base RI'!AS268</f>
        <v>1</v>
      </c>
      <c r="R268" s="404">
        <f t="shared" si="26"/>
        <v>9300577.1899999976</v>
      </c>
      <c r="S268" s="457">
        <f>+'A) Base RI'!AN268</f>
        <v>63.5</v>
      </c>
      <c r="T268" s="404">
        <f t="shared" si="27"/>
        <v>8612683.589999998</v>
      </c>
      <c r="U268" s="404">
        <f t="shared" si="28"/>
        <v>146465.78251968499</v>
      </c>
      <c r="V268" s="10">
        <f>+'A) Base RI'!O268</f>
        <v>102227.9</v>
      </c>
      <c r="W268" s="10">
        <f>+'A) Base RI'!P268</f>
        <v>342244.95</v>
      </c>
      <c r="X268" s="10">
        <f>+'A) Base RI'!R268</f>
        <v>207997.85</v>
      </c>
      <c r="Y268" s="404">
        <f t="shared" si="29"/>
        <v>652470.69999999995</v>
      </c>
      <c r="Z268" s="10">
        <f>+'A) Base RI'!N268</f>
        <v>117869.3</v>
      </c>
      <c r="AA268" s="10">
        <f>'A) Base RI'!AO268</f>
        <v>2646</v>
      </c>
    </row>
    <row r="269" spans="1:27" x14ac:dyDescent="0.25">
      <c r="A269" s="8">
        <f>'A) Base RI'!A269</f>
        <v>5860</v>
      </c>
      <c r="B269" s="32" t="str">
        <f>'A) Base RI'!B269</f>
        <v>Perroy</v>
      </c>
      <c r="C269" s="10">
        <f>'A) Base RI'!C269+'A) Base RI'!D269</f>
        <v>9778211.3599999994</v>
      </c>
      <c r="D269" s="10">
        <f>'A) Base RI'!AP269</f>
        <v>-96821.82</v>
      </c>
      <c r="E269" s="398">
        <f>'A) Base RI'!AQ269</f>
        <v>0</v>
      </c>
      <c r="F269" s="398">
        <f>'A) Base RI'!AR269</f>
        <v>-17501.400000000001</v>
      </c>
      <c r="G269" s="404">
        <f t="shared" si="24"/>
        <v>9663888.1399999987</v>
      </c>
      <c r="H269" s="10">
        <f>+'A) Base RI'!E269</f>
        <v>0</v>
      </c>
      <c r="I269" s="10">
        <f>+'A) Base RI'!F269</f>
        <v>0</v>
      </c>
      <c r="J269" s="10">
        <f>+'A) Base RI'!G269+'A) Base RI'!H269+'A) Base RI'!X269</f>
        <v>174555.09</v>
      </c>
      <c r="K269" s="10">
        <f>+'A) Base RI'!I269</f>
        <v>494034.2</v>
      </c>
      <c r="L269" s="10">
        <f>+'A) Base RI'!J269</f>
        <v>66967.210000000006</v>
      </c>
      <c r="M269" s="10">
        <f>+'A) Base RI'!K269</f>
        <v>28394.799999999999</v>
      </c>
      <c r="N269" s="10">
        <f>+'A) Base RI'!Q269</f>
        <v>3443.13</v>
      </c>
      <c r="O269" s="10">
        <f t="shared" si="25"/>
        <v>518486.76923076925</v>
      </c>
      <c r="P269" s="10">
        <f>+'A) Base RI'!L269</f>
        <v>674032.8</v>
      </c>
      <c r="Q269" s="412">
        <f>'A) Base RI'!AS269</f>
        <v>1.3</v>
      </c>
      <c r="R269" s="404">
        <f t="shared" si="26"/>
        <v>10949769.33923077</v>
      </c>
      <c r="S269" s="457">
        <f>+'A) Base RI'!AN269</f>
        <v>58.5</v>
      </c>
      <c r="T269" s="404">
        <f t="shared" si="27"/>
        <v>10402887.77</v>
      </c>
      <c r="U269" s="404">
        <f t="shared" si="28"/>
        <v>187175.54426035503</v>
      </c>
      <c r="V269" s="10">
        <f>+'A) Base RI'!O269</f>
        <v>27524.7</v>
      </c>
      <c r="W269" s="10">
        <f>+'A) Base RI'!P269</f>
        <v>480096.5</v>
      </c>
      <c r="X269" s="10">
        <f>+'A) Base RI'!R269</f>
        <v>711859.85</v>
      </c>
      <c r="Y269" s="404">
        <f t="shared" si="29"/>
        <v>1219481.05</v>
      </c>
      <c r="Z269" s="10">
        <f>+'A) Base RI'!N269</f>
        <v>22451.35</v>
      </c>
      <c r="AA269" s="10">
        <f>'A) Base RI'!AO269</f>
        <v>1518</v>
      </c>
    </row>
    <row r="270" spans="1:27" x14ac:dyDescent="0.25">
      <c r="A270" s="8">
        <f>'A) Base RI'!A270</f>
        <v>5861</v>
      </c>
      <c r="B270" s="32" t="str">
        <f>'A) Base RI'!B270</f>
        <v>Rolle</v>
      </c>
      <c r="C270" s="10">
        <f>'A) Base RI'!C270+'A) Base RI'!D270</f>
        <v>17270682.050000001</v>
      </c>
      <c r="D270" s="10">
        <f>'A) Base RI'!AP270</f>
        <v>-203108.18</v>
      </c>
      <c r="E270" s="398">
        <f>'A) Base RI'!AQ270</f>
        <v>0</v>
      </c>
      <c r="F270" s="398">
        <f>'A) Base RI'!AR270</f>
        <v>-134280.85</v>
      </c>
      <c r="G270" s="404">
        <f t="shared" si="24"/>
        <v>16933293.02</v>
      </c>
      <c r="H270" s="10">
        <f>+'A) Base RI'!E270</f>
        <v>0</v>
      </c>
      <c r="I270" s="10">
        <f>+'A) Base RI'!F270</f>
        <v>0</v>
      </c>
      <c r="J270" s="10">
        <f>+'A) Base RI'!G270+'A) Base RI'!H270+'A) Base RI'!X270</f>
        <v>94025236.960000008</v>
      </c>
      <c r="K270" s="10">
        <f>+'A) Base RI'!I270</f>
        <v>278867.45</v>
      </c>
      <c r="L270" s="10">
        <f>+'A) Base RI'!J270</f>
        <v>2067650.94</v>
      </c>
      <c r="M270" s="10">
        <f>+'A) Base RI'!K270</f>
        <v>146593.04999999999</v>
      </c>
      <c r="N270" s="10">
        <f>+'A) Base RI'!Q270</f>
        <v>33825.89</v>
      </c>
      <c r="O270" s="10">
        <f t="shared" si="25"/>
        <v>1845516.8</v>
      </c>
      <c r="P270" s="10">
        <f>+'A) Base RI'!L270</f>
        <v>1845516.8</v>
      </c>
      <c r="Q270" s="412">
        <f>'A) Base RI'!AS270</f>
        <v>1</v>
      </c>
      <c r="R270" s="404">
        <f t="shared" si="26"/>
        <v>115330984.11</v>
      </c>
      <c r="S270" s="457">
        <f>+'A) Base RI'!AN270</f>
        <v>59.5</v>
      </c>
      <c r="T270" s="404">
        <f t="shared" si="27"/>
        <v>113338874.26000001</v>
      </c>
      <c r="U270" s="404">
        <f t="shared" si="28"/>
        <v>1938335.8673949579</v>
      </c>
      <c r="V270" s="10">
        <f>+'A) Base RI'!O270</f>
        <v>287516.09999999998</v>
      </c>
      <c r="W270" s="10">
        <f>+'A) Base RI'!P270</f>
        <v>924862.7</v>
      </c>
      <c r="X270" s="10">
        <f>+'A) Base RI'!R270</f>
        <v>514069.1</v>
      </c>
      <c r="Y270" s="404">
        <f t="shared" si="29"/>
        <v>1726447.9</v>
      </c>
      <c r="Z270" s="10">
        <f>+'A) Base RI'!N270</f>
        <v>582154.1</v>
      </c>
      <c r="AA270" s="10">
        <f>'A) Base RI'!AO270</f>
        <v>6259</v>
      </c>
    </row>
    <row r="271" spans="1:27" x14ac:dyDescent="0.25">
      <c r="A271" s="8">
        <f>'A) Base RI'!A271</f>
        <v>5862</v>
      </c>
      <c r="B271" s="32" t="str">
        <f>'A) Base RI'!B271</f>
        <v>Tartegnin</v>
      </c>
      <c r="C271" s="10">
        <f>'A) Base RI'!C271+'A) Base RI'!D271</f>
        <v>592947.36</v>
      </c>
      <c r="D271" s="10">
        <f>'A) Base RI'!AP271</f>
        <v>-12404.54</v>
      </c>
      <c r="E271" s="398">
        <f>'A) Base RI'!AQ271</f>
        <v>0</v>
      </c>
      <c r="F271" s="398">
        <f>'A) Base RI'!AR271</f>
        <v>-43.81</v>
      </c>
      <c r="G271" s="404">
        <f t="shared" si="24"/>
        <v>580499.00999999989</v>
      </c>
      <c r="H271" s="10">
        <f>+'A) Base RI'!E271</f>
        <v>0</v>
      </c>
      <c r="I271" s="10">
        <f>+'A) Base RI'!F271</f>
        <v>0</v>
      </c>
      <c r="J271" s="10">
        <f>+'A) Base RI'!G271+'A) Base RI'!H271+'A) Base RI'!X271</f>
        <v>9995.9700000000012</v>
      </c>
      <c r="K271" s="10">
        <f>+'A) Base RI'!I271</f>
        <v>0</v>
      </c>
      <c r="L271" s="10">
        <f>+'A) Base RI'!J271</f>
        <v>-535.36</v>
      </c>
      <c r="M271" s="10">
        <f>+'A) Base RI'!K271</f>
        <v>0</v>
      </c>
      <c r="N271" s="10">
        <f>+'A) Base RI'!Q271</f>
        <v>0.49</v>
      </c>
      <c r="O271" s="10">
        <f t="shared" si="25"/>
        <v>49658.5</v>
      </c>
      <c r="P271" s="10">
        <f>+'A) Base RI'!L271</f>
        <v>49658.5</v>
      </c>
      <c r="Q271" s="412">
        <f>'A) Base RI'!AS271</f>
        <v>1</v>
      </c>
      <c r="R271" s="404">
        <f t="shared" si="26"/>
        <v>639618.60999999987</v>
      </c>
      <c r="S271" s="457">
        <f>+'A) Base RI'!AN271</f>
        <v>79</v>
      </c>
      <c r="T271" s="404">
        <f t="shared" si="27"/>
        <v>589960.10999999987</v>
      </c>
      <c r="U271" s="404">
        <f t="shared" si="28"/>
        <v>8096.4381012658214</v>
      </c>
      <c r="V271" s="10">
        <f>+'A) Base RI'!O271</f>
        <v>1757.6</v>
      </c>
      <c r="W271" s="10">
        <f>+'A) Base RI'!P271</f>
        <v>0</v>
      </c>
      <c r="X271" s="10">
        <f>+'A) Base RI'!R271</f>
        <v>-3733.3</v>
      </c>
      <c r="Y271" s="404">
        <f t="shared" si="29"/>
        <v>-1975.7000000000003</v>
      </c>
      <c r="Z271" s="10">
        <f>+'A) Base RI'!N271</f>
        <v>11024.15</v>
      </c>
      <c r="AA271" s="10">
        <f>'A) Base RI'!AO271</f>
        <v>236</v>
      </c>
    </row>
    <row r="272" spans="1:27" x14ac:dyDescent="0.25">
      <c r="A272" s="8">
        <f>'A) Base RI'!A272</f>
        <v>5863</v>
      </c>
      <c r="B272" s="32" t="str">
        <f>'A) Base RI'!B272</f>
        <v>Vinzel</v>
      </c>
      <c r="C272" s="10">
        <f>'A) Base RI'!C272+'A) Base RI'!D272</f>
        <v>1248388.8900000001</v>
      </c>
      <c r="D272" s="10">
        <f>'A) Base RI'!AP272</f>
        <v>-1184.92</v>
      </c>
      <c r="E272" s="398">
        <f>'A) Base RI'!AQ272</f>
        <v>0</v>
      </c>
      <c r="F272" s="398">
        <f>'A) Base RI'!AR272</f>
        <v>-2163.7399999999998</v>
      </c>
      <c r="G272" s="404">
        <f t="shared" si="24"/>
        <v>1245040.2300000002</v>
      </c>
      <c r="H272" s="10">
        <f>+'A) Base RI'!E272</f>
        <v>0</v>
      </c>
      <c r="I272" s="10">
        <f>+'A) Base RI'!F272</f>
        <v>0</v>
      </c>
      <c r="J272" s="10">
        <f>+'A) Base RI'!G272+'A) Base RI'!H272+'A) Base RI'!X272</f>
        <v>39422.910000000003</v>
      </c>
      <c r="K272" s="10">
        <f>+'A) Base RI'!I272</f>
        <v>42786.85</v>
      </c>
      <c r="L272" s="10">
        <f>+'A) Base RI'!J272</f>
        <v>55477.87</v>
      </c>
      <c r="M272" s="10">
        <f>+'A) Base RI'!K272</f>
        <v>2606.4</v>
      </c>
      <c r="N272" s="10">
        <f>+'A) Base RI'!Q272</f>
        <v>0</v>
      </c>
      <c r="O272" s="10">
        <f t="shared" si="25"/>
        <v>84223.3</v>
      </c>
      <c r="P272" s="10">
        <f>+'A) Base RI'!L272</f>
        <v>84223.3</v>
      </c>
      <c r="Q272" s="412">
        <f>'A) Base RI'!AS272</f>
        <v>1</v>
      </c>
      <c r="R272" s="404">
        <f t="shared" si="26"/>
        <v>1469557.5600000003</v>
      </c>
      <c r="S272" s="457">
        <f>+'A) Base RI'!AN272</f>
        <v>67</v>
      </c>
      <c r="T272" s="404">
        <f t="shared" si="27"/>
        <v>1382727.8600000003</v>
      </c>
      <c r="U272" s="404">
        <f t="shared" si="28"/>
        <v>21933.69492537314</v>
      </c>
      <c r="V272" s="10">
        <f>+'A) Base RI'!O272</f>
        <v>1834.6</v>
      </c>
      <c r="W272" s="10">
        <f>+'A) Base RI'!P272</f>
        <v>57310</v>
      </c>
      <c r="X272" s="10">
        <f>+'A) Base RI'!R272</f>
        <v>41481.300000000003</v>
      </c>
      <c r="Y272" s="404">
        <f t="shared" si="29"/>
        <v>100625.9</v>
      </c>
      <c r="Z272" s="10">
        <f>+'A) Base RI'!N272</f>
        <v>23922.95</v>
      </c>
      <c r="AA272" s="10">
        <f>'A) Base RI'!AO272</f>
        <v>385</v>
      </c>
    </row>
    <row r="273" spans="1:27" x14ac:dyDescent="0.25">
      <c r="A273" s="8">
        <f>'A) Base RI'!A273</f>
        <v>5871</v>
      </c>
      <c r="B273" s="32" t="str">
        <f>'A) Base RI'!B273</f>
        <v>L'Abbaye</v>
      </c>
      <c r="C273" s="10">
        <f>'A) Base RI'!C273+'A) Base RI'!D273</f>
        <v>3410023.33</v>
      </c>
      <c r="D273" s="10">
        <f>'A) Base RI'!AP273</f>
        <v>-42701.279999999999</v>
      </c>
      <c r="E273" s="398">
        <f>'A) Base RI'!AQ273</f>
        <v>0</v>
      </c>
      <c r="F273" s="398">
        <f>'A) Base RI'!AR273</f>
        <v>-437.59</v>
      </c>
      <c r="G273" s="404">
        <f t="shared" si="24"/>
        <v>3366884.4600000004</v>
      </c>
      <c r="H273" s="10">
        <f>+'A) Base RI'!E273</f>
        <v>0</v>
      </c>
      <c r="I273" s="10">
        <f>+'A) Base RI'!F273</f>
        <v>0</v>
      </c>
      <c r="J273" s="10">
        <f>+'A) Base RI'!G273+'A) Base RI'!H273+'A) Base RI'!X273</f>
        <v>116293.43999999999</v>
      </c>
      <c r="K273" s="10">
        <f>+'A) Base RI'!I273</f>
        <v>0</v>
      </c>
      <c r="L273" s="10">
        <f>+'A) Base RI'!J273</f>
        <v>80648.320000000007</v>
      </c>
      <c r="M273" s="10">
        <f>+'A) Base RI'!K273</f>
        <v>4789.3500000000004</v>
      </c>
      <c r="N273" s="10">
        <f>+'A) Base RI'!Q273</f>
        <v>28.04</v>
      </c>
      <c r="O273" s="10">
        <f t="shared" si="25"/>
        <v>271625.09999999998</v>
      </c>
      <c r="P273" s="10">
        <f>+'A) Base RI'!L273</f>
        <v>271625.09999999998</v>
      </c>
      <c r="Q273" s="412">
        <f>'A) Base RI'!AS273</f>
        <v>1</v>
      </c>
      <c r="R273" s="404">
        <f t="shared" si="26"/>
        <v>3840268.7100000004</v>
      </c>
      <c r="S273" s="457">
        <f>+'A) Base RI'!AN273</f>
        <v>77.56</v>
      </c>
      <c r="T273" s="404">
        <f t="shared" si="27"/>
        <v>3563854.2600000002</v>
      </c>
      <c r="U273" s="404">
        <f t="shared" si="28"/>
        <v>49513.521273852508</v>
      </c>
      <c r="V273" s="10">
        <f>+'A) Base RI'!O273</f>
        <v>84633.75</v>
      </c>
      <c r="W273" s="10">
        <f>+'A) Base RI'!P273</f>
        <v>129090.45</v>
      </c>
      <c r="X273" s="10">
        <f>+'A) Base RI'!R273</f>
        <v>52955.5</v>
      </c>
      <c r="Y273" s="404">
        <f t="shared" si="29"/>
        <v>266679.7</v>
      </c>
      <c r="Z273" s="10">
        <f>+'A) Base RI'!N273</f>
        <v>757257.95</v>
      </c>
      <c r="AA273" s="10">
        <f>'A) Base RI'!AO273</f>
        <v>1473</v>
      </c>
    </row>
    <row r="274" spans="1:27" x14ac:dyDescent="0.25">
      <c r="A274" s="8">
        <f>'A) Base RI'!A274</f>
        <v>5872</v>
      </c>
      <c r="B274" s="32" t="str">
        <f>'A) Base RI'!B274</f>
        <v>Le Chenit</v>
      </c>
      <c r="C274" s="10">
        <f>'A) Base RI'!C274+'A) Base RI'!D274</f>
        <v>8076139.1099999994</v>
      </c>
      <c r="D274" s="10">
        <f>'A) Base RI'!AP274</f>
        <v>-119434.9</v>
      </c>
      <c r="E274" s="398">
        <f>'A) Base RI'!AQ274</f>
        <v>0</v>
      </c>
      <c r="F274" s="398">
        <f>'A) Base RI'!AR274</f>
        <v>-22558.400000000001</v>
      </c>
      <c r="G274" s="404">
        <f t="shared" si="24"/>
        <v>7934145.8099999987</v>
      </c>
      <c r="H274" s="10">
        <f>+'A) Base RI'!E274</f>
        <v>0</v>
      </c>
      <c r="I274" s="10">
        <f>+'A) Base RI'!F274</f>
        <v>0</v>
      </c>
      <c r="J274" s="10">
        <f>+'A) Base RI'!G274+'A) Base RI'!H274+'A) Base RI'!X274</f>
        <v>6674650.2600000007</v>
      </c>
      <c r="K274" s="10">
        <f>+'A) Base RI'!I274</f>
        <v>0</v>
      </c>
      <c r="L274" s="10">
        <f>+'A) Base RI'!J274</f>
        <v>373594.06</v>
      </c>
      <c r="M274" s="10">
        <f>+'A) Base RI'!K274</f>
        <v>67449.3</v>
      </c>
      <c r="N274" s="10">
        <f>+'A) Base RI'!Q274</f>
        <v>6153.84</v>
      </c>
      <c r="O274" s="10">
        <f t="shared" si="25"/>
        <v>747071</v>
      </c>
      <c r="P274" s="10">
        <f>+'A) Base RI'!L274</f>
        <v>747071</v>
      </c>
      <c r="Q274" s="412">
        <f>'A) Base RI'!AS274</f>
        <v>1</v>
      </c>
      <c r="R274" s="404">
        <f t="shared" si="26"/>
        <v>15803064.270000001</v>
      </c>
      <c r="S274" s="457">
        <f>+'A) Base RI'!AN274</f>
        <v>66.95</v>
      </c>
      <c r="T274" s="404">
        <f t="shared" si="27"/>
        <v>14988543.970000001</v>
      </c>
      <c r="U274" s="404">
        <f t="shared" si="28"/>
        <v>236042.78222554145</v>
      </c>
      <c r="V274" s="10">
        <f>+'A) Base RI'!O274</f>
        <v>3501245.6</v>
      </c>
      <c r="W274" s="10">
        <f>+'A) Base RI'!P274</f>
        <v>231754.35</v>
      </c>
      <c r="X274" s="10">
        <f>+'A) Base RI'!R274</f>
        <v>208071.35</v>
      </c>
      <c r="Y274" s="404">
        <f t="shared" si="29"/>
        <v>3941071.3000000003</v>
      </c>
      <c r="Z274" s="10">
        <f>+'A) Base RI'!N274</f>
        <v>6124106.2999999998</v>
      </c>
      <c r="AA274" s="10">
        <f>'A) Base RI'!AO274</f>
        <v>4600</v>
      </c>
    </row>
    <row r="275" spans="1:27" x14ac:dyDescent="0.25">
      <c r="A275" s="8">
        <f>'A) Base RI'!A275</f>
        <v>5873</v>
      </c>
      <c r="B275" s="32" t="str">
        <f>'A) Base RI'!B275</f>
        <v>Le Lieu</v>
      </c>
      <c r="C275" s="10">
        <f>'A) Base RI'!C275+'A) Base RI'!D275</f>
        <v>1874994.23</v>
      </c>
      <c r="D275" s="10">
        <f>'A) Base RI'!AP275</f>
        <v>-17239.73</v>
      </c>
      <c r="E275" s="398">
        <f>'A) Base RI'!AQ275</f>
        <v>0</v>
      </c>
      <c r="F275" s="398">
        <f>'A) Base RI'!AR275</f>
        <v>-662.44</v>
      </c>
      <c r="G275" s="404">
        <f t="shared" si="24"/>
        <v>1857092.06</v>
      </c>
      <c r="H275" s="10">
        <f>+'A) Base RI'!E275</f>
        <v>0</v>
      </c>
      <c r="I275" s="10">
        <f>+'A) Base RI'!F275</f>
        <v>0</v>
      </c>
      <c r="J275" s="10">
        <f>+'A) Base RI'!G275+'A) Base RI'!H275+'A) Base RI'!X275</f>
        <v>99688.6</v>
      </c>
      <c r="K275" s="10">
        <f>+'A) Base RI'!I275</f>
        <v>0</v>
      </c>
      <c r="L275" s="10">
        <f>+'A) Base RI'!J275</f>
        <v>26413.360000000001</v>
      </c>
      <c r="M275" s="10">
        <f>+'A) Base RI'!K275</f>
        <v>0</v>
      </c>
      <c r="N275" s="10">
        <f>+'A) Base RI'!Q275</f>
        <v>3491.13</v>
      </c>
      <c r="O275" s="10">
        <f t="shared" si="25"/>
        <v>144143.4375</v>
      </c>
      <c r="P275" s="10">
        <f>+'A) Base RI'!L275</f>
        <v>115314.75</v>
      </c>
      <c r="Q275" s="412">
        <f>'A) Base RI'!AS275</f>
        <v>0.8</v>
      </c>
      <c r="R275" s="404">
        <f t="shared" si="26"/>
        <v>2130828.5875000004</v>
      </c>
      <c r="S275" s="457">
        <f>+'A) Base RI'!AN275</f>
        <v>70</v>
      </c>
      <c r="T275" s="404">
        <f t="shared" si="27"/>
        <v>1986685.1500000001</v>
      </c>
      <c r="U275" s="404">
        <f t="shared" si="28"/>
        <v>30440.408392857149</v>
      </c>
      <c r="V275" s="10">
        <f>+'A) Base RI'!O275</f>
        <v>11484</v>
      </c>
      <c r="W275" s="10">
        <f>+'A) Base RI'!P275</f>
        <v>51848.55</v>
      </c>
      <c r="X275" s="10">
        <f>+'A) Base RI'!R275</f>
        <v>40297.5</v>
      </c>
      <c r="Y275" s="404">
        <f t="shared" si="29"/>
        <v>103630.05</v>
      </c>
      <c r="Z275" s="10">
        <f>+'A) Base RI'!N275</f>
        <v>1061298.2</v>
      </c>
      <c r="AA275" s="10">
        <f>'A) Base RI'!AO275</f>
        <v>888</v>
      </c>
    </row>
    <row r="276" spans="1:27" x14ac:dyDescent="0.25">
      <c r="A276" s="8">
        <f>'A) Base RI'!A276</f>
        <v>5881</v>
      </c>
      <c r="B276" s="32" t="str">
        <f>'A) Base RI'!B276</f>
        <v>Blonay</v>
      </c>
      <c r="C276" s="10">
        <f>'A) Base RI'!C276+'A) Base RI'!D276</f>
        <v>22044275.059999999</v>
      </c>
      <c r="D276" s="10">
        <f>'A) Base RI'!AP276</f>
        <v>-88153.42</v>
      </c>
      <c r="E276" s="398">
        <f>'A) Base RI'!AQ276</f>
        <v>0</v>
      </c>
      <c r="F276" s="398">
        <f>'A) Base RI'!AR276</f>
        <v>-57917.68</v>
      </c>
      <c r="G276" s="404">
        <f t="shared" si="24"/>
        <v>21898203.959999997</v>
      </c>
      <c r="H276" s="10">
        <f>+'A) Base RI'!E276</f>
        <v>0</v>
      </c>
      <c r="I276" s="10">
        <f>+'A) Base RI'!F276</f>
        <v>0</v>
      </c>
      <c r="J276" s="10">
        <f>+'A) Base RI'!G276+'A) Base RI'!H276+'A) Base RI'!X276</f>
        <v>122675.57</v>
      </c>
      <c r="K276" s="10">
        <f>+'A) Base RI'!I276</f>
        <v>752751.77</v>
      </c>
      <c r="L276" s="10">
        <f>+'A) Base RI'!J276</f>
        <v>363218.37</v>
      </c>
      <c r="M276" s="10">
        <f>+'A) Base RI'!K276</f>
        <v>68796.05</v>
      </c>
      <c r="N276" s="10">
        <f>+'A) Base RI'!Q276</f>
        <v>-20982.91</v>
      </c>
      <c r="O276" s="10">
        <f t="shared" si="25"/>
        <v>1699087.65</v>
      </c>
      <c r="P276" s="10">
        <f>+'A) Base RI'!L276</f>
        <v>1699087.65</v>
      </c>
      <c r="Q276" s="412">
        <f>'A) Base RI'!AS276</f>
        <v>1</v>
      </c>
      <c r="R276" s="404">
        <f t="shared" si="26"/>
        <v>24883750.459999997</v>
      </c>
      <c r="S276" s="457">
        <f>+'A) Base RI'!AN276</f>
        <v>68.5</v>
      </c>
      <c r="T276" s="404">
        <f t="shared" si="27"/>
        <v>23115866.759999998</v>
      </c>
      <c r="U276" s="404">
        <f t="shared" si="28"/>
        <v>363266.43007299263</v>
      </c>
      <c r="V276" s="10">
        <f>+'A) Base RI'!O276</f>
        <v>1226908.58</v>
      </c>
      <c r="W276" s="10">
        <f>+'A) Base RI'!P276</f>
        <v>1058411.3</v>
      </c>
      <c r="X276" s="10">
        <f>+'A) Base RI'!R276</f>
        <v>1342987.8</v>
      </c>
      <c r="Y276" s="404">
        <f t="shared" si="29"/>
        <v>3628307.6799999997</v>
      </c>
      <c r="Z276" s="10">
        <f>+'A) Base RI'!N276</f>
        <v>98862.75</v>
      </c>
      <c r="AA276" s="10">
        <f>'A) Base RI'!AO276</f>
        <v>6215</v>
      </c>
    </row>
    <row r="277" spans="1:27" x14ac:dyDescent="0.25">
      <c r="A277" s="8">
        <f>'A) Base RI'!A277</f>
        <v>5882</v>
      </c>
      <c r="B277" s="32" t="str">
        <f>'A) Base RI'!B277</f>
        <v>Chardonne</v>
      </c>
      <c r="C277" s="10">
        <f>'A) Base RI'!C277+'A) Base RI'!D277</f>
        <v>10553558.65</v>
      </c>
      <c r="D277" s="10">
        <f>'A) Base RI'!AP277</f>
        <v>-128511.67</v>
      </c>
      <c r="E277" s="398">
        <f>'A) Base RI'!AQ277</f>
        <v>0</v>
      </c>
      <c r="F277" s="398">
        <f>'A) Base RI'!AR277</f>
        <v>-12147.19</v>
      </c>
      <c r="G277" s="404">
        <f t="shared" si="24"/>
        <v>10412899.790000001</v>
      </c>
      <c r="H277" s="10">
        <f>+'A) Base RI'!E277</f>
        <v>0</v>
      </c>
      <c r="I277" s="10">
        <f>+'A) Base RI'!F277</f>
        <v>0</v>
      </c>
      <c r="J277" s="10">
        <f>+'A) Base RI'!G277+'A) Base RI'!H277+'A) Base RI'!X277</f>
        <v>146885.12</v>
      </c>
      <c r="K277" s="10">
        <f>+'A) Base RI'!I277</f>
        <v>212678.05</v>
      </c>
      <c r="L277" s="10">
        <f>+'A) Base RI'!J277</f>
        <v>239252.6</v>
      </c>
      <c r="M277" s="10">
        <f>+'A) Base RI'!K277</f>
        <v>66179.25</v>
      </c>
      <c r="N277" s="10">
        <f>+'A) Base RI'!Q277</f>
        <v>107884.07</v>
      </c>
      <c r="O277" s="10">
        <f t="shared" si="25"/>
        <v>988422.55</v>
      </c>
      <c r="P277" s="10">
        <f>+'A) Base RI'!L277</f>
        <v>988422.55</v>
      </c>
      <c r="Q277" s="412">
        <f>'A) Base RI'!AS277</f>
        <v>1</v>
      </c>
      <c r="R277" s="404">
        <f t="shared" si="26"/>
        <v>12174201.430000002</v>
      </c>
      <c r="S277" s="457">
        <f>+'A) Base RI'!AN277</f>
        <v>68</v>
      </c>
      <c r="T277" s="404">
        <f t="shared" si="27"/>
        <v>11119599.630000001</v>
      </c>
      <c r="U277" s="404">
        <f t="shared" si="28"/>
        <v>179032.37397058826</v>
      </c>
      <c r="V277" s="10">
        <f>+'A) Base RI'!O277</f>
        <v>95838</v>
      </c>
      <c r="W277" s="10">
        <f>+'A) Base RI'!P277</f>
        <v>631834.94999999995</v>
      </c>
      <c r="X277" s="10">
        <f>+'A) Base RI'!R277</f>
        <v>508255.7</v>
      </c>
      <c r="Y277" s="404">
        <f t="shared" si="29"/>
        <v>1235928.6499999999</v>
      </c>
      <c r="Z277" s="10">
        <f>+'A) Base RI'!N277</f>
        <v>11194.95</v>
      </c>
      <c r="AA277" s="10">
        <f>'A) Base RI'!AO277</f>
        <v>3093</v>
      </c>
    </row>
    <row r="278" spans="1:27" x14ac:dyDescent="0.25">
      <c r="A278" s="8">
        <f>'A) Base RI'!A278</f>
        <v>5883</v>
      </c>
      <c r="B278" s="32" t="str">
        <f>'A) Base RI'!B278</f>
        <v>Corseaux</v>
      </c>
      <c r="C278" s="10">
        <f>'A) Base RI'!C278+'A) Base RI'!D278</f>
        <v>9806699.5300000012</v>
      </c>
      <c r="D278" s="10">
        <f>'A) Base RI'!AP278</f>
        <v>-94134.23</v>
      </c>
      <c r="E278" s="398">
        <f>'A) Base RI'!AQ278</f>
        <v>0</v>
      </c>
      <c r="F278" s="398">
        <f>'A) Base RI'!AR278</f>
        <v>-13760.55</v>
      </c>
      <c r="G278" s="404">
        <f t="shared" si="24"/>
        <v>9698804.75</v>
      </c>
      <c r="H278" s="10">
        <f>+'A) Base RI'!E278</f>
        <v>0</v>
      </c>
      <c r="I278" s="10">
        <f>+'A) Base RI'!F278</f>
        <v>0</v>
      </c>
      <c r="J278" s="10">
        <f>+'A) Base RI'!G278+'A) Base RI'!H278+'A) Base RI'!X278</f>
        <v>202342.15000000002</v>
      </c>
      <c r="K278" s="10">
        <f>+'A) Base RI'!I278</f>
        <v>517436.72</v>
      </c>
      <c r="L278" s="10">
        <f>+'A) Base RI'!J278</f>
        <v>203423.91</v>
      </c>
      <c r="M278" s="10">
        <f>+'A) Base RI'!K278</f>
        <v>12409.9</v>
      </c>
      <c r="N278" s="10">
        <f>+'A) Base RI'!Q278</f>
        <v>32383.77</v>
      </c>
      <c r="O278" s="10">
        <f t="shared" si="25"/>
        <v>666003.35</v>
      </c>
      <c r="P278" s="10">
        <f>+'A) Base RI'!L278</f>
        <v>666003.35</v>
      </c>
      <c r="Q278" s="412">
        <f>'A) Base RI'!AS278</f>
        <v>1</v>
      </c>
      <c r="R278" s="404">
        <f t="shared" si="26"/>
        <v>11332804.550000001</v>
      </c>
      <c r="S278" s="457">
        <f>+'A) Base RI'!AN278</f>
        <v>67.5</v>
      </c>
      <c r="T278" s="404">
        <f t="shared" si="27"/>
        <v>10654391.300000001</v>
      </c>
      <c r="U278" s="404">
        <f t="shared" si="28"/>
        <v>167893.40074074076</v>
      </c>
      <c r="V278" s="10">
        <f>+'A) Base RI'!O278</f>
        <v>115406.1</v>
      </c>
      <c r="W278" s="10">
        <f>+'A) Base RI'!P278</f>
        <v>394138.15</v>
      </c>
      <c r="X278" s="10">
        <f>+'A) Base RI'!R278</f>
        <v>346407.15</v>
      </c>
      <c r="Y278" s="404">
        <f t="shared" si="29"/>
        <v>855951.4</v>
      </c>
      <c r="Z278" s="10">
        <f>+'A) Base RI'!N278</f>
        <v>0</v>
      </c>
      <c r="AA278" s="10">
        <f>'A) Base RI'!AO278</f>
        <v>2311</v>
      </c>
    </row>
    <row r="279" spans="1:27" x14ac:dyDescent="0.25">
      <c r="A279" s="8">
        <f>'A) Base RI'!A279</f>
        <v>5884</v>
      </c>
      <c r="B279" s="32" t="str">
        <f>'A) Base RI'!B279</f>
        <v>Corsier-sur-Vevey</v>
      </c>
      <c r="C279" s="10">
        <f>'A) Base RI'!C279+'A) Base RI'!D279</f>
        <v>6610023.1699999999</v>
      </c>
      <c r="D279" s="10">
        <f>'A) Base RI'!AP279</f>
        <v>-68462.78</v>
      </c>
      <c r="E279" s="398">
        <f>'A) Base RI'!AQ279</f>
        <v>0</v>
      </c>
      <c r="F279" s="398">
        <f>'A) Base RI'!AR279</f>
        <v>-4466.72</v>
      </c>
      <c r="G279" s="404">
        <f t="shared" si="24"/>
        <v>6537093.6699999999</v>
      </c>
      <c r="H279" s="10">
        <f>+'A) Base RI'!E279</f>
        <v>0</v>
      </c>
      <c r="I279" s="10">
        <f>+'A) Base RI'!F279</f>
        <v>0</v>
      </c>
      <c r="J279" s="10">
        <f>+'A) Base RI'!G279+'A) Base RI'!H279+'A) Base RI'!X279</f>
        <v>372200.18</v>
      </c>
      <c r="K279" s="10">
        <f>+'A) Base RI'!I279</f>
        <v>26243.7</v>
      </c>
      <c r="L279" s="10">
        <f>+'A) Base RI'!J279</f>
        <v>129192.63</v>
      </c>
      <c r="M279" s="10">
        <f>+'A) Base RI'!K279</f>
        <v>184918.95</v>
      </c>
      <c r="N279" s="10">
        <f>+'A) Base RI'!Q279</f>
        <v>6608.53</v>
      </c>
      <c r="O279" s="10">
        <f t="shared" si="25"/>
        <v>807011.29166666674</v>
      </c>
      <c r="P279" s="10">
        <f>+'A) Base RI'!L279</f>
        <v>968413.55</v>
      </c>
      <c r="Q279" s="412">
        <f>'A) Base RI'!AS279</f>
        <v>1.2</v>
      </c>
      <c r="R279" s="404">
        <f t="shared" si="26"/>
        <v>8063268.9516666671</v>
      </c>
      <c r="S279" s="457">
        <f>+'A) Base RI'!AN279</f>
        <v>66</v>
      </c>
      <c r="T279" s="404">
        <f t="shared" si="27"/>
        <v>7071338.71</v>
      </c>
      <c r="U279" s="404">
        <f t="shared" si="28"/>
        <v>122170.7416919192</v>
      </c>
      <c r="V279" s="10">
        <f>+'A) Base RI'!O279</f>
        <v>0</v>
      </c>
      <c r="W279" s="10">
        <f>+'A) Base RI'!P279</f>
        <v>312090.3</v>
      </c>
      <c r="X279" s="10">
        <f>+'A) Base RI'!R279</f>
        <v>214673.65</v>
      </c>
      <c r="Y279" s="404">
        <f t="shared" si="29"/>
        <v>526763.94999999995</v>
      </c>
      <c r="Z279" s="10">
        <f>+'A) Base RI'!N279</f>
        <v>471954.75</v>
      </c>
      <c r="AA279" s="10">
        <f>'A) Base RI'!AO279</f>
        <v>3420</v>
      </c>
    </row>
    <row r="280" spans="1:27" x14ac:dyDescent="0.25">
      <c r="A280" s="8">
        <f>'A) Base RI'!A280</f>
        <v>5885</v>
      </c>
      <c r="B280" s="32" t="str">
        <f>'A) Base RI'!B280</f>
        <v>Jongny</v>
      </c>
      <c r="C280" s="10">
        <f>'A) Base RI'!C280+'A) Base RI'!D280</f>
        <v>5341174.93</v>
      </c>
      <c r="D280" s="10">
        <f>'A) Base RI'!AP280</f>
        <v>-5103.87</v>
      </c>
      <c r="E280" s="398">
        <f>'A) Base RI'!AQ280</f>
        <v>0</v>
      </c>
      <c r="F280" s="398">
        <f>'A) Base RI'!AR280</f>
        <v>-3916.17</v>
      </c>
      <c r="G280" s="404">
        <f t="shared" si="24"/>
        <v>5332154.8899999997</v>
      </c>
      <c r="H280" s="10">
        <f>+'A) Base RI'!E280</f>
        <v>0</v>
      </c>
      <c r="I280" s="10">
        <f>+'A) Base RI'!F280</f>
        <v>0</v>
      </c>
      <c r="J280" s="10">
        <f>+'A) Base RI'!G280+'A) Base RI'!H280+'A) Base RI'!X280</f>
        <v>235.30000000000035</v>
      </c>
      <c r="K280" s="10">
        <f>+'A) Base RI'!I280</f>
        <v>65358.400000000001</v>
      </c>
      <c r="L280" s="10">
        <f>+'A) Base RI'!J280</f>
        <v>105212.06</v>
      </c>
      <c r="M280" s="10">
        <f>+'A) Base RI'!K280</f>
        <v>-4704.55</v>
      </c>
      <c r="N280" s="10">
        <f>+'A) Base RI'!Q280</f>
        <v>0</v>
      </c>
      <c r="O280" s="10">
        <f t="shared" si="25"/>
        <v>416278.20833333331</v>
      </c>
      <c r="P280" s="10">
        <f>+'A) Base RI'!L280</f>
        <v>499533.85</v>
      </c>
      <c r="Q280" s="412">
        <f>'A) Base RI'!AS280</f>
        <v>1.2</v>
      </c>
      <c r="R280" s="404">
        <f t="shared" si="26"/>
        <v>5914534.3083333327</v>
      </c>
      <c r="S280" s="457">
        <f>+'A) Base RI'!AN280</f>
        <v>69.5</v>
      </c>
      <c r="T280" s="404">
        <f t="shared" si="27"/>
        <v>5502960.6499999994</v>
      </c>
      <c r="U280" s="404">
        <f t="shared" si="28"/>
        <v>85101.213069544348</v>
      </c>
      <c r="V280" s="10">
        <f>+'A) Base RI'!O280</f>
        <v>24912.400000000001</v>
      </c>
      <c r="W280" s="10">
        <f>+'A) Base RI'!P280</f>
        <v>362478.35</v>
      </c>
      <c r="X280" s="10">
        <f>+'A) Base RI'!R280</f>
        <v>290352.55</v>
      </c>
      <c r="Y280" s="404">
        <f t="shared" si="29"/>
        <v>677743.3</v>
      </c>
      <c r="Z280" s="10">
        <f>+'A) Base RI'!N280</f>
        <v>2144.65</v>
      </c>
      <c r="AA280" s="10">
        <f>'A) Base RI'!AO280</f>
        <v>1670</v>
      </c>
    </row>
    <row r="281" spans="1:27" x14ac:dyDescent="0.25">
      <c r="A281" s="8">
        <f>'A) Base RI'!A281</f>
        <v>5886</v>
      </c>
      <c r="B281" s="32" t="str">
        <f>'A) Base RI'!B281</f>
        <v>Montreux</v>
      </c>
      <c r="C281" s="10">
        <f>'A) Base RI'!C281+'A) Base RI'!D281</f>
        <v>54787035.019999996</v>
      </c>
      <c r="D281" s="10">
        <f>'A) Base RI'!AP281</f>
        <v>-979478.85</v>
      </c>
      <c r="E281" s="398">
        <f>'A) Base RI'!AQ281</f>
        <v>0</v>
      </c>
      <c r="F281" s="398">
        <f>'A) Base RI'!AR281</f>
        <v>-118292.14</v>
      </c>
      <c r="G281" s="404">
        <f t="shared" si="24"/>
        <v>53689264.029999994</v>
      </c>
      <c r="H281" s="10">
        <f>+'A) Base RI'!E281</f>
        <v>0</v>
      </c>
      <c r="I281" s="10">
        <f>+'A) Base RI'!F281</f>
        <v>0</v>
      </c>
      <c r="J281" s="10">
        <f>+'A) Base RI'!G281+'A) Base RI'!H281+'A) Base RI'!X281</f>
        <v>3419373.6100000003</v>
      </c>
      <c r="K281" s="10">
        <f>+'A) Base RI'!I281</f>
        <v>3440972.13</v>
      </c>
      <c r="L281" s="10">
        <f>+'A) Base RI'!J281</f>
        <v>2273892.98</v>
      </c>
      <c r="M281" s="10">
        <f>+'A) Base RI'!K281</f>
        <v>713553.05</v>
      </c>
      <c r="N281" s="10">
        <f>+'A) Base RI'!Q281</f>
        <v>233403.51</v>
      </c>
      <c r="O281" s="10">
        <f t="shared" si="25"/>
        <v>7539441.333333333</v>
      </c>
      <c r="P281" s="10">
        <f>+'A) Base RI'!L281</f>
        <v>11309162</v>
      </c>
      <c r="Q281" s="412">
        <f>'A) Base RI'!AS281</f>
        <v>1.5</v>
      </c>
      <c r="R281" s="404">
        <f t="shared" si="26"/>
        <v>71309900.643333316</v>
      </c>
      <c r="S281" s="457">
        <f>+'A) Base RI'!AN281</f>
        <v>65</v>
      </c>
      <c r="T281" s="404">
        <f t="shared" si="27"/>
        <v>63056906.25999999</v>
      </c>
      <c r="U281" s="404">
        <f t="shared" si="28"/>
        <v>1097075.3945128203</v>
      </c>
      <c r="V281" s="10">
        <f>+'A) Base RI'!O281</f>
        <v>14175436.6</v>
      </c>
      <c r="W281" s="10">
        <f>+'A) Base RI'!P281</f>
        <v>4226896.3</v>
      </c>
      <c r="X281" s="10">
        <f>+'A) Base RI'!R281</f>
        <v>3021737.75</v>
      </c>
      <c r="Y281" s="404">
        <f t="shared" si="29"/>
        <v>21424070.649999999</v>
      </c>
      <c r="Z281" s="10">
        <f>+'A) Base RI'!N281</f>
        <v>1113954.95</v>
      </c>
      <c r="AA281" s="10">
        <f>'A) Base RI'!AO281</f>
        <v>26180</v>
      </c>
    </row>
    <row r="282" spans="1:27" x14ac:dyDescent="0.25">
      <c r="A282" s="8">
        <f>'A) Base RI'!A282</f>
        <v>5888</v>
      </c>
      <c r="B282" s="32" t="str">
        <f>'A) Base RI'!B282</f>
        <v>Saint-Légier-La Chiésaz</v>
      </c>
      <c r="C282" s="10">
        <f>'A) Base RI'!C282+'A) Base RI'!D282</f>
        <v>19631765.02</v>
      </c>
      <c r="D282" s="10">
        <f>'A) Base RI'!AP282</f>
        <v>-59918.26</v>
      </c>
      <c r="E282" s="398">
        <f>'A) Base RI'!AQ282</f>
        <v>0</v>
      </c>
      <c r="F282" s="398">
        <f>'A) Base RI'!AR282</f>
        <v>-29801</v>
      </c>
      <c r="G282" s="404">
        <f t="shared" si="24"/>
        <v>19542045.759999998</v>
      </c>
      <c r="H282" s="10">
        <f>+'A) Base RI'!E282</f>
        <v>0</v>
      </c>
      <c r="I282" s="10">
        <f>+'A) Base RI'!F282</f>
        <v>0</v>
      </c>
      <c r="J282" s="10">
        <f>+'A) Base RI'!G282+'A) Base RI'!H282+'A) Base RI'!X282</f>
        <v>470695.14</v>
      </c>
      <c r="K282" s="10">
        <f>+'A) Base RI'!I282</f>
        <v>318286.65000000002</v>
      </c>
      <c r="L282" s="10">
        <f>+'A) Base RI'!J282</f>
        <v>307136.8</v>
      </c>
      <c r="M282" s="10">
        <f>+'A) Base RI'!K282</f>
        <v>79417.5</v>
      </c>
      <c r="N282" s="10">
        <f>+'A) Base RI'!Q282</f>
        <v>46542.17</v>
      </c>
      <c r="O282" s="10">
        <f t="shared" si="25"/>
        <v>1538552.7083333335</v>
      </c>
      <c r="P282" s="10">
        <f>+'A) Base RI'!L282</f>
        <v>1846263.25</v>
      </c>
      <c r="Q282" s="412">
        <f>'A) Base RI'!AS282</f>
        <v>1.2</v>
      </c>
      <c r="R282" s="404">
        <f t="shared" si="26"/>
        <v>22302676.728333332</v>
      </c>
      <c r="S282" s="457">
        <f>+'A) Base RI'!AN282</f>
        <v>68.5</v>
      </c>
      <c r="T282" s="404">
        <f t="shared" si="27"/>
        <v>20684706.52</v>
      </c>
      <c r="U282" s="404">
        <f t="shared" si="28"/>
        <v>325586.52158150851</v>
      </c>
      <c r="V282" s="10">
        <f>+'A) Base RI'!O282</f>
        <v>4698.6000000000004</v>
      </c>
      <c r="W282" s="10">
        <f>+'A) Base RI'!P282</f>
        <v>1379677.55</v>
      </c>
      <c r="X282" s="10">
        <f>+'A) Base RI'!R282</f>
        <v>585396.15</v>
      </c>
      <c r="Y282" s="404">
        <f t="shared" si="29"/>
        <v>1969772.3000000003</v>
      </c>
      <c r="Z282" s="10">
        <f>+'A) Base RI'!N282</f>
        <v>190374.5</v>
      </c>
      <c r="AA282" s="10">
        <f>'A) Base RI'!AO282</f>
        <v>5522</v>
      </c>
    </row>
    <row r="283" spans="1:27" x14ac:dyDescent="0.25">
      <c r="A283" s="8">
        <f>'A) Base RI'!A283</f>
        <v>5889</v>
      </c>
      <c r="B283" s="32" t="str">
        <f>'A) Base RI'!B283</f>
        <v>La Tour-de-Peilz</v>
      </c>
      <c r="C283" s="10">
        <f>'A) Base RI'!C283+'A) Base RI'!D283</f>
        <v>34809064.780000001</v>
      </c>
      <c r="D283" s="10">
        <f>'A) Base RI'!AP283</f>
        <v>-279655.38</v>
      </c>
      <c r="E283" s="398">
        <f>'A) Base RI'!AQ283</f>
        <v>0</v>
      </c>
      <c r="F283" s="398">
        <f>'A) Base RI'!AR283</f>
        <v>-87734.82</v>
      </c>
      <c r="G283" s="404">
        <f t="shared" si="24"/>
        <v>34441674.579999998</v>
      </c>
      <c r="H283" s="10">
        <f>+'A) Base RI'!E283</f>
        <v>0</v>
      </c>
      <c r="I283" s="10">
        <f>+'A) Base RI'!F283</f>
        <v>0</v>
      </c>
      <c r="J283" s="10">
        <f>+'A) Base RI'!G283+'A) Base RI'!H283+'A) Base RI'!X283</f>
        <v>4919083.2300000004</v>
      </c>
      <c r="K283" s="10">
        <f>+'A) Base RI'!I283</f>
        <v>496028.45</v>
      </c>
      <c r="L283" s="10">
        <f>+'A) Base RI'!J283</f>
        <v>567329.85</v>
      </c>
      <c r="M283" s="10">
        <f>+'A) Base RI'!K283</f>
        <v>211743.9</v>
      </c>
      <c r="N283" s="10">
        <f>+'A) Base RI'!Q283</f>
        <v>136325.79999999999</v>
      </c>
      <c r="O283" s="10">
        <f t="shared" si="25"/>
        <v>2489427</v>
      </c>
      <c r="P283" s="10">
        <f>+'A) Base RI'!L283</f>
        <v>2987312.4</v>
      </c>
      <c r="Q283" s="412">
        <f>'A) Base RI'!AS283</f>
        <v>1.2</v>
      </c>
      <c r="R283" s="404">
        <f t="shared" si="26"/>
        <v>43261612.810000002</v>
      </c>
      <c r="S283" s="457">
        <f>+'A) Base RI'!AN283</f>
        <v>64</v>
      </c>
      <c r="T283" s="404">
        <f t="shared" si="27"/>
        <v>40560441.910000004</v>
      </c>
      <c r="U283" s="404">
        <f t="shared" si="28"/>
        <v>675962.70015625004</v>
      </c>
      <c r="V283" s="10">
        <f>+'A) Base RI'!O283</f>
        <v>700990.6</v>
      </c>
      <c r="W283" s="10">
        <f>+'A) Base RI'!P283</f>
        <v>1610117.1</v>
      </c>
      <c r="X283" s="10">
        <f>+'A) Base RI'!R283</f>
        <v>968601.5</v>
      </c>
      <c r="Y283" s="404">
        <f t="shared" si="29"/>
        <v>3279709.2</v>
      </c>
      <c r="Z283" s="10">
        <f>+'A) Base RI'!N283</f>
        <v>213995.45</v>
      </c>
      <c r="AA283" s="10">
        <f>'A) Base RI'!AO283</f>
        <v>12088</v>
      </c>
    </row>
    <row r="284" spans="1:27" x14ac:dyDescent="0.25">
      <c r="A284" s="8">
        <f>'A) Base RI'!A284</f>
        <v>5890</v>
      </c>
      <c r="B284" s="32" t="str">
        <f>'A) Base RI'!B284</f>
        <v>Vevey</v>
      </c>
      <c r="C284" s="10">
        <f>'A) Base RI'!C284+'A) Base RI'!D284</f>
        <v>41487619.850000001</v>
      </c>
      <c r="D284" s="10">
        <f>'A) Base RI'!AP284</f>
        <v>-463900.91</v>
      </c>
      <c r="E284" s="398">
        <f>'A) Base RI'!AQ284</f>
        <v>0</v>
      </c>
      <c r="F284" s="398">
        <f>'A) Base RI'!AR284</f>
        <v>-34364.050000000003</v>
      </c>
      <c r="G284" s="404">
        <f t="shared" si="24"/>
        <v>40989354.890000008</v>
      </c>
      <c r="H284" s="10">
        <f>+'A) Base RI'!E284</f>
        <v>0</v>
      </c>
      <c r="I284" s="10">
        <f>+'A) Base RI'!F284</f>
        <v>0</v>
      </c>
      <c r="J284" s="10">
        <f>+'A) Base RI'!G284+'A) Base RI'!H284+'A) Base RI'!X284</f>
        <v>14333163.989999998</v>
      </c>
      <c r="K284" s="10">
        <f>+'A) Base RI'!I284</f>
        <v>301640.81</v>
      </c>
      <c r="L284" s="10">
        <f>+'A) Base RI'!J284</f>
        <v>3962548.39</v>
      </c>
      <c r="M284" s="10">
        <f>+'A) Base RI'!K284</f>
        <v>749667.7</v>
      </c>
      <c r="N284" s="10">
        <f>+'A) Base RI'!Q284</f>
        <v>146582.91</v>
      </c>
      <c r="O284" s="10">
        <f t="shared" si="25"/>
        <v>3782667.8933333331</v>
      </c>
      <c r="P284" s="10">
        <f>+'A) Base RI'!L284</f>
        <v>5674001.8399999999</v>
      </c>
      <c r="Q284" s="412">
        <f>'A) Base RI'!AS284</f>
        <v>1.5</v>
      </c>
      <c r="R284" s="404">
        <f t="shared" si="26"/>
        <v>64265626.583333343</v>
      </c>
      <c r="S284" s="457">
        <f>+'A) Base RI'!AN284</f>
        <v>74.5</v>
      </c>
      <c r="T284" s="404">
        <f t="shared" si="27"/>
        <v>59733290.99000001</v>
      </c>
      <c r="U284" s="404">
        <f t="shared" si="28"/>
        <v>862625.86017897108</v>
      </c>
      <c r="V284" s="10">
        <f>+'A) Base RI'!O284</f>
        <v>2559081.2000000002</v>
      </c>
      <c r="W284" s="10">
        <f>+'A) Base RI'!P284</f>
        <v>1570397.45</v>
      </c>
      <c r="X284" s="10">
        <f>+'A) Base RI'!R284</f>
        <v>2095879.35</v>
      </c>
      <c r="Y284" s="404">
        <f t="shared" si="29"/>
        <v>6225358</v>
      </c>
      <c r="Z284" s="10">
        <f>+'A) Base RI'!N284</f>
        <v>928887.1</v>
      </c>
      <c r="AA284" s="10">
        <f>'A) Base RI'!AO284</f>
        <v>19780</v>
      </c>
    </row>
    <row r="285" spans="1:27" x14ac:dyDescent="0.25">
      <c r="A285" s="8">
        <f>'A) Base RI'!A285</f>
        <v>5891</v>
      </c>
      <c r="B285" s="32" t="str">
        <f>'A) Base RI'!B285</f>
        <v>Veytaux</v>
      </c>
      <c r="C285" s="10">
        <f>'A) Base RI'!C285+'A) Base RI'!D285</f>
        <v>2704909.75</v>
      </c>
      <c r="D285" s="10">
        <f>'A) Base RI'!AP285</f>
        <v>-113319.94</v>
      </c>
      <c r="E285" s="398">
        <f>'A) Base RI'!AQ285</f>
        <v>0</v>
      </c>
      <c r="F285" s="398">
        <f>'A) Base RI'!AR285</f>
        <v>-3587.09</v>
      </c>
      <c r="G285" s="404">
        <f t="shared" si="24"/>
        <v>2588002.7200000002</v>
      </c>
      <c r="H285" s="10">
        <f>+'A) Base RI'!E285</f>
        <v>0</v>
      </c>
      <c r="I285" s="10">
        <f>+'A) Base RI'!F285</f>
        <v>0</v>
      </c>
      <c r="J285" s="10">
        <f>+'A) Base RI'!G285+'A) Base RI'!H285+'A) Base RI'!X285</f>
        <v>35528.629999999997</v>
      </c>
      <c r="K285" s="10">
        <f>+'A) Base RI'!I285</f>
        <v>33065.75</v>
      </c>
      <c r="L285" s="10">
        <f>+'A) Base RI'!J285</f>
        <v>60261.36</v>
      </c>
      <c r="M285" s="10">
        <f>+'A) Base RI'!K285</f>
        <v>13791.35</v>
      </c>
      <c r="N285" s="10">
        <f>+'A) Base RI'!Q285</f>
        <v>25585.96</v>
      </c>
      <c r="O285" s="10">
        <f t="shared" si="25"/>
        <v>298316.03333333333</v>
      </c>
      <c r="P285" s="10">
        <f>+'A) Base RI'!L285</f>
        <v>447474.05</v>
      </c>
      <c r="Q285" s="412">
        <f>'A) Base RI'!AS285</f>
        <v>1.5</v>
      </c>
      <c r="R285" s="404">
        <f t="shared" si="26"/>
        <v>3054551.8033333332</v>
      </c>
      <c r="S285" s="457">
        <f>+'A) Base RI'!AN285</f>
        <v>69.5</v>
      </c>
      <c r="T285" s="404">
        <f t="shared" si="27"/>
        <v>2742444.42</v>
      </c>
      <c r="U285" s="404">
        <f t="shared" si="28"/>
        <v>43950.38565947242</v>
      </c>
      <c r="V285" s="10">
        <f>+'A) Base RI'!O285</f>
        <v>192719</v>
      </c>
      <c r="W285" s="10">
        <f>+'A) Base RI'!P285</f>
        <v>82503.95</v>
      </c>
      <c r="X285" s="10">
        <f>+'A) Base RI'!R285</f>
        <v>39283.199999999997</v>
      </c>
      <c r="Y285" s="404">
        <f t="shared" si="29"/>
        <v>314506.15000000002</v>
      </c>
      <c r="Z285" s="10">
        <f>+'A) Base RI'!N285</f>
        <v>413.25</v>
      </c>
      <c r="AA285" s="10">
        <f>'A) Base RI'!AO285</f>
        <v>956</v>
      </c>
    </row>
    <row r="286" spans="1:27" x14ac:dyDescent="0.25">
      <c r="A286" s="8">
        <f>'A) Base RI'!A286</f>
        <v>5902</v>
      </c>
      <c r="B286" s="32" t="str">
        <f>'A) Base RI'!B286</f>
        <v>Belmont-sur-Yverdon</v>
      </c>
      <c r="C286" s="10">
        <f>'A) Base RI'!C286+'A) Base RI'!D286</f>
        <v>756304.6100000001</v>
      </c>
      <c r="D286" s="10">
        <f>'A) Base RI'!AP286</f>
        <v>-9.7200000000000006</v>
      </c>
      <c r="E286" s="398">
        <f>'A) Base RI'!AQ286</f>
        <v>0</v>
      </c>
      <c r="F286" s="398">
        <f>'A) Base RI'!AR286</f>
        <v>0</v>
      </c>
      <c r="G286" s="404">
        <f t="shared" si="24"/>
        <v>756294.89000000013</v>
      </c>
      <c r="H286" s="10">
        <f>+'A) Base RI'!E286</f>
        <v>0</v>
      </c>
      <c r="I286" s="10">
        <f>+'A) Base RI'!F286</f>
        <v>0</v>
      </c>
      <c r="J286" s="10">
        <f>+'A) Base RI'!G286+'A) Base RI'!H286+'A) Base RI'!X286</f>
        <v>4633.9799999999996</v>
      </c>
      <c r="K286" s="10">
        <f>+'A) Base RI'!I286</f>
        <v>0</v>
      </c>
      <c r="L286" s="10">
        <f>+'A) Base RI'!J286</f>
        <v>2866.92</v>
      </c>
      <c r="M286" s="10">
        <f>+'A) Base RI'!K286</f>
        <v>0</v>
      </c>
      <c r="N286" s="10">
        <f>+'A) Base RI'!Q286</f>
        <v>0</v>
      </c>
      <c r="O286" s="10">
        <f t="shared" si="25"/>
        <v>56555.93</v>
      </c>
      <c r="P286" s="10">
        <f>+'A) Base RI'!L286</f>
        <v>56555.93</v>
      </c>
      <c r="Q286" s="412">
        <f>'A) Base RI'!AS286</f>
        <v>1</v>
      </c>
      <c r="R286" s="404">
        <f t="shared" si="26"/>
        <v>820351.7200000002</v>
      </c>
      <c r="S286" s="457">
        <f>+'A) Base RI'!AN286</f>
        <v>70</v>
      </c>
      <c r="T286" s="404">
        <f t="shared" si="27"/>
        <v>763795.79000000015</v>
      </c>
      <c r="U286" s="404">
        <f t="shared" si="28"/>
        <v>11719.310285714289</v>
      </c>
      <c r="V286" s="10">
        <f>+'A) Base RI'!O286</f>
        <v>78113.899999999994</v>
      </c>
      <c r="W286" s="10">
        <f>+'A) Base RI'!P286</f>
        <v>59304.9</v>
      </c>
      <c r="X286" s="10">
        <f>+'A) Base RI'!R286</f>
        <v>31121.5</v>
      </c>
      <c r="Y286" s="404">
        <f t="shared" si="29"/>
        <v>168540.3</v>
      </c>
      <c r="Z286" s="10">
        <f>+'A) Base RI'!N286</f>
        <v>0</v>
      </c>
      <c r="AA286" s="10">
        <f>'A) Base RI'!AO286</f>
        <v>396</v>
      </c>
    </row>
    <row r="287" spans="1:27" x14ac:dyDescent="0.25">
      <c r="A287" s="8">
        <f>'A) Base RI'!A287</f>
        <v>5903</v>
      </c>
      <c r="B287" s="32" t="str">
        <f>'A) Base RI'!B287</f>
        <v>Bioley-Magnoux</v>
      </c>
      <c r="C287" s="10">
        <f>'A) Base RI'!C287+'A) Base RI'!D287</f>
        <v>326080.83999999997</v>
      </c>
      <c r="D287" s="10">
        <f>'A) Base RI'!AP287</f>
        <v>-1937.45</v>
      </c>
      <c r="E287" s="398">
        <f>'A) Base RI'!AQ287</f>
        <v>0</v>
      </c>
      <c r="F287" s="398">
        <f>'A) Base RI'!AR287</f>
        <v>-4.63</v>
      </c>
      <c r="G287" s="404">
        <f t="shared" si="24"/>
        <v>324138.75999999995</v>
      </c>
      <c r="H287" s="10">
        <f>+'A) Base RI'!E287</f>
        <v>0</v>
      </c>
      <c r="I287" s="10">
        <f>+'A) Base RI'!F287</f>
        <v>0</v>
      </c>
      <c r="J287" s="10">
        <f>+'A) Base RI'!G287+'A) Base RI'!H287+'A) Base RI'!X287</f>
        <v>-4417.5200000000004</v>
      </c>
      <c r="K287" s="10">
        <f>+'A) Base RI'!I287</f>
        <v>0</v>
      </c>
      <c r="L287" s="10">
        <f>+'A) Base RI'!J287</f>
        <v>4873.83</v>
      </c>
      <c r="M287" s="10">
        <f>+'A) Base RI'!K287</f>
        <v>0</v>
      </c>
      <c r="N287" s="10">
        <f>+'A) Base RI'!Q287</f>
        <v>0</v>
      </c>
      <c r="O287" s="10">
        <f t="shared" si="25"/>
        <v>36644.285714285717</v>
      </c>
      <c r="P287" s="10">
        <f>+'A) Base RI'!L287</f>
        <v>25651</v>
      </c>
      <c r="Q287" s="412">
        <f>'A) Base RI'!AS287</f>
        <v>0.7</v>
      </c>
      <c r="R287" s="404">
        <f t="shared" si="26"/>
        <v>361239.35571428569</v>
      </c>
      <c r="S287" s="457">
        <f>+'A) Base RI'!AN287</f>
        <v>72</v>
      </c>
      <c r="T287" s="404">
        <f t="shared" si="27"/>
        <v>324595.06999999995</v>
      </c>
      <c r="U287" s="404">
        <f t="shared" si="28"/>
        <v>5017.2132738095233</v>
      </c>
      <c r="V287" s="10">
        <f>+'A) Base RI'!O287</f>
        <v>0</v>
      </c>
      <c r="W287" s="10">
        <f>+'A) Base RI'!P287</f>
        <v>2591.9499999999998</v>
      </c>
      <c r="X287" s="10">
        <f>+'A) Base RI'!R287</f>
        <v>4523.55</v>
      </c>
      <c r="Y287" s="404">
        <f t="shared" si="29"/>
        <v>7115.5</v>
      </c>
      <c r="Z287" s="10">
        <f>+'A) Base RI'!N287</f>
        <v>24639.1</v>
      </c>
      <c r="AA287" s="10">
        <f>'A) Base RI'!AO287</f>
        <v>230</v>
      </c>
    </row>
    <row r="288" spans="1:27" x14ac:dyDescent="0.25">
      <c r="A288" s="8">
        <f>'A) Base RI'!A288</f>
        <v>5904</v>
      </c>
      <c r="B288" s="32" t="str">
        <f>'A) Base RI'!B288</f>
        <v>Chamblon</v>
      </c>
      <c r="C288" s="10">
        <f>'A) Base RI'!C288+'A) Base RI'!D288</f>
        <v>1321199.67</v>
      </c>
      <c r="D288" s="10">
        <f>'A) Base RI'!AP288</f>
        <v>-10795.87</v>
      </c>
      <c r="E288" s="398">
        <f>'A) Base RI'!AQ288</f>
        <v>0</v>
      </c>
      <c r="F288" s="398">
        <f>'A) Base RI'!AR288</f>
        <v>-253.12</v>
      </c>
      <c r="G288" s="404">
        <f t="shared" si="24"/>
        <v>1310150.6799999997</v>
      </c>
      <c r="H288" s="10">
        <f>+'A) Base RI'!E288</f>
        <v>0</v>
      </c>
      <c r="I288" s="10">
        <f>+'A) Base RI'!F288</f>
        <v>0</v>
      </c>
      <c r="J288" s="10">
        <f>+'A) Base RI'!G288+'A) Base RI'!H288+'A) Base RI'!X288</f>
        <v>3930.2900000000004</v>
      </c>
      <c r="K288" s="10">
        <f>+'A) Base RI'!I288</f>
        <v>0</v>
      </c>
      <c r="L288" s="10">
        <f>+'A) Base RI'!J288</f>
        <v>17456.939999999999</v>
      </c>
      <c r="M288" s="10">
        <f>+'A) Base RI'!K288</f>
        <v>3864.65</v>
      </c>
      <c r="N288" s="10">
        <f>+'A) Base RI'!Q288</f>
        <v>441.06</v>
      </c>
      <c r="O288" s="10">
        <f t="shared" si="25"/>
        <v>95964.1</v>
      </c>
      <c r="P288" s="10">
        <f>+'A) Base RI'!L288</f>
        <v>95964.1</v>
      </c>
      <c r="Q288" s="412">
        <f>'A) Base RI'!AS288</f>
        <v>1</v>
      </c>
      <c r="R288" s="404">
        <f t="shared" si="26"/>
        <v>1431807.7199999997</v>
      </c>
      <c r="S288" s="457">
        <f>+'A) Base RI'!AN288</f>
        <v>66</v>
      </c>
      <c r="T288" s="404">
        <f t="shared" si="27"/>
        <v>1331978.9699999997</v>
      </c>
      <c r="U288" s="404">
        <f t="shared" si="28"/>
        <v>21694.056363636359</v>
      </c>
      <c r="V288" s="10">
        <f>+'A) Base RI'!O288</f>
        <v>0</v>
      </c>
      <c r="W288" s="10">
        <f>+'A) Base RI'!P288</f>
        <v>50985</v>
      </c>
      <c r="X288" s="10">
        <f>+'A) Base RI'!R288</f>
        <v>21469.3</v>
      </c>
      <c r="Y288" s="404">
        <f t="shared" si="29"/>
        <v>72454.3</v>
      </c>
      <c r="Z288" s="10">
        <f>+'A) Base RI'!N288</f>
        <v>34103.599999999999</v>
      </c>
      <c r="AA288" s="10">
        <f>'A) Base RI'!AO288</f>
        <v>559</v>
      </c>
    </row>
    <row r="289" spans="1:27" x14ac:dyDescent="0.25">
      <c r="A289" s="8">
        <f>'A) Base RI'!A289</f>
        <v>5905</v>
      </c>
      <c r="B289" s="32" t="str">
        <f>'A) Base RI'!B289</f>
        <v>Champvent</v>
      </c>
      <c r="C289" s="10">
        <f>'A) Base RI'!C289+'A) Base RI'!D289</f>
        <v>1268273.74</v>
      </c>
      <c r="D289" s="10">
        <f>'A) Base RI'!AP289</f>
        <v>-4598.74</v>
      </c>
      <c r="E289" s="398">
        <f>'A) Base RI'!AQ289</f>
        <v>0</v>
      </c>
      <c r="F289" s="398">
        <f>'A) Base RI'!AR289</f>
        <v>-24.88</v>
      </c>
      <c r="G289" s="404">
        <f t="shared" si="24"/>
        <v>1263650.1200000001</v>
      </c>
      <c r="H289" s="10">
        <f>+'A) Base RI'!E289</f>
        <v>0</v>
      </c>
      <c r="I289" s="10">
        <f>+'A) Base RI'!F289</f>
        <v>0</v>
      </c>
      <c r="J289" s="10">
        <f>+'A) Base RI'!G289+'A) Base RI'!H289+'A) Base RI'!X289</f>
        <v>144212.98000000001</v>
      </c>
      <c r="K289" s="10">
        <f>+'A) Base RI'!I289</f>
        <v>0</v>
      </c>
      <c r="L289" s="10">
        <f>+'A) Base RI'!J289</f>
        <v>31182.99</v>
      </c>
      <c r="M289" s="10">
        <f>+'A) Base RI'!K289</f>
        <v>-3012.45</v>
      </c>
      <c r="N289" s="10">
        <f>+'A) Base RI'!Q289</f>
        <v>-665.43</v>
      </c>
      <c r="O289" s="10">
        <f t="shared" si="25"/>
        <v>103440.55</v>
      </c>
      <c r="P289" s="10">
        <f>+'A) Base RI'!L289</f>
        <v>103440.55</v>
      </c>
      <c r="Q289" s="412">
        <f>'A) Base RI'!AS289</f>
        <v>1</v>
      </c>
      <c r="R289" s="404">
        <f t="shared" si="26"/>
        <v>1538808.7600000002</v>
      </c>
      <c r="S289" s="457">
        <f>+'A) Base RI'!AN289</f>
        <v>71</v>
      </c>
      <c r="T289" s="404">
        <f t="shared" si="27"/>
        <v>1438380.6600000001</v>
      </c>
      <c r="U289" s="404">
        <f t="shared" si="28"/>
        <v>21673.362816901412</v>
      </c>
      <c r="V289" s="10">
        <f>+'A) Base RI'!O289</f>
        <v>0</v>
      </c>
      <c r="W289" s="10">
        <f>+'A) Base RI'!P289</f>
        <v>54574.85</v>
      </c>
      <c r="X289" s="10">
        <f>+'A) Base RI'!R289</f>
        <v>87319.85</v>
      </c>
      <c r="Y289" s="404">
        <f t="shared" si="29"/>
        <v>141894.70000000001</v>
      </c>
      <c r="Z289" s="10">
        <f>+'A) Base RI'!N289</f>
        <v>1903.55</v>
      </c>
      <c r="AA289" s="10">
        <f>'A) Base RI'!AO289</f>
        <v>696</v>
      </c>
    </row>
    <row r="290" spans="1:27" x14ac:dyDescent="0.25">
      <c r="A290" s="8">
        <f>'A) Base RI'!A290</f>
        <v>5907</v>
      </c>
      <c r="B290" s="32" t="str">
        <f>'A) Base RI'!B290</f>
        <v>Chavannes-le-Chêne</v>
      </c>
      <c r="C290" s="10">
        <f>'A) Base RI'!C290+'A) Base RI'!D290</f>
        <v>702931.73</v>
      </c>
      <c r="D290" s="10">
        <f>'A) Base RI'!AP290</f>
        <v>-10393.469999999999</v>
      </c>
      <c r="E290" s="398">
        <f>'A) Base RI'!AQ290</f>
        <v>0</v>
      </c>
      <c r="F290" s="398">
        <f>'A) Base RI'!AR290</f>
        <v>-13.33</v>
      </c>
      <c r="G290" s="404">
        <f t="shared" si="24"/>
        <v>692524.93</v>
      </c>
      <c r="H290" s="10">
        <f>+'A) Base RI'!E290</f>
        <v>0</v>
      </c>
      <c r="I290" s="10">
        <f>+'A) Base RI'!F290</f>
        <v>1950</v>
      </c>
      <c r="J290" s="10">
        <f>+'A) Base RI'!G290+'A) Base RI'!H290+'A) Base RI'!X290</f>
        <v>598.89</v>
      </c>
      <c r="K290" s="10">
        <f>+'A) Base RI'!I290</f>
        <v>0</v>
      </c>
      <c r="L290" s="10">
        <f>+'A) Base RI'!J290</f>
        <v>-1250.77</v>
      </c>
      <c r="M290" s="10">
        <f>+'A) Base RI'!K290</f>
        <v>520.70000000000005</v>
      </c>
      <c r="N290" s="10">
        <f>+'A) Base RI'!Q290</f>
        <v>2826.42</v>
      </c>
      <c r="O290" s="10">
        <f t="shared" si="25"/>
        <v>44658.25</v>
      </c>
      <c r="P290" s="10">
        <f>+'A) Base RI'!L290</f>
        <v>44658.25</v>
      </c>
      <c r="Q290" s="412">
        <f>'A) Base RI'!AS290</f>
        <v>1</v>
      </c>
      <c r="R290" s="404">
        <f t="shared" si="26"/>
        <v>741828.42</v>
      </c>
      <c r="S290" s="457">
        <f>+'A) Base RI'!AN290</f>
        <v>75</v>
      </c>
      <c r="T290" s="404">
        <f t="shared" si="27"/>
        <v>694699.47000000009</v>
      </c>
      <c r="U290" s="404">
        <f t="shared" si="28"/>
        <v>9891.0456000000013</v>
      </c>
      <c r="V290" s="10">
        <f>+'A) Base RI'!O290</f>
        <v>0</v>
      </c>
      <c r="W290" s="10">
        <f>+'A) Base RI'!P290</f>
        <v>14552.4</v>
      </c>
      <c r="X290" s="10">
        <f>+'A) Base RI'!R290</f>
        <v>17180.400000000001</v>
      </c>
      <c r="Y290" s="404">
        <f t="shared" si="29"/>
        <v>31732.800000000003</v>
      </c>
      <c r="Z290" s="10">
        <f>+'A) Base RI'!N290</f>
        <v>7607.85</v>
      </c>
      <c r="AA290" s="10">
        <f>'A) Base RI'!AO290</f>
        <v>324</v>
      </c>
    </row>
    <row r="291" spans="1:27" x14ac:dyDescent="0.25">
      <c r="A291" s="8">
        <f>'A) Base RI'!A291</f>
        <v>5908</v>
      </c>
      <c r="B291" s="32" t="str">
        <f>'A) Base RI'!B291</f>
        <v>Chêne-Pâquier</v>
      </c>
      <c r="C291" s="10">
        <f>'A) Base RI'!C291+'A) Base RI'!D291</f>
        <v>479916.92000000004</v>
      </c>
      <c r="D291" s="10">
        <f>'A) Base RI'!AP291</f>
        <v>-1088.49</v>
      </c>
      <c r="E291" s="398">
        <f>'A) Base RI'!AQ291</f>
        <v>0</v>
      </c>
      <c r="F291" s="398">
        <f>'A) Base RI'!AR291</f>
        <v>-103.75</v>
      </c>
      <c r="G291" s="404">
        <f t="shared" si="24"/>
        <v>478724.68000000005</v>
      </c>
      <c r="H291" s="10">
        <f>+'A) Base RI'!E291</f>
        <v>0</v>
      </c>
      <c r="I291" s="10">
        <f>+'A) Base RI'!F291</f>
        <v>0</v>
      </c>
      <c r="J291" s="10">
        <f>+'A) Base RI'!G291+'A) Base RI'!H291+'A) Base RI'!X291</f>
        <v>568.04</v>
      </c>
      <c r="K291" s="10">
        <f>+'A) Base RI'!I291</f>
        <v>0</v>
      </c>
      <c r="L291" s="10">
        <f>+'A) Base RI'!J291</f>
        <v>12982.5</v>
      </c>
      <c r="M291" s="10">
        <f>+'A) Base RI'!K291</f>
        <v>92.95</v>
      </c>
      <c r="N291" s="10">
        <f>+'A) Base RI'!Q291</f>
        <v>0</v>
      </c>
      <c r="O291" s="10">
        <f t="shared" si="25"/>
        <v>21328.25</v>
      </c>
      <c r="P291" s="10">
        <f>+'A) Base RI'!L291</f>
        <v>21328.25</v>
      </c>
      <c r="Q291" s="412">
        <f>'A) Base RI'!AS291</f>
        <v>1</v>
      </c>
      <c r="R291" s="404">
        <f t="shared" si="26"/>
        <v>513696.42000000004</v>
      </c>
      <c r="S291" s="457">
        <f>+'A) Base RI'!AN291</f>
        <v>79</v>
      </c>
      <c r="T291" s="404">
        <f t="shared" si="27"/>
        <v>492275.22000000003</v>
      </c>
      <c r="U291" s="404">
        <f t="shared" si="28"/>
        <v>6502.4863291139245</v>
      </c>
      <c r="V291" s="10">
        <f>+'A) Base RI'!O291</f>
        <v>0</v>
      </c>
      <c r="W291" s="10">
        <f>+'A) Base RI'!P291</f>
        <v>5995</v>
      </c>
      <c r="X291" s="10">
        <f>+'A) Base RI'!R291</f>
        <v>2762.55</v>
      </c>
      <c r="Y291" s="404">
        <f t="shared" si="29"/>
        <v>8757.5499999999993</v>
      </c>
      <c r="Z291" s="10">
        <f>+'A) Base RI'!N291</f>
        <v>4476.1000000000004</v>
      </c>
      <c r="AA291" s="10">
        <f>'A) Base RI'!AO291</f>
        <v>144</v>
      </c>
    </row>
    <row r="292" spans="1:27" x14ac:dyDescent="0.25">
      <c r="A292" s="8">
        <f>'A) Base RI'!A292</f>
        <v>5909</v>
      </c>
      <c r="B292" s="32" t="str">
        <f>'A) Base RI'!B292</f>
        <v>Cheseaux-Noréaz</v>
      </c>
      <c r="C292" s="10">
        <f>'A) Base RI'!C292+'A) Base RI'!D292</f>
        <v>2424606.91</v>
      </c>
      <c r="D292" s="10">
        <f>'A) Base RI'!AP292</f>
        <v>-2037.97</v>
      </c>
      <c r="E292" s="398">
        <f>'A) Base RI'!AQ292</f>
        <v>0</v>
      </c>
      <c r="F292" s="398">
        <f>'A) Base RI'!AR292</f>
        <v>-606.21</v>
      </c>
      <c r="G292" s="404">
        <f t="shared" si="24"/>
        <v>2421962.73</v>
      </c>
      <c r="H292" s="10">
        <f>+'A) Base RI'!E292</f>
        <v>0</v>
      </c>
      <c r="I292" s="10">
        <f>+'A) Base RI'!F292</f>
        <v>0</v>
      </c>
      <c r="J292" s="10">
        <f>+'A) Base RI'!G292+'A) Base RI'!H292+'A) Base RI'!X292</f>
        <v>21555.62</v>
      </c>
      <c r="K292" s="10">
        <f>+'A) Base RI'!I292</f>
        <v>0</v>
      </c>
      <c r="L292" s="10">
        <f>+'A) Base RI'!J292</f>
        <v>25616.45</v>
      </c>
      <c r="M292" s="10">
        <f>+'A) Base RI'!K292</f>
        <v>-2571.0500000000002</v>
      </c>
      <c r="N292" s="10">
        <f>+'A) Base RI'!Q292</f>
        <v>724.05</v>
      </c>
      <c r="O292" s="10">
        <f t="shared" si="25"/>
        <v>163073</v>
      </c>
      <c r="P292" s="10">
        <f>+'A) Base RI'!L292</f>
        <v>163073</v>
      </c>
      <c r="Q292" s="412">
        <f>'A) Base RI'!AS292</f>
        <v>1</v>
      </c>
      <c r="R292" s="404">
        <f t="shared" si="26"/>
        <v>2630360.8000000003</v>
      </c>
      <c r="S292" s="457">
        <f>+'A) Base RI'!AN292</f>
        <v>67</v>
      </c>
      <c r="T292" s="404">
        <f t="shared" si="27"/>
        <v>2469858.85</v>
      </c>
      <c r="U292" s="404">
        <f t="shared" si="28"/>
        <v>39259.116417910453</v>
      </c>
      <c r="V292" s="10">
        <f>+'A) Base RI'!O292</f>
        <v>2966.4</v>
      </c>
      <c r="W292" s="10">
        <f>+'A) Base RI'!P292</f>
        <v>45029.45</v>
      </c>
      <c r="X292" s="10">
        <f>+'A) Base RI'!R292</f>
        <v>42814.05</v>
      </c>
      <c r="Y292" s="404">
        <f t="shared" si="29"/>
        <v>90809.9</v>
      </c>
      <c r="Z292" s="10">
        <f>+'A) Base RI'!N292</f>
        <v>8854.75</v>
      </c>
      <c r="AA292" s="10">
        <f>'A) Base RI'!AO292</f>
        <v>741</v>
      </c>
    </row>
    <row r="293" spans="1:27" x14ac:dyDescent="0.25">
      <c r="A293" s="8">
        <f>'A) Base RI'!A293</f>
        <v>5910</v>
      </c>
      <c r="B293" s="32" t="str">
        <f>'A) Base RI'!B293</f>
        <v>Cronay</v>
      </c>
      <c r="C293" s="10">
        <f>'A) Base RI'!C293+'A) Base RI'!D293</f>
        <v>702008.59</v>
      </c>
      <c r="D293" s="10">
        <f>'A) Base RI'!AP293</f>
        <v>-5598.18</v>
      </c>
      <c r="E293" s="398">
        <f>'A) Base RI'!AQ293</f>
        <v>0</v>
      </c>
      <c r="F293" s="398">
        <f>'A) Base RI'!AR293</f>
        <v>-15.01</v>
      </c>
      <c r="G293" s="404">
        <f t="shared" si="24"/>
        <v>696395.39999999991</v>
      </c>
      <c r="H293" s="10">
        <f>+'A) Base RI'!E293</f>
        <v>0</v>
      </c>
      <c r="I293" s="10">
        <f>+'A) Base RI'!F293</f>
        <v>2290</v>
      </c>
      <c r="J293" s="10">
        <f>+'A) Base RI'!G293+'A) Base RI'!H293+'A) Base RI'!X293</f>
        <v>5189.4400000000005</v>
      </c>
      <c r="K293" s="10">
        <f>+'A) Base RI'!I293</f>
        <v>0</v>
      </c>
      <c r="L293" s="10">
        <f>+'A) Base RI'!J293</f>
        <v>7757.32</v>
      </c>
      <c r="M293" s="10">
        <f>+'A) Base RI'!K293</f>
        <v>0</v>
      </c>
      <c r="N293" s="10">
        <f>+'A) Base RI'!Q293</f>
        <v>0</v>
      </c>
      <c r="O293" s="10">
        <f t="shared" si="25"/>
        <v>56520</v>
      </c>
      <c r="P293" s="10">
        <f>+'A) Base RI'!L293</f>
        <v>56520</v>
      </c>
      <c r="Q293" s="412">
        <f>'A) Base RI'!AS293</f>
        <v>1</v>
      </c>
      <c r="R293" s="404">
        <f t="shared" si="26"/>
        <v>768152.1599999998</v>
      </c>
      <c r="S293" s="457">
        <f>+'A) Base RI'!AN293</f>
        <v>77</v>
      </c>
      <c r="T293" s="404">
        <f t="shared" si="27"/>
        <v>709342.1599999998</v>
      </c>
      <c r="U293" s="404">
        <f t="shared" si="28"/>
        <v>9976.0020779220758</v>
      </c>
      <c r="V293" s="10">
        <f>+'A) Base RI'!O293</f>
        <v>9.8000000000000007</v>
      </c>
      <c r="W293" s="10">
        <f>+'A) Base RI'!P293</f>
        <v>25300</v>
      </c>
      <c r="X293" s="10">
        <f>+'A) Base RI'!R293</f>
        <v>-35616.050000000003</v>
      </c>
      <c r="Y293" s="404">
        <f t="shared" si="29"/>
        <v>-10306.250000000004</v>
      </c>
      <c r="Z293" s="10">
        <f>+'A) Base RI'!N293</f>
        <v>0</v>
      </c>
      <c r="AA293" s="10">
        <f>'A) Base RI'!AO293</f>
        <v>393</v>
      </c>
    </row>
    <row r="294" spans="1:27" x14ac:dyDescent="0.25">
      <c r="A294" s="8">
        <f>'A) Base RI'!A294</f>
        <v>5911</v>
      </c>
      <c r="B294" s="32" t="str">
        <f>'A) Base RI'!B294</f>
        <v>Cuarny</v>
      </c>
      <c r="C294" s="10">
        <f>'A) Base RI'!C294+'A) Base RI'!D294</f>
        <v>497082.62</v>
      </c>
      <c r="D294" s="10">
        <f>'A) Base RI'!AP294</f>
        <v>-99.75</v>
      </c>
      <c r="E294" s="398">
        <f>'A) Base RI'!AQ294</f>
        <v>0</v>
      </c>
      <c r="F294" s="398">
        <f>'A) Base RI'!AR294</f>
        <v>-1865.97</v>
      </c>
      <c r="G294" s="404">
        <f t="shared" si="24"/>
        <v>495116.9</v>
      </c>
      <c r="H294" s="10">
        <f>+'A) Base RI'!E294</f>
        <v>0</v>
      </c>
      <c r="I294" s="10">
        <f>+'A) Base RI'!F294</f>
        <v>1450</v>
      </c>
      <c r="J294" s="10">
        <f>+'A) Base RI'!G294+'A) Base RI'!H294+'A) Base RI'!X294</f>
        <v>1911.6399999999999</v>
      </c>
      <c r="K294" s="10">
        <f>+'A) Base RI'!I294</f>
        <v>0</v>
      </c>
      <c r="L294" s="10">
        <f>+'A) Base RI'!J294</f>
        <v>1137.6199999999999</v>
      </c>
      <c r="M294" s="10">
        <f>+'A) Base RI'!K294</f>
        <v>830.3</v>
      </c>
      <c r="N294" s="10">
        <f>+'A) Base RI'!Q294</f>
        <v>0</v>
      </c>
      <c r="O294" s="10">
        <f t="shared" si="25"/>
        <v>33892.5</v>
      </c>
      <c r="P294" s="10">
        <f>+'A) Base RI'!L294</f>
        <v>33892.5</v>
      </c>
      <c r="Q294" s="412">
        <f>'A) Base RI'!AS294</f>
        <v>1</v>
      </c>
      <c r="R294" s="404">
        <f t="shared" si="26"/>
        <v>534338.96</v>
      </c>
      <c r="S294" s="457">
        <f>+'A) Base RI'!AN294</f>
        <v>77</v>
      </c>
      <c r="T294" s="404">
        <f t="shared" si="27"/>
        <v>498166.16000000003</v>
      </c>
      <c r="U294" s="404">
        <f t="shared" si="28"/>
        <v>6939.4670129870128</v>
      </c>
      <c r="V294" s="10">
        <f>+'A) Base RI'!O294</f>
        <v>1237.2</v>
      </c>
      <c r="W294" s="10">
        <f>+'A) Base RI'!P294</f>
        <v>0</v>
      </c>
      <c r="X294" s="10">
        <f>+'A) Base RI'!R294</f>
        <v>0</v>
      </c>
      <c r="Y294" s="404">
        <f t="shared" si="29"/>
        <v>1237.2</v>
      </c>
      <c r="Z294" s="10">
        <f>+'A) Base RI'!N294</f>
        <v>1274</v>
      </c>
      <c r="AA294" s="10">
        <f>'A) Base RI'!AO294</f>
        <v>234</v>
      </c>
    </row>
    <row r="295" spans="1:27" x14ac:dyDescent="0.25">
      <c r="A295" s="8">
        <f>'A) Base RI'!A295</f>
        <v>5912</v>
      </c>
      <c r="B295" s="32" t="str">
        <f>'A) Base RI'!B295</f>
        <v>Démoret</v>
      </c>
      <c r="C295" s="10">
        <f>'A) Base RI'!C295+'A) Base RI'!D295</f>
        <v>288524.27999999997</v>
      </c>
      <c r="D295" s="10">
        <f>'A) Base RI'!AP295</f>
        <v>-654.65</v>
      </c>
      <c r="E295" s="398">
        <f>'A) Base RI'!AQ295</f>
        <v>0</v>
      </c>
      <c r="F295" s="398">
        <f>'A) Base RI'!AR295</f>
        <v>0</v>
      </c>
      <c r="G295" s="404">
        <f t="shared" si="24"/>
        <v>287869.62999999995</v>
      </c>
      <c r="H295" s="10">
        <f>+'A) Base RI'!E295</f>
        <v>0</v>
      </c>
      <c r="I295" s="10">
        <f>+'A) Base RI'!F295</f>
        <v>890</v>
      </c>
      <c r="J295" s="10">
        <f>+'A) Base RI'!G295+'A) Base RI'!H295+'A) Base RI'!X295</f>
        <v>10503.09</v>
      </c>
      <c r="K295" s="10">
        <f>+'A) Base RI'!I295</f>
        <v>0</v>
      </c>
      <c r="L295" s="10">
        <f>+'A) Base RI'!J295</f>
        <v>9417.1</v>
      </c>
      <c r="M295" s="10">
        <f>+'A) Base RI'!K295</f>
        <v>0</v>
      </c>
      <c r="N295" s="10">
        <f>+'A) Base RI'!Q295</f>
        <v>0</v>
      </c>
      <c r="O295" s="10">
        <f t="shared" si="25"/>
        <v>21041.3</v>
      </c>
      <c r="P295" s="10">
        <f>+'A) Base RI'!L295</f>
        <v>21041.3</v>
      </c>
      <c r="Q295" s="412">
        <f>'A) Base RI'!AS295</f>
        <v>1</v>
      </c>
      <c r="R295" s="404">
        <f t="shared" si="26"/>
        <v>329721.11999999994</v>
      </c>
      <c r="S295" s="457">
        <f>+'A) Base RI'!AN295</f>
        <v>81</v>
      </c>
      <c r="T295" s="404">
        <f t="shared" si="27"/>
        <v>307789.81999999995</v>
      </c>
      <c r="U295" s="404">
        <f t="shared" si="28"/>
        <v>4070.6311111111104</v>
      </c>
      <c r="V295" s="10">
        <f>+'A) Base RI'!O295</f>
        <v>0</v>
      </c>
      <c r="W295" s="10">
        <f>+'A) Base RI'!P295</f>
        <v>14300</v>
      </c>
      <c r="X295" s="10">
        <f>+'A) Base RI'!R295</f>
        <v>6755.3</v>
      </c>
      <c r="Y295" s="404">
        <f t="shared" si="29"/>
        <v>21055.3</v>
      </c>
      <c r="Z295" s="10">
        <f>+'A) Base RI'!N295</f>
        <v>2837.6</v>
      </c>
      <c r="AA295" s="10">
        <f>'A) Base RI'!AO295</f>
        <v>158</v>
      </c>
    </row>
    <row r="296" spans="1:27" x14ac:dyDescent="0.25">
      <c r="A296" s="8">
        <f>'A) Base RI'!A296</f>
        <v>5913</v>
      </c>
      <c r="B296" s="32" t="str">
        <f>'A) Base RI'!B296</f>
        <v>Donneloye</v>
      </c>
      <c r="C296" s="10">
        <f>'A) Base RI'!C296+'A) Base RI'!D296</f>
        <v>1326659.3199999998</v>
      </c>
      <c r="D296" s="10">
        <f>'A) Base RI'!AP296</f>
        <v>-20736.669999999998</v>
      </c>
      <c r="E296" s="398">
        <f>'A) Base RI'!AQ296</f>
        <v>0</v>
      </c>
      <c r="F296" s="398">
        <f>'A) Base RI'!AR296</f>
        <v>-977.98</v>
      </c>
      <c r="G296" s="404">
        <f t="shared" si="24"/>
        <v>1304944.67</v>
      </c>
      <c r="H296" s="10">
        <f>+'A) Base RI'!E296</f>
        <v>0</v>
      </c>
      <c r="I296" s="10">
        <f>+'A) Base RI'!F296</f>
        <v>0</v>
      </c>
      <c r="J296" s="10">
        <f>+'A) Base RI'!G296+'A) Base RI'!H296+'A) Base RI'!X296</f>
        <v>12845.23</v>
      </c>
      <c r="K296" s="10">
        <f>+'A) Base RI'!I296</f>
        <v>0</v>
      </c>
      <c r="L296" s="10">
        <f>+'A) Base RI'!J296</f>
        <v>12856.2</v>
      </c>
      <c r="M296" s="10">
        <f>+'A) Base RI'!K296</f>
        <v>-258.35000000000002</v>
      </c>
      <c r="N296" s="10">
        <f>+'A) Base RI'!Q296</f>
        <v>1533.53</v>
      </c>
      <c r="O296" s="10">
        <f t="shared" si="25"/>
        <v>119379.2</v>
      </c>
      <c r="P296" s="10">
        <f>+'A) Base RI'!L296</f>
        <v>119379.2</v>
      </c>
      <c r="Q296" s="412">
        <f>'A) Base RI'!AS296</f>
        <v>1</v>
      </c>
      <c r="R296" s="404">
        <f t="shared" si="26"/>
        <v>1451300.4799999997</v>
      </c>
      <c r="S296" s="457">
        <f>+'A) Base RI'!AN296</f>
        <v>73</v>
      </c>
      <c r="T296" s="404">
        <f t="shared" si="27"/>
        <v>1332179.6299999999</v>
      </c>
      <c r="U296" s="404">
        <f t="shared" si="28"/>
        <v>19880.828493150682</v>
      </c>
      <c r="V296" s="10">
        <f>+'A) Base RI'!O296</f>
        <v>0</v>
      </c>
      <c r="W296" s="10">
        <f>+'A) Base RI'!P296</f>
        <v>43192.7</v>
      </c>
      <c r="X296" s="10">
        <f>+'A) Base RI'!R296</f>
        <v>30580</v>
      </c>
      <c r="Y296" s="404">
        <f t="shared" si="29"/>
        <v>73772.7</v>
      </c>
      <c r="Z296" s="10">
        <f>+'A) Base RI'!N296</f>
        <v>30586.9</v>
      </c>
      <c r="AA296" s="10">
        <f>'A) Base RI'!AO296</f>
        <v>829</v>
      </c>
    </row>
    <row r="297" spans="1:27" x14ac:dyDescent="0.25">
      <c r="A297" s="8">
        <f>'A) Base RI'!A297</f>
        <v>5914</v>
      </c>
      <c r="B297" s="32" t="str">
        <f>'A) Base RI'!B297</f>
        <v>Ependes</v>
      </c>
      <c r="C297" s="10">
        <f>'A) Base RI'!C297+'A) Base RI'!D297</f>
        <v>687606.41</v>
      </c>
      <c r="D297" s="10">
        <f>'A) Base RI'!AP297</f>
        <v>-9754.3700000000008</v>
      </c>
      <c r="E297" s="398">
        <f>'A) Base RI'!AQ297</f>
        <v>0</v>
      </c>
      <c r="F297" s="398">
        <f>'A) Base RI'!AR297</f>
        <v>-0.59</v>
      </c>
      <c r="G297" s="404">
        <f t="shared" si="24"/>
        <v>677851.45000000007</v>
      </c>
      <c r="H297" s="10">
        <f>+'A) Base RI'!E297</f>
        <v>0</v>
      </c>
      <c r="I297" s="10">
        <f>+'A) Base RI'!F297</f>
        <v>2090</v>
      </c>
      <c r="J297" s="10">
        <f>+'A) Base RI'!G297+'A) Base RI'!H297+'A) Base RI'!X297</f>
        <v>28607.14</v>
      </c>
      <c r="K297" s="10">
        <f>+'A) Base RI'!I297</f>
        <v>0</v>
      </c>
      <c r="L297" s="10">
        <f>+'A) Base RI'!J297</f>
        <v>9723.82</v>
      </c>
      <c r="M297" s="10">
        <f>+'A) Base RI'!K297</f>
        <v>7718.95</v>
      </c>
      <c r="N297" s="10">
        <f>+'A) Base RI'!Q297</f>
        <v>0</v>
      </c>
      <c r="O297" s="10">
        <f t="shared" si="25"/>
        <v>57671.15</v>
      </c>
      <c r="P297" s="10">
        <f>+'A) Base RI'!L297</f>
        <v>57671.15</v>
      </c>
      <c r="Q297" s="412">
        <f>'A) Base RI'!AS297</f>
        <v>1</v>
      </c>
      <c r="R297" s="404">
        <f t="shared" si="26"/>
        <v>783662.51</v>
      </c>
      <c r="S297" s="457">
        <f>+'A) Base RI'!AN297</f>
        <v>73.5</v>
      </c>
      <c r="T297" s="404">
        <f t="shared" si="27"/>
        <v>716182.41</v>
      </c>
      <c r="U297" s="404">
        <f t="shared" si="28"/>
        <v>10662.074965986394</v>
      </c>
      <c r="V297" s="10">
        <f>+'A) Base RI'!O297</f>
        <v>0</v>
      </c>
      <c r="W297" s="10">
        <f>+'A) Base RI'!P297</f>
        <v>30904.5</v>
      </c>
      <c r="X297" s="10">
        <f>+'A) Base RI'!R297</f>
        <v>14806.6</v>
      </c>
      <c r="Y297" s="404">
        <f t="shared" si="29"/>
        <v>45711.1</v>
      </c>
      <c r="Z297" s="10">
        <f>+'A) Base RI'!N297</f>
        <v>4770.75</v>
      </c>
      <c r="AA297" s="10">
        <f>'A) Base RI'!AO297</f>
        <v>388</v>
      </c>
    </row>
    <row r="298" spans="1:27" x14ac:dyDescent="0.25">
      <c r="A298" s="8">
        <f>'A) Base RI'!A298</f>
        <v>5919</v>
      </c>
      <c r="B298" s="32" t="str">
        <f>'A) Base RI'!B298</f>
        <v>Mathod</v>
      </c>
      <c r="C298" s="10">
        <f>'A) Base RI'!C298+'A) Base RI'!D298</f>
        <v>1361780.73</v>
      </c>
      <c r="D298" s="10">
        <f>'A) Base RI'!AP298</f>
        <v>-22225.9</v>
      </c>
      <c r="E298" s="398">
        <f>'A) Base RI'!AQ298</f>
        <v>0</v>
      </c>
      <c r="F298" s="398">
        <f>'A) Base RI'!AR298</f>
        <v>-56.05</v>
      </c>
      <c r="G298" s="404">
        <f t="shared" si="24"/>
        <v>1339498.78</v>
      </c>
      <c r="H298" s="10">
        <f>+'A) Base RI'!E298</f>
        <v>0</v>
      </c>
      <c r="I298" s="10">
        <f>+'A) Base RI'!F298</f>
        <v>3550</v>
      </c>
      <c r="J298" s="10">
        <f>+'A) Base RI'!G298+'A) Base RI'!H298+'A) Base RI'!X298</f>
        <v>63880.03</v>
      </c>
      <c r="K298" s="10">
        <f>+'A) Base RI'!I298</f>
        <v>0</v>
      </c>
      <c r="L298" s="10">
        <f>+'A) Base RI'!J298</f>
        <v>21563.51</v>
      </c>
      <c r="M298" s="10">
        <f>+'A) Base RI'!K298</f>
        <v>9312.4500000000007</v>
      </c>
      <c r="N298" s="10">
        <f>+'A) Base RI'!Q298</f>
        <v>0</v>
      </c>
      <c r="O298" s="10">
        <f t="shared" si="25"/>
        <v>114918.29166666669</v>
      </c>
      <c r="P298" s="10">
        <f>+'A) Base RI'!L298</f>
        <v>137901.95000000001</v>
      </c>
      <c r="Q298" s="412">
        <f>'A) Base RI'!AS298</f>
        <v>1.2</v>
      </c>
      <c r="R298" s="404">
        <f t="shared" si="26"/>
        <v>1552723.0616666668</v>
      </c>
      <c r="S298" s="457">
        <f>+'A) Base RI'!AN298</f>
        <v>72</v>
      </c>
      <c r="T298" s="404">
        <f t="shared" si="27"/>
        <v>1424942.32</v>
      </c>
      <c r="U298" s="404">
        <f t="shared" si="28"/>
        <v>21565.598078703704</v>
      </c>
      <c r="V298" s="10">
        <f>+'A) Base RI'!O298</f>
        <v>100085.8</v>
      </c>
      <c r="W298" s="10">
        <f>+'A) Base RI'!P298</f>
        <v>110471.95</v>
      </c>
      <c r="X298" s="10">
        <f>+'A) Base RI'!R298</f>
        <v>55582.5</v>
      </c>
      <c r="Y298" s="404">
        <f t="shared" si="29"/>
        <v>266140.25</v>
      </c>
      <c r="Z298" s="10">
        <f>+'A) Base RI'!N298</f>
        <v>11500.6</v>
      </c>
      <c r="AA298" s="10">
        <f>'A) Base RI'!AO298</f>
        <v>651</v>
      </c>
    </row>
    <row r="299" spans="1:27" x14ac:dyDescent="0.25">
      <c r="A299" s="8">
        <f>'A) Base RI'!A299</f>
        <v>5921</v>
      </c>
      <c r="B299" s="32" t="str">
        <f>'A) Base RI'!B299</f>
        <v>Molondin</v>
      </c>
      <c r="C299" s="10">
        <f>'A) Base RI'!C299+'A) Base RI'!D299</f>
        <v>428581.74</v>
      </c>
      <c r="D299" s="10">
        <f>'A) Base RI'!AP299</f>
        <v>-5989.48</v>
      </c>
      <c r="E299" s="398">
        <f>'A) Base RI'!AQ299</f>
        <v>0</v>
      </c>
      <c r="F299" s="398">
        <f>'A) Base RI'!AR299</f>
        <v>-29.05</v>
      </c>
      <c r="G299" s="404">
        <f t="shared" si="24"/>
        <v>422563.21</v>
      </c>
      <c r="H299" s="10">
        <f>+'A) Base RI'!E299</f>
        <v>0</v>
      </c>
      <c r="I299" s="10">
        <f>+'A) Base RI'!F299</f>
        <v>0</v>
      </c>
      <c r="J299" s="10">
        <f>+'A) Base RI'!G299+'A) Base RI'!H299+'A) Base RI'!X299</f>
        <v>-3772.71</v>
      </c>
      <c r="K299" s="10">
        <f>+'A) Base RI'!I299</f>
        <v>0</v>
      </c>
      <c r="L299" s="10">
        <f>+'A) Base RI'!J299</f>
        <v>7243.61</v>
      </c>
      <c r="M299" s="10">
        <f>+'A) Base RI'!K299</f>
        <v>0</v>
      </c>
      <c r="N299" s="10">
        <f>+'A) Base RI'!Q299</f>
        <v>0</v>
      </c>
      <c r="O299" s="10">
        <f t="shared" si="25"/>
        <v>33713.25</v>
      </c>
      <c r="P299" s="10">
        <f>+'A) Base RI'!L299</f>
        <v>33713.25</v>
      </c>
      <c r="Q299" s="412">
        <f>'A) Base RI'!AS299</f>
        <v>1</v>
      </c>
      <c r="R299" s="404">
        <f t="shared" si="26"/>
        <v>459747.36</v>
      </c>
      <c r="S299" s="457">
        <f>+'A) Base RI'!AN299</f>
        <v>81</v>
      </c>
      <c r="T299" s="404">
        <f t="shared" si="27"/>
        <v>426034.11</v>
      </c>
      <c r="U299" s="404">
        <f t="shared" si="28"/>
        <v>5675.8933333333334</v>
      </c>
      <c r="V299" s="10">
        <f>+'A) Base RI'!O299</f>
        <v>6074.9</v>
      </c>
      <c r="W299" s="10">
        <f>+'A) Base RI'!P299</f>
        <v>16006.1</v>
      </c>
      <c r="X299" s="10">
        <f>+'A) Base RI'!R299</f>
        <v>882.55</v>
      </c>
      <c r="Y299" s="404">
        <f t="shared" si="29"/>
        <v>22963.55</v>
      </c>
      <c r="Z299" s="10">
        <f>+'A) Base RI'!N299</f>
        <v>1548.45</v>
      </c>
      <c r="AA299" s="10">
        <f>'A) Base RI'!AO299</f>
        <v>252</v>
      </c>
    </row>
    <row r="300" spans="1:27" x14ac:dyDescent="0.25">
      <c r="A300" s="8">
        <f>'A) Base RI'!A300</f>
        <v>5922</v>
      </c>
      <c r="B300" s="32" t="str">
        <f>'A) Base RI'!B300</f>
        <v>Montagny-près-Yverdon</v>
      </c>
      <c r="C300" s="10">
        <f>'A) Base RI'!C300+'A) Base RI'!D300</f>
        <v>1353019.5699999998</v>
      </c>
      <c r="D300" s="10">
        <f>'A) Base RI'!AP300</f>
        <v>-73955.02</v>
      </c>
      <c r="E300" s="398">
        <f>'A) Base RI'!AQ300</f>
        <v>0</v>
      </c>
      <c r="F300" s="398">
        <f>'A) Base RI'!AR300</f>
        <v>-506.68</v>
      </c>
      <c r="G300" s="404">
        <f t="shared" si="24"/>
        <v>1278557.8699999999</v>
      </c>
      <c r="H300" s="10">
        <f>+'A) Base RI'!E300</f>
        <v>0</v>
      </c>
      <c r="I300" s="10">
        <f>+'A) Base RI'!F300</f>
        <v>0</v>
      </c>
      <c r="J300" s="10">
        <f>+'A) Base RI'!G300+'A) Base RI'!H300+'A) Base RI'!X300</f>
        <v>454912.12</v>
      </c>
      <c r="K300" s="10">
        <f>+'A) Base RI'!I300</f>
        <v>0</v>
      </c>
      <c r="L300" s="10">
        <f>+'A) Base RI'!J300</f>
        <v>58040.38</v>
      </c>
      <c r="M300" s="10">
        <f>+'A) Base RI'!K300</f>
        <v>-444.65000000000902</v>
      </c>
      <c r="N300" s="10">
        <f>+'A) Base RI'!Q300</f>
        <v>1375.5</v>
      </c>
      <c r="O300" s="10">
        <f t="shared" si="25"/>
        <v>323785.06249999994</v>
      </c>
      <c r="P300" s="10">
        <f>+'A) Base RI'!L300</f>
        <v>259028.05</v>
      </c>
      <c r="Q300" s="412">
        <f>'A) Base RI'!AS300</f>
        <v>0.8</v>
      </c>
      <c r="R300" s="404">
        <f t="shared" si="26"/>
        <v>2116226.2824999997</v>
      </c>
      <c r="S300" s="457">
        <f>+'A) Base RI'!AN300</f>
        <v>63.5</v>
      </c>
      <c r="T300" s="404">
        <f t="shared" si="27"/>
        <v>1792885.8699999996</v>
      </c>
      <c r="U300" s="404">
        <f t="shared" si="28"/>
        <v>33326.398149606292</v>
      </c>
      <c r="V300" s="10">
        <f>+'A) Base RI'!O300</f>
        <v>-6233.6</v>
      </c>
      <c r="W300" s="10">
        <f>+'A) Base RI'!P300</f>
        <v>97702.85</v>
      </c>
      <c r="X300" s="10">
        <f>+'A) Base RI'!R300</f>
        <v>33978.300000000003</v>
      </c>
      <c r="Y300" s="404">
        <f t="shared" si="29"/>
        <v>125447.55</v>
      </c>
      <c r="Z300" s="10">
        <f>+'A) Base RI'!N300</f>
        <v>275454.95</v>
      </c>
      <c r="AA300" s="10">
        <f>'A) Base RI'!AO300</f>
        <v>737</v>
      </c>
    </row>
    <row r="301" spans="1:27" x14ac:dyDescent="0.25">
      <c r="A301" s="8">
        <f>'A) Base RI'!A301</f>
        <v>5923</v>
      </c>
      <c r="B301" s="32" t="str">
        <f>'A) Base RI'!B301</f>
        <v>Oppens</v>
      </c>
      <c r="C301" s="10">
        <f>'A) Base RI'!C301+'A) Base RI'!D301</f>
        <v>336974.36000000004</v>
      </c>
      <c r="D301" s="10">
        <f>'A) Base RI'!AP301</f>
        <v>-3900.52</v>
      </c>
      <c r="E301" s="398">
        <f>'A) Base RI'!AQ301</f>
        <v>0</v>
      </c>
      <c r="F301" s="398">
        <f>'A) Base RI'!AR301</f>
        <v>0</v>
      </c>
      <c r="G301" s="404">
        <f t="shared" si="24"/>
        <v>333073.84000000003</v>
      </c>
      <c r="H301" s="10">
        <f>+'A) Base RI'!E301</f>
        <v>0</v>
      </c>
      <c r="I301" s="10">
        <f>+'A) Base RI'!F301</f>
        <v>0</v>
      </c>
      <c r="J301" s="10">
        <f>+'A) Base RI'!G301+'A) Base RI'!H301+'A) Base RI'!X301</f>
        <v>3609.9199999999996</v>
      </c>
      <c r="K301" s="10">
        <f>+'A) Base RI'!I301</f>
        <v>0</v>
      </c>
      <c r="L301" s="10">
        <f>+'A) Base RI'!J301</f>
        <v>26224.33</v>
      </c>
      <c r="M301" s="10">
        <f>+'A) Base RI'!K301</f>
        <v>0</v>
      </c>
      <c r="N301" s="10">
        <f>+'A) Base RI'!Q301</f>
        <v>0</v>
      </c>
      <c r="O301" s="10">
        <f t="shared" si="25"/>
        <v>25830.400000000001</v>
      </c>
      <c r="P301" s="10">
        <f>+'A) Base RI'!L301</f>
        <v>25830.400000000001</v>
      </c>
      <c r="Q301" s="412">
        <f>'A) Base RI'!AS301</f>
        <v>1</v>
      </c>
      <c r="R301" s="404">
        <f t="shared" si="26"/>
        <v>388738.49000000005</v>
      </c>
      <c r="S301" s="457">
        <f>+'A) Base RI'!AN301</f>
        <v>81</v>
      </c>
      <c r="T301" s="404">
        <f t="shared" si="27"/>
        <v>362908.09</v>
      </c>
      <c r="U301" s="404">
        <f t="shared" si="28"/>
        <v>4799.240617283951</v>
      </c>
      <c r="V301" s="10">
        <f>+'A) Base RI'!O301</f>
        <v>10</v>
      </c>
      <c r="W301" s="10">
        <f>+'A) Base RI'!P301</f>
        <v>6036.25</v>
      </c>
      <c r="X301" s="10">
        <f>+'A) Base RI'!R301</f>
        <v>14162.6</v>
      </c>
      <c r="Y301" s="404">
        <f t="shared" si="29"/>
        <v>20208.849999999999</v>
      </c>
      <c r="Z301" s="10">
        <f>+'A) Base RI'!N301</f>
        <v>19955.7</v>
      </c>
      <c r="AA301" s="10">
        <f>'A) Base RI'!AO301</f>
        <v>201</v>
      </c>
    </row>
    <row r="302" spans="1:27" x14ac:dyDescent="0.25">
      <c r="A302" s="8">
        <f>'A) Base RI'!A302</f>
        <v>5924</v>
      </c>
      <c r="B302" s="32" t="str">
        <f>'A) Base RI'!B302</f>
        <v>Orges</v>
      </c>
      <c r="C302" s="10">
        <f>'A) Base RI'!C302+'A) Base RI'!D302</f>
        <v>833287.14</v>
      </c>
      <c r="D302" s="10">
        <f>'A) Base RI'!AP302</f>
        <v>-4091.03</v>
      </c>
      <c r="E302" s="398">
        <f>'A) Base RI'!AQ302</f>
        <v>0</v>
      </c>
      <c r="F302" s="398">
        <f>'A) Base RI'!AR302</f>
        <v>-74.400000000000006</v>
      </c>
      <c r="G302" s="404">
        <f t="shared" si="24"/>
        <v>829121.71</v>
      </c>
      <c r="H302" s="10">
        <f>+'A) Base RI'!E302</f>
        <v>0</v>
      </c>
      <c r="I302" s="10">
        <f>+'A) Base RI'!F302</f>
        <v>0</v>
      </c>
      <c r="J302" s="10">
        <f>+'A) Base RI'!G302+'A) Base RI'!H302+'A) Base RI'!X302</f>
        <v>36749.039999999994</v>
      </c>
      <c r="K302" s="10">
        <f>+'A) Base RI'!I302</f>
        <v>0</v>
      </c>
      <c r="L302" s="10">
        <f>+'A) Base RI'!J302</f>
        <v>2483.7199999999998</v>
      </c>
      <c r="M302" s="10">
        <f>+'A) Base RI'!K302</f>
        <v>0</v>
      </c>
      <c r="N302" s="10">
        <f>+'A) Base RI'!Q302</f>
        <v>0</v>
      </c>
      <c r="O302" s="10">
        <f t="shared" si="25"/>
        <v>58527</v>
      </c>
      <c r="P302" s="10">
        <f>+'A) Base RI'!L302</f>
        <v>58527</v>
      </c>
      <c r="Q302" s="412">
        <f>'A) Base RI'!AS302</f>
        <v>1</v>
      </c>
      <c r="R302" s="404">
        <f t="shared" si="26"/>
        <v>926881.47</v>
      </c>
      <c r="S302" s="457">
        <f>+'A) Base RI'!AN302</f>
        <v>74</v>
      </c>
      <c r="T302" s="404">
        <f t="shared" si="27"/>
        <v>868354.47</v>
      </c>
      <c r="U302" s="404">
        <f t="shared" si="28"/>
        <v>12525.425270270271</v>
      </c>
      <c r="V302" s="10">
        <f>+'A) Base RI'!O302</f>
        <v>7385</v>
      </c>
      <c r="W302" s="10">
        <f>+'A) Base RI'!P302</f>
        <v>71747.649999999994</v>
      </c>
      <c r="X302" s="10">
        <f>+'A) Base RI'!R302</f>
        <v>89990.55</v>
      </c>
      <c r="Y302" s="404">
        <f t="shared" si="29"/>
        <v>169123.20000000001</v>
      </c>
      <c r="Z302" s="10">
        <f>+'A) Base RI'!N302</f>
        <v>16319.85</v>
      </c>
      <c r="AA302" s="10">
        <f>'A) Base RI'!AO302</f>
        <v>343</v>
      </c>
    </row>
    <row r="303" spans="1:27" x14ac:dyDescent="0.25">
      <c r="A303" s="8">
        <f>'A) Base RI'!A303</f>
        <v>5925</v>
      </c>
      <c r="B303" s="32" t="str">
        <f>'A) Base RI'!B303</f>
        <v>Orzens</v>
      </c>
      <c r="C303" s="10">
        <f>'A) Base RI'!C303+'A) Base RI'!D303</f>
        <v>436903.04000000004</v>
      </c>
      <c r="D303" s="10">
        <f>'A) Base RI'!AP303</f>
        <v>-11676.58</v>
      </c>
      <c r="E303" s="398">
        <f>'A) Base RI'!AQ303</f>
        <v>0</v>
      </c>
      <c r="F303" s="398">
        <f>'A) Base RI'!AR303</f>
        <v>0</v>
      </c>
      <c r="G303" s="404">
        <f t="shared" si="24"/>
        <v>425226.46</v>
      </c>
      <c r="H303" s="10">
        <f>+'A) Base RI'!E303</f>
        <v>0</v>
      </c>
      <c r="I303" s="10">
        <f>+'A) Base RI'!F303</f>
        <v>1230</v>
      </c>
      <c r="J303" s="10">
        <f>+'A) Base RI'!G303+'A) Base RI'!H303+'A) Base RI'!X303</f>
        <v>-4216.38</v>
      </c>
      <c r="K303" s="10">
        <f>+'A) Base RI'!I303</f>
        <v>0</v>
      </c>
      <c r="L303" s="10">
        <f>+'A) Base RI'!J303</f>
        <v>10449.290000000001</v>
      </c>
      <c r="M303" s="10">
        <f>+'A) Base RI'!K303</f>
        <v>0</v>
      </c>
      <c r="N303" s="10">
        <f>+'A) Base RI'!Q303</f>
        <v>0</v>
      </c>
      <c r="O303" s="10">
        <f t="shared" si="25"/>
        <v>31788.1</v>
      </c>
      <c r="P303" s="10">
        <f>+'A) Base RI'!L303</f>
        <v>31788.1</v>
      </c>
      <c r="Q303" s="412">
        <f>'A) Base RI'!AS303</f>
        <v>1</v>
      </c>
      <c r="R303" s="404">
        <f t="shared" si="26"/>
        <v>464477.47</v>
      </c>
      <c r="S303" s="457">
        <f>+'A) Base RI'!AN303</f>
        <v>79</v>
      </c>
      <c r="T303" s="404">
        <f t="shared" si="27"/>
        <v>431459.37</v>
      </c>
      <c r="U303" s="404">
        <f t="shared" si="28"/>
        <v>5879.4616455696196</v>
      </c>
      <c r="V303" s="10">
        <f>+'A) Base RI'!O303</f>
        <v>112427.7</v>
      </c>
      <c r="W303" s="10">
        <f>+'A) Base RI'!P303</f>
        <v>15290</v>
      </c>
      <c r="X303" s="10">
        <f>+'A) Base RI'!R303</f>
        <v>4637.55</v>
      </c>
      <c r="Y303" s="404">
        <f t="shared" si="29"/>
        <v>132355.25</v>
      </c>
      <c r="Z303" s="10">
        <f>+'A) Base RI'!N303</f>
        <v>7684.4</v>
      </c>
      <c r="AA303" s="10">
        <f>'A) Base RI'!AO303</f>
        <v>201</v>
      </c>
    </row>
    <row r="304" spans="1:27" x14ac:dyDescent="0.25">
      <c r="A304" s="8">
        <f>'A) Base RI'!A304</f>
        <v>5926</v>
      </c>
      <c r="B304" s="32" t="str">
        <f>'A) Base RI'!B304</f>
        <v>Pomy</v>
      </c>
      <c r="C304" s="10">
        <f>'A) Base RI'!C304+'A) Base RI'!D304</f>
        <v>1798247.3900000001</v>
      </c>
      <c r="D304" s="10">
        <f>'A) Base RI'!AP304</f>
        <v>-11331.52</v>
      </c>
      <c r="E304" s="398">
        <f>'A) Base RI'!AQ304</f>
        <v>0</v>
      </c>
      <c r="F304" s="398">
        <f>'A) Base RI'!AR304</f>
        <v>-90.08</v>
      </c>
      <c r="G304" s="404">
        <f t="shared" si="24"/>
        <v>1786825.79</v>
      </c>
      <c r="H304" s="10">
        <f>+'A) Base RI'!E304</f>
        <v>0</v>
      </c>
      <c r="I304" s="10">
        <f>+'A) Base RI'!F304</f>
        <v>0</v>
      </c>
      <c r="J304" s="10">
        <f>+'A) Base RI'!G304+'A) Base RI'!H304+'A) Base RI'!X304</f>
        <v>5914.829999999989</v>
      </c>
      <c r="K304" s="10">
        <f>+'A) Base RI'!I304</f>
        <v>0</v>
      </c>
      <c r="L304" s="10">
        <f>+'A) Base RI'!J304</f>
        <v>22139.54</v>
      </c>
      <c r="M304" s="10">
        <f>+'A) Base RI'!K304</f>
        <v>0</v>
      </c>
      <c r="N304" s="10">
        <f>+'A) Base RI'!Q304</f>
        <v>4972.66</v>
      </c>
      <c r="O304" s="10">
        <f t="shared" si="25"/>
        <v>122933.4</v>
      </c>
      <c r="P304" s="10">
        <f>+'A) Base RI'!L304</f>
        <v>122933.4</v>
      </c>
      <c r="Q304" s="412">
        <f>'A) Base RI'!AS304</f>
        <v>1</v>
      </c>
      <c r="R304" s="404">
        <f t="shared" si="26"/>
        <v>1942786.22</v>
      </c>
      <c r="S304" s="457">
        <f>+'A) Base RI'!AN304</f>
        <v>71</v>
      </c>
      <c r="T304" s="404">
        <f t="shared" si="27"/>
        <v>1819852.82</v>
      </c>
      <c r="U304" s="404">
        <f t="shared" si="28"/>
        <v>27363.186197183099</v>
      </c>
      <c r="V304" s="10">
        <f>+'A) Base RI'!O304</f>
        <v>19099.900000000001</v>
      </c>
      <c r="W304" s="10">
        <f>+'A) Base RI'!P304</f>
        <v>100571.3</v>
      </c>
      <c r="X304" s="10">
        <f>+'A) Base RI'!R304</f>
        <v>51321.7</v>
      </c>
      <c r="Y304" s="404">
        <f t="shared" si="29"/>
        <v>170992.90000000002</v>
      </c>
      <c r="Z304" s="10">
        <f>+'A) Base RI'!N304</f>
        <v>11494.6</v>
      </c>
      <c r="AA304" s="10">
        <f>'A) Base RI'!AO304</f>
        <v>803</v>
      </c>
    </row>
    <row r="305" spans="1:27" x14ac:dyDescent="0.25">
      <c r="A305" s="8">
        <f>'A) Base RI'!A305</f>
        <v>5928</v>
      </c>
      <c r="B305" s="32" t="str">
        <f>'A) Base RI'!B305</f>
        <v>Rovray</v>
      </c>
      <c r="C305" s="10">
        <f>'A) Base RI'!C305+'A) Base RI'!D305</f>
        <v>352598.07</v>
      </c>
      <c r="D305" s="10">
        <f>'A) Base RI'!AP305</f>
        <v>-6650.09</v>
      </c>
      <c r="E305" s="398">
        <f>'A) Base RI'!AQ305</f>
        <v>0</v>
      </c>
      <c r="F305" s="398">
        <f>'A) Base RI'!AR305</f>
        <v>-21.61</v>
      </c>
      <c r="G305" s="404">
        <f t="shared" si="24"/>
        <v>345926.37</v>
      </c>
      <c r="H305" s="10">
        <f>+'A) Base RI'!E305</f>
        <v>0</v>
      </c>
      <c r="I305" s="10">
        <f>+'A) Base RI'!F305</f>
        <v>0</v>
      </c>
      <c r="J305" s="10">
        <f>+'A) Base RI'!G305+'A) Base RI'!H305+'A) Base RI'!X305</f>
        <v>3615.41</v>
      </c>
      <c r="K305" s="10">
        <f>+'A) Base RI'!I305</f>
        <v>0</v>
      </c>
      <c r="L305" s="10">
        <f>+'A) Base RI'!J305</f>
        <v>25596.57</v>
      </c>
      <c r="M305" s="10">
        <f>+'A) Base RI'!K305</f>
        <v>0</v>
      </c>
      <c r="N305" s="10">
        <f>+'A) Base RI'!Q305</f>
        <v>-1.82</v>
      </c>
      <c r="O305" s="10">
        <f t="shared" si="25"/>
        <v>22647</v>
      </c>
      <c r="P305" s="10">
        <f>+'A) Base RI'!L305</f>
        <v>22647</v>
      </c>
      <c r="Q305" s="412">
        <f>'A) Base RI'!AS305</f>
        <v>1</v>
      </c>
      <c r="R305" s="404">
        <f t="shared" si="26"/>
        <v>397783.52999999997</v>
      </c>
      <c r="S305" s="457">
        <f>+'A) Base RI'!AN305</f>
        <v>71.5</v>
      </c>
      <c r="T305" s="404">
        <f t="shared" si="27"/>
        <v>375136.52999999997</v>
      </c>
      <c r="U305" s="404">
        <f t="shared" si="28"/>
        <v>5563.4060139860139</v>
      </c>
      <c r="V305" s="10">
        <f>+'A) Base RI'!O305</f>
        <v>-22567.3</v>
      </c>
      <c r="W305" s="10">
        <f>+'A) Base RI'!P305</f>
        <v>12822.7</v>
      </c>
      <c r="X305" s="10">
        <f>+'A) Base RI'!R305</f>
        <v>14703.3</v>
      </c>
      <c r="Y305" s="404">
        <f t="shared" si="29"/>
        <v>4958.7000000000007</v>
      </c>
      <c r="Z305" s="10">
        <f>+'A) Base RI'!N305</f>
        <v>5029.1499999999996</v>
      </c>
      <c r="AA305" s="10">
        <f>'A) Base RI'!AO305</f>
        <v>204</v>
      </c>
    </row>
    <row r="306" spans="1:27" x14ac:dyDescent="0.25">
      <c r="A306" s="8">
        <f>'A) Base RI'!A306</f>
        <v>5929</v>
      </c>
      <c r="B306" s="32" t="str">
        <f>'A) Base RI'!B306</f>
        <v>Suchy</v>
      </c>
      <c r="C306" s="10">
        <f>'A) Base RI'!C306+'A) Base RI'!D306</f>
        <v>1205932.8</v>
      </c>
      <c r="D306" s="10">
        <f>'A) Base RI'!AP306</f>
        <v>-21227.27</v>
      </c>
      <c r="E306" s="398">
        <f>'A) Base RI'!AQ306</f>
        <v>0</v>
      </c>
      <c r="F306" s="398">
        <f>'A) Base RI'!AR306</f>
        <v>-14.49</v>
      </c>
      <c r="G306" s="404">
        <f t="shared" si="24"/>
        <v>1184691.04</v>
      </c>
      <c r="H306" s="10">
        <f>+'A) Base RI'!E306</f>
        <v>0</v>
      </c>
      <c r="I306" s="10">
        <f>+'A) Base RI'!F306</f>
        <v>0</v>
      </c>
      <c r="J306" s="10">
        <f>+'A) Base RI'!G306+'A) Base RI'!H306+'A) Base RI'!X306</f>
        <v>34014.69</v>
      </c>
      <c r="K306" s="10">
        <f>+'A) Base RI'!I306</f>
        <v>41100.15</v>
      </c>
      <c r="L306" s="10">
        <f>+'A) Base RI'!J306</f>
        <v>14288.28</v>
      </c>
      <c r="M306" s="10">
        <f>+'A) Base RI'!K306</f>
        <v>0</v>
      </c>
      <c r="N306" s="10">
        <f>+'A) Base RI'!Q306</f>
        <v>0</v>
      </c>
      <c r="O306" s="10">
        <f t="shared" si="25"/>
        <v>113824.0625</v>
      </c>
      <c r="P306" s="10">
        <f>+'A) Base RI'!L306</f>
        <v>91059.25</v>
      </c>
      <c r="Q306" s="412">
        <f>'A) Base RI'!AS306</f>
        <v>0.8</v>
      </c>
      <c r="R306" s="404">
        <f t="shared" si="26"/>
        <v>1387918.2224999999</v>
      </c>
      <c r="S306" s="457">
        <f>+'A) Base RI'!AN306</f>
        <v>70</v>
      </c>
      <c r="T306" s="404">
        <f t="shared" si="27"/>
        <v>1274094.1599999999</v>
      </c>
      <c r="U306" s="404">
        <f t="shared" si="28"/>
        <v>19827.403178571429</v>
      </c>
      <c r="V306" s="10">
        <f>+'A) Base RI'!O306</f>
        <v>0</v>
      </c>
      <c r="W306" s="10">
        <f>+'A) Base RI'!P306</f>
        <v>54620.5</v>
      </c>
      <c r="X306" s="10">
        <f>+'A) Base RI'!R306</f>
        <v>35210</v>
      </c>
      <c r="Y306" s="404">
        <f t="shared" si="29"/>
        <v>89830.5</v>
      </c>
      <c r="Z306" s="10">
        <f>+'A) Base RI'!N306</f>
        <v>10330.75</v>
      </c>
      <c r="AA306" s="10">
        <f>'A) Base RI'!AO306</f>
        <v>656</v>
      </c>
    </row>
    <row r="307" spans="1:27" x14ac:dyDescent="0.25">
      <c r="A307" s="8">
        <f>'A) Base RI'!A307</f>
        <v>5930</v>
      </c>
      <c r="B307" s="32" t="str">
        <f>'A) Base RI'!B307</f>
        <v>Suscévaz</v>
      </c>
      <c r="C307" s="10">
        <f>'A) Base RI'!C307+'A) Base RI'!D307</f>
        <v>383054.68</v>
      </c>
      <c r="D307" s="10">
        <f>'A) Base RI'!AP307</f>
        <v>-13416.71</v>
      </c>
      <c r="E307" s="398">
        <f>'A) Base RI'!AQ307</f>
        <v>0</v>
      </c>
      <c r="F307" s="398">
        <f>'A) Base RI'!AR307</f>
        <v>0</v>
      </c>
      <c r="G307" s="404">
        <f t="shared" si="24"/>
        <v>369637.97</v>
      </c>
      <c r="H307" s="10">
        <f>+'A) Base RI'!E307</f>
        <v>0</v>
      </c>
      <c r="I307" s="10">
        <f>+'A) Base RI'!F307</f>
        <v>1180</v>
      </c>
      <c r="J307" s="10">
        <f>+'A) Base RI'!G307+'A) Base RI'!H307+'A) Base RI'!X307</f>
        <v>5117.93</v>
      </c>
      <c r="K307" s="10">
        <f>+'A) Base RI'!I307</f>
        <v>0</v>
      </c>
      <c r="L307" s="10">
        <f>+'A) Base RI'!J307</f>
        <v>9254.5</v>
      </c>
      <c r="M307" s="10">
        <f>+'A) Base RI'!K307</f>
        <v>228.6</v>
      </c>
      <c r="N307" s="10">
        <f>+'A) Base RI'!Q307</f>
        <v>0</v>
      </c>
      <c r="O307" s="10">
        <f t="shared" si="25"/>
        <v>29960.15</v>
      </c>
      <c r="P307" s="10">
        <f>+'A) Base RI'!L307</f>
        <v>29960.15</v>
      </c>
      <c r="Q307" s="412">
        <f>'A) Base RI'!AS307</f>
        <v>1</v>
      </c>
      <c r="R307" s="404">
        <f t="shared" si="26"/>
        <v>415379.14999999997</v>
      </c>
      <c r="S307" s="457">
        <f>+'A) Base RI'!AN307</f>
        <v>72</v>
      </c>
      <c r="T307" s="404">
        <f t="shared" si="27"/>
        <v>384010.39999999997</v>
      </c>
      <c r="U307" s="404">
        <f t="shared" si="28"/>
        <v>5769.1548611111102</v>
      </c>
      <c r="V307" s="10">
        <f>+'A) Base RI'!O307</f>
        <v>4.9000000000000004</v>
      </c>
      <c r="W307" s="10">
        <f>+'A) Base RI'!P307</f>
        <v>2762.35</v>
      </c>
      <c r="X307" s="10">
        <f>+'A) Base RI'!R307</f>
        <v>0</v>
      </c>
      <c r="Y307" s="404">
        <f t="shared" si="29"/>
        <v>2767.25</v>
      </c>
      <c r="Z307" s="10">
        <f>+'A) Base RI'!N307</f>
        <v>3787.4</v>
      </c>
      <c r="AA307" s="10">
        <f>'A) Base RI'!AO307</f>
        <v>204</v>
      </c>
    </row>
    <row r="308" spans="1:27" x14ac:dyDescent="0.25">
      <c r="A308" s="8">
        <f>'A) Base RI'!A308</f>
        <v>5931</v>
      </c>
      <c r="B308" s="32" t="str">
        <f>'A) Base RI'!B308</f>
        <v>Treycovagnes</v>
      </c>
      <c r="C308" s="10">
        <f>'A) Base RI'!C308+'A) Base RI'!D308</f>
        <v>1034744.5299999999</v>
      </c>
      <c r="D308" s="10">
        <f>'A) Base RI'!AP308</f>
        <v>-4549.88</v>
      </c>
      <c r="E308" s="398">
        <f>'A) Base RI'!AQ308</f>
        <v>0</v>
      </c>
      <c r="F308" s="398">
        <f>'A) Base RI'!AR308</f>
        <v>-53.69</v>
      </c>
      <c r="G308" s="404">
        <f t="shared" si="24"/>
        <v>1030140.96</v>
      </c>
      <c r="H308" s="10">
        <f>+'A) Base RI'!E308</f>
        <v>0</v>
      </c>
      <c r="I308" s="10">
        <f>+'A) Base RI'!F308</f>
        <v>0</v>
      </c>
      <c r="J308" s="10">
        <f>+'A) Base RI'!G308+'A) Base RI'!H308+'A) Base RI'!X308</f>
        <v>19811.690000000002</v>
      </c>
      <c r="K308" s="10">
        <f>+'A) Base RI'!I308</f>
        <v>0</v>
      </c>
      <c r="L308" s="10">
        <f>+'A) Base RI'!J308</f>
        <v>19888.89</v>
      </c>
      <c r="M308" s="10">
        <f>+'A) Base RI'!K308</f>
        <v>644.4</v>
      </c>
      <c r="N308" s="10">
        <f>+'A) Base RI'!Q308</f>
        <v>4418.49</v>
      </c>
      <c r="O308" s="10">
        <f t="shared" si="25"/>
        <v>78865.8</v>
      </c>
      <c r="P308" s="10">
        <f>+'A) Base RI'!L308</f>
        <v>78865.8</v>
      </c>
      <c r="Q308" s="412">
        <f>'A) Base RI'!AS308</f>
        <v>1</v>
      </c>
      <c r="R308" s="404">
        <f t="shared" si="26"/>
        <v>1153770.2299999997</v>
      </c>
      <c r="S308" s="457">
        <f>+'A) Base RI'!AN308</f>
        <v>75</v>
      </c>
      <c r="T308" s="404">
        <f t="shared" si="27"/>
        <v>1074260.0299999998</v>
      </c>
      <c r="U308" s="404">
        <f t="shared" si="28"/>
        <v>15383.603066666663</v>
      </c>
      <c r="V308" s="10">
        <f>+'A) Base RI'!O308</f>
        <v>0</v>
      </c>
      <c r="W308" s="10">
        <f>+'A) Base RI'!P308</f>
        <v>38500</v>
      </c>
      <c r="X308" s="10">
        <f>+'A) Base RI'!R308</f>
        <v>42587.45</v>
      </c>
      <c r="Y308" s="404">
        <f t="shared" si="29"/>
        <v>81087.45</v>
      </c>
      <c r="Z308" s="10">
        <f>+'A) Base RI'!N308</f>
        <v>24166.85</v>
      </c>
      <c r="AA308" s="10">
        <f>'A) Base RI'!AO308</f>
        <v>485</v>
      </c>
    </row>
    <row r="309" spans="1:27" x14ac:dyDescent="0.25">
      <c r="A309" s="8">
        <f>'A) Base RI'!A309</f>
        <v>5932</v>
      </c>
      <c r="B309" s="32" t="str">
        <f>'A) Base RI'!B309</f>
        <v>Ursins</v>
      </c>
      <c r="C309" s="10">
        <f>'A) Base RI'!C309+'A) Base RI'!D309</f>
        <v>438594.82</v>
      </c>
      <c r="D309" s="10">
        <f>'A) Base RI'!AP309</f>
        <v>-16511.14</v>
      </c>
      <c r="E309" s="398">
        <f>'A) Base RI'!AQ309</f>
        <v>0</v>
      </c>
      <c r="F309" s="398">
        <f>'A) Base RI'!AR309</f>
        <v>0</v>
      </c>
      <c r="G309" s="404">
        <f t="shared" si="24"/>
        <v>422083.68</v>
      </c>
      <c r="H309" s="10">
        <f>+'A) Base RI'!E309</f>
        <v>0</v>
      </c>
      <c r="I309" s="10">
        <f>+'A) Base RI'!F309</f>
        <v>1380</v>
      </c>
      <c r="J309" s="10">
        <f>+'A) Base RI'!G309+'A) Base RI'!H309+'A) Base RI'!X309</f>
        <v>494.12</v>
      </c>
      <c r="K309" s="10">
        <f>+'A) Base RI'!I309</f>
        <v>38299.85</v>
      </c>
      <c r="L309" s="10">
        <f>+'A) Base RI'!J309</f>
        <v>907.44</v>
      </c>
      <c r="M309" s="10">
        <f>+'A) Base RI'!K309</f>
        <v>819.5</v>
      </c>
      <c r="N309" s="10">
        <f>+'A) Base RI'!Q309</f>
        <v>14393.89</v>
      </c>
      <c r="O309" s="10">
        <f t="shared" si="25"/>
        <v>33076.699999999997</v>
      </c>
      <c r="P309" s="10">
        <f>+'A) Base RI'!L309</f>
        <v>33076.699999999997</v>
      </c>
      <c r="Q309" s="412">
        <f>'A) Base RI'!AS309</f>
        <v>1</v>
      </c>
      <c r="R309" s="404">
        <f t="shared" si="26"/>
        <v>511455.18</v>
      </c>
      <c r="S309" s="457">
        <f>+'A) Base RI'!AN309</f>
        <v>75</v>
      </c>
      <c r="T309" s="404">
        <f t="shared" si="27"/>
        <v>476178.98</v>
      </c>
      <c r="U309" s="404">
        <f t="shared" si="28"/>
        <v>6819.4023999999999</v>
      </c>
      <c r="V309" s="10">
        <f>+'A) Base RI'!O309</f>
        <v>0</v>
      </c>
      <c r="W309" s="10">
        <f>+'A) Base RI'!P309</f>
        <v>0</v>
      </c>
      <c r="X309" s="10">
        <f>+'A) Base RI'!R309</f>
        <v>0</v>
      </c>
      <c r="Y309" s="404">
        <f t="shared" si="29"/>
        <v>0</v>
      </c>
      <c r="Z309" s="10">
        <f>+'A) Base RI'!N309</f>
        <v>0</v>
      </c>
      <c r="AA309" s="10">
        <f>'A) Base RI'!AO309</f>
        <v>238</v>
      </c>
    </row>
    <row r="310" spans="1:27" x14ac:dyDescent="0.25">
      <c r="A310" s="8">
        <f>'A) Base RI'!A310</f>
        <v>5933</v>
      </c>
      <c r="B310" s="32" t="str">
        <f>'A) Base RI'!B310</f>
        <v>Valeyres-sous-Montagny</v>
      </c>
      <c r="C310" s="10">
        <f>'A) Base RI'!C310+'A) Base RI'!D310</f>
        <v>1403057.66</v>
      </c>
      <c r="D310" s="10">
        <f>'A) Base RI'!AP310</f>
        <v>-6607.18</v>
      </c>
      <c r="E310" s="398">
        <f>'A) Base RI'!AQ310</f>
        <v>0</v>
      </c>
      <c r="F310" s="398">
        <f>'A) Base RI'!AR310</f>
        <v>-4324.91</v>
      </c>
      <c r="G310" s="404">
        <f t="shared" si="24"/>
        <v>1392125.57</v>
      </c>
      <c r="H310" s="10">
        <f>+'A) Base RI'!E310</f>
        <v>0</v>
      </c>
      <c r="I310" s="10">
        <f>+'A) Base RI'!F310</f>
        <v>0</v>
      </c>
      <c r="J310" s="10">
        <f>+'A) Base RI'!G310+'A) Base RI'!H310+'A) Base RI'!X310</f>
        <v>32440.27</v>
      </c>
      <c r="K310" s="10">
        <f>+'A) Base RI'!I310</f>
        <v>0</v>
      </c>
      <c r="L310" s="10">
        <f>+'A) Base RI'!J310</f>
        <v>15517.38</v>
      </c>
      <c r="M310" s="10">
        <f>+'A) Base RI'!K310</f>
        <v>2972.55</v>
      </c>
      <c r="N310" s="10">
        <f>+'A) Base RI'!Q310</f>
        <v>28810.02</v>
      </c>
      <c r="O310" s="10">
        <f t="shared" si="25"/>
        <v>119486.85</v>
      </c>
      <c r="P310" s="10">
        <f>+'A) Base RI'!L310</f>
        <v>119486.85</v>
      </c>
      <c r="Q310" s="412">
        <f>'A) Base RI'!AS310</f>
        <v>1</v>
      </c>
      <c r="R310" s="404">
        <f t="shared" si="26"/>
        <v>1591352.6400000001</v>
      </c>
      <c r="S310" s="457">
        <f>+'A) Base RI'!AN310</f>
        <v>70.5</v>
      </c>
      <c r="T310" s="404">
        <f t="shared" si="27"/>
        <v>1468893.24</v>
      </c>
      <c r="U310" s="404">
        <f t="shared" si="28"/>
        <v>22572.377872340428</v>
      </c>
      <c r="V310" s="10">
        <f>+'A) Base RI'!O310</f>
        <v>10361.5</v>
      </c>
      <c r="W310" s="10">
        <f>+'A) Base RI'!P310</f>
        <v>32743.5</v>
      </c>
      <c r="X310" s="10">
        <f>+'A) Base RI'!R310</f>
        <v>19802.150000000001</v>
      </c>
      <c r="Y310" s="404">
        <f t="shared" si="29"/>
        <v>62907.15</v>
      </c>
      <c r="Z310" s="10">
        <f>+'A) Base RI'!N310</f>
        <v>17913.95</v>
      </c>
      <c r="AA310" s="10">
        <f>'A) Base RI'!AO310</f>
        <v>714</v>
      </c>
    </row>
    <row r="311" spans="1:27" x14ac:dyDescent="0.25">
      <c r="A311" s="8">
        <f>'A) Base RI'!A311</f>
        <v>5934</v>
      </c>
      <c r="B311" s="32" t="str">
        <f>'A) Base RI'!B311</f>
        <v>Valeyres-sous-Ursins</v>
      </c>
      <c r="C311" s="10">
        <f>'A) Base RI'!C311+'A) Base RI'!D311</f>
        <v>556322.43999999994</v>
      </c>
      <c r="D311" s="10">
        <f>'A) Base RI'!AP311</f>
        <v>-524.38</v>
      </c>
      <c r="E311" s="398">
        <f>'A) Base RI'!AQ311</f>
        <v>0</v>
      </c>
      <c r="F311" s="398">
        <f>'A) Base RI'!AR311</f>
        <v>0</v>
      </c>
      <c r="G311" s="404">
        <f t="shared" si="24"/>
        <v>555798.05999999994</v>
      </c>
      <c r="H311" s="10">
        <f>+'A) Base RI'!E311</f>
        <v>0</v>
      </c>
      <c r="I311" s="10">
        <f>+'A) Base RI'!F311</f>
        <v>1420</v>
      </c>
      <c r="J311" s="10">
        <f>+'A) Base RI'!G311+'A) Base RI'!H311+'A) Base RI'!X311</f>
        <v>-191.29</v>
      </c>
      <c r="K311" s="10">
        <f>+'A) Base RI'!I311</f>
        <v>0</v>
      </c>
      <c r="L311" s="10">
        <f>+'A) Base RI'!J311</f>
        <v>13513.16</v>
      </c>
      <c r="M311" s="10">
        <f>+'A) Base RI'!K311</f>
        <v>55.5</v>
      </c>
      <c r="N311" s="10">
        <f>+'A) Base RI'!Q311</f>
        <v>0</v>
      </c>
      <c r="O311" s="10">
        <f t="shared" si="25"/>
        <v>28017.5</v>
      </c>
      <c r="P311" s="10">
        <f>+'A) Base RI'!L311</f>
        <v>28017.5</v>
      </c>
      <c r="Q311" s="412">
        <f>'A) Base RI'!AS311</f>
        <v>1</v>
      </c>
      <c r="R311" s="404">
        <f t="shared" si="26"/>
        <v>598612.92999999993</v>
      </c>
      <c r="S311" s="457">
        <f>+'A) Base RI'!AN311</f>
        <v>79</v>
      </c>
      <c r="T311" s="404">
        <f t="shared" si="27"/>
        <v>569119.92999999993</v>
      </c>
      <c r="U311" s="404">
        <f t="shared" si="28"/>
        <v>7577.3788607594925</v>
      </c>
      <c r="V311" s="10">
        <f>+'A) Base RI'!O311</f>
        <v>0</v>
      </c>
      <c r="W311" s="10">
        <f>+'A) Base RI'!P311</f>
        <v>17975.900000000001</v>
      </c>
      <c r="X311" s="10">
        <f>+'A) Base RI'!R311</f>
        <v>14383.95</v>
      </c>
      <c r="Y311" s="404">
        <f t="shared" si="29"/>
        <v>32359.850000000002</v>
      </c>
      <c r="Z311" s="10">
        <f>+'A) Base RI'!N311</f>
        <v>5644.55</v>
      </c>
      <c r="AA311" s="10">
        <f>'A) Base RI'!AO311</f>
        <v>241</v>
      </c>
    </row>
    <row r="312" spans="1:27" x14ac:dyDescent="0.25">
      <c r="A312" s="8">
        <f>'A) Base RI'!A312</f>
        <v>5935</v>
      </c>
      <c r="B312" s="32" t="str">
        <f>'A) Base RI'!B312</f>
        <v>Villars-Epeney</v>
      </c>
      <c r="C312" s="10">
        <f>'A) Base RI'!C312+'A) Base RI'!D312</f>
        <v>214778.16</v>
      </c>
      <c r="D312" s="10">
        <f>'A) Base RI'!AP312</f>
        <v>-28.68</v>
      </c>
      <c r="E312" s="398">
        <f>'A) Base RI'!AQ312</f>
        <v>0</v>
      </c>
      <c r="F312" s="398">
        <f>'A) Base RI'!AR312</f>
        <v>-889.13</v>
      </c>
      <c r="G312" s="404">
        <f t="shared" si="24"/>
        <v>213860.35</v>
      </c>
      <c r="H312" s="10">
        <f>+'A) Base RI'!E312</f>
        <v>0</v>
      </c>
      <c r="I312" s="10">
        <f>+'A) Base RI'!F312</f>
        <v>0</v>
      </c>
      <c r="J312" s="10">
        <f>+'A) Base RI'!G312+'A) Base RI'!H312+'A) Base RI'!X312</f>
        <v>487.9</v>
      </c>
      <c r="K312" s="10">
        <f>+'A) Base RI'!I312</f>
        <v>0</v>
      </c>
      <c r="L312" s="10">
        <f>+'A) Base RI'!J312</f>
        <v>1705.98</v>
      </c>
      <c r="M312" s="10">
        <f>+'A) Base RI'!K312</f>
        <v>0</v>
      </c>
      <c r="N312" s="10">
        <f>+'A) Base RI'!Q312</f>
        <v>0</v>
      </c>
      <c r="O312" s="10">
        <f t="shared" si="25"/>
        <v>19639</v>
      </c>
      <c r="P312" s="10">
        <f>+'A) Base RI'!L312</f>
        <v>19639</v>
      </c>
      <c r="Q312" s="412">
        <f>'A) Base RI'!AS312</f>
        <v>1</v>
      </c>
      <c r="R312" s="404">
        <f t="shared" si="26"/>
        <v>235693.23</v>
      </c>
      <c r="S312" s="457">
        <f>+'A) Base RI'!AN312</f>
        <v>60</v>
      </c>
      <c r="T312" s="404">
        <f t="shared" si="27"/>
        <v>216054.23</v>
      </c>
      <c r="U312" s="404">
        <f t="shared" si="28"/>
        <v>3928.2205000000004</v>
      </c>
      <c r="V312" s="10">
        <f>+'A) Base RI'!O312</f>
        <v>0</v>
      </c>
      <c r="W312" s="10">
        <f>+'A) Base RI'!P312</f>
        <v>17844</v>
      </c>
      <c r="X312" s="10">
        <f>+'A) Base RI'!R312</f>
        <v>10999.25</v>
      </c>
      <c r="Y312" s="404">
        <f t="shared" si="29"/>
        <v>28843.25</v>
      </c>
      <c r="Z312" s="10">
        <f>+'A) Base RI'!N312</f>
        <v>0</v>
      </c>
      <c r="AA312" s="10">
        <f>'A) Base RI'!AO312</f>
        <v>101</v>
      </c>
    </row>
    <row r="313" spans="1:27" x14ac:dyDescent="0.25">
      <c r="A313" s="8">
        <f>'A) Base RI'!A313</f>
        <v>5937</v>
      </c>
      <c r="B313" s="32" t="str">
        <f>'A) Base RI'!B313</f>
        <v>Vugelles-La Mothe</v>
      </c>
      <c r="C313" s="10">
        <f>'A) Base RI'!C313+'A) Base RI'!D313</f>
        <v>203344.61000000002</v>
      </c>
      <c r="D313" s="10">
        <f>'A) Base RI'!AP313</f>
        <v>-3791.05</v>
      </c>
      <c r="E313" s="398">
        <f>'A) Base RI'!AQ313</f>
        <v>0</v>
      </c>
      <c r="F313" s="398">
        <f>'A) Base RI'!AR313</f>
        <v>-36.61</v>
      </c>
      <c r="G313" s="404">
        <f t="shared" si="24"/>
        <v>199516.95000000004</v>
      </c>
      <c r="H313" s="10">
        <f>+'A) Base RI'!E313</f>
        <v>0</v>
      </c>
      <c r="I313" s="10">
        <f>+'A) Base RI'!F313</f>
        <v>0</v>
      </c>
      <c r="J313" s="10">
        <f>+'A) Base RI'!G313+'A) Base RI'!H313+'A) Base RI'!X313</f>
        <v>6305.3</v>
      </c>
      <c r="K313" s="10">
        <f>+'A) Base RI'!I313</f>
        <v>0</v>
      </c>
      <c r="L313" s="10">
        <f>+'A) Base RI'!J313</f>
        <v>1313.24</v>
      </c>
      <c r="M313" s="10">
        <f>+'A) Base RI'!K313</f>
        <v>0</v>
      </c>
      <c r="N313" s="10">
        <f>+'A) Base RI'!Q313</f>
        <v>0</v>
      </c>
      <c r="O313" s="10">
        <f t="shared" si="25"/>
        <v>16003.214285714286</v>
      </c>
      <c r="P313" s="10">
        <f>+'A) Base RI'!L313</f>
        <v>11202.25</v>
      </c>
      <c r="Q313" s="412">
        <f>'A) Base RI'!AS313</f>
        <v>0.7</v>
      </c>
      <c r="R313" s="404">
        <f t="shared" si="26"/>
        <v>223138.70428571431</v>
      </c>
      <c r="S313" s="457">
        <f>+'A) Base RI'!AN313</f>
        <v>70</v>
      </c>
      <c r="T313" s="404">
        <f t="shared" si="27"/>
        <v>207135.49000000002</v>
      </c>
      <c r="U313" s="404">
        <f t="shared" si="28"/>
        <v>3187.6957755102044</v>
      </c>
      <c r="V313" s="10">
        <f>+'A) Base RI'!O313</f>
        <v>0</v>
      </c>
      <c r="W313" s="10">
        <f>+'A) Base RI'!P313</f>
        <v>5446.25</v>
      </c>
      <c r="X313" s="10">
        <f>+'A) Base RI'!R313</f>
        <v>10627.5</v>
      </c>
      <c r="Y313" s="404">
        <f t="shared" si="29"/>
        <v>16073.75</v>
      </c>
      <c r="Z313" s="10">
        <f>+'A) Base RI'!N313</f>
        <v>0</v>
      </c>
      <c r="AA313" s="10">
        <f>'A) Base RI'!AO313</f>
        <v>138</v>
      </c>
    </row>
    <row r="314" spans="1:27" x14ac:dyDescent="0.25">
      <c r="A314" s="8">
        <f>'A) Base RI'!A314</f>
        <v>5938</v>
      </c>
      <c r="B314" s="32" t="str">
        <f>'A) Base RI'!B314</f>
        <v>Yverdon-les-Bains</v>
      </c>
      <c r="C314" s="10">
        <f>'A) Base RI'!C314+'A) Base RI'!D314</f>
        <v>47896906.699999996</v>
      </c>
      <c r="D314" s="10">
        <f>'A) Base RI'!AP314</f>
        <v>-1373361.28</v>
      </c>
      <c r="E314" s="398">
        <f>'A) Base RI'!AQ314</f>
        <v>0</v>
      </c>
      <c r="F314" s="398">
        <f>'A) Base RI'!AR314</f>
        <v>-43494.7</v>
      </c>
      <c r="G314" s="404">
        <f t="shared" si="24"/>
        <v>46480050.719999991</v>
      </c>
      <c r="H314" s="10">
        <f>+'A) Base RI'!E314</f>
        <v>0</v>
      </c>
      <c r="I314" s="10">
        <f>+'A) Base RI'!F314</f>
        <v>0</v>
      </c>
      <c r="J314" s="10">
        <f>+'A) Base RI'!G314+'A) Base RI'!H314+'A) Base RI'!X314</f>
        <v>6385081.6600000001</v>
      </c>
      <c r="K314" s="10">
        <f>+'A) Base RI'!I314</f>
        <v>36575.35</v>
      </c>
      <c r="L314" s="10">
        <f>+'A) Base RI'!J314</f>
        <v>1609583.91</v>
      </c>
      <c r="M314" s="10">
        <f>+'A) Base RI'!K314</f>
        <v>590078.35</v>
      </c>
      <c r="N314" s="10">
        <f>+'A) Base RI'!Q314</f>
        <v>254442.56</v>
      </c>
      <c r="O314" s="10">
        <f t="shared" si="25"/>
        <v>4385542.5999999996</v>
      </c>
      <c r="P314" s="10">
        <f>+'A) Base RI'!L314</f>
        <v>4385542.5999999996</v>
      </c>
      <c r="Q314" s="412">
        <f>'A) Base RI'!AS314</f>
        <v>1</v>
      </c>
      <c r="R314" s="404">
        <f t="shared" si="26"/>
        <v>59741355.149999999</v>
      </c>
      <c r="S314" s="457">
        <f>+'A) Base RI'!AN314</f>
        <v>75</v>
      </c>
      <c r="T314" s="404">
        <f t="shared" si="27"/>
        <v>54765734.199999996</v>
      </c>
      <c r="U314" s="404">
        <f t="shared" si="28"/>
        <v>796551.402</v>
      </c>
      <c r="V314" s="10">
        <f>+'A) Base RI'!O314</f>
        <v>1060319.1000000001</v>
      </c>
      <c r="W314" s="10">
        <f>+'A) Base RI'!P314</f>
        <v>1647037.75</v>
      </c>
      <c r="X314" s="10">
        <f>+'A) Base RI'!R314</f>
        <v>1227824.3999999999</v>
      </c>
      <c r="Y314" s="404">
        <f t="shared" si="29"/>
        <v>3935181.25</v>
      </c>
      <c r="Z314" s="10">
        <f>+'A) Base RI'!N314</f>
        <v>4750911.95</v>
      </c>
      <c r="AA314" s="10">
        <f>'A) Base RI'!AO314</f>
        <v>29981</v>
      </c>
    </row>
    <row r="315" spans="1:27" x14ac:dyDescent="0.25">
      <c r="A315" s="8">
        <f>'A) Base RI'!A315</f>
        <v>5939</v>
      </c>
      <c r="B315" s="32" t="str">
        <f>'A) Base RI'!B315</f>
        <v>Yvonand</v>
      </c>
      <c r="C315" s="10">
        <f>'A) Base RI'!C315+'A) Base RI'!D315</f>
        <v>5813630.4800000004</v>
      </c>
      <c r="D315" s="10">
        <f>'A) Base RI'!AP315</f>
        <v>-91229.45</v>
      </c>
      <c r="E315" s="398">
        <f>'A) Base RI'!AQ315</f>
        <v>0</v>
      </c>
      <c r="F315" s="398">
        <f>'A) Base RI'!AR315</f>
        <v>-910.88</v>
      </c>
      <c r="G315" s="404">
        <f t="shared" si="24"/>
        <v>5721490.1500000004</v>
      </c>
      <c r="H315" s="10">
        <f>+'A) Base RI'!E315</f>
        <v>0</v>
      </c>
      <c r="I315" s="10">
        <f>+'A) Base RI'!F315</f>
        <v>0</v>
      </c>
      <c r="J315" s="10">
        <f>+'A) Base RI'!G315+'A) Base RI'!H315+'A) Base RI'!X315</f>
        <v>225138.38999999998</v>
      </c>
      <c r="K315" s="10">
        <f>+'A) Base RI'!I315</f>
        <v>0</v>
      </c>
      <c r="L315" s="10">
        <f>+'A) Base RI'!J315</f>
        <v>104381.6</v>
      </c>
      <c r="M315" s="10">
        <f>+'A) Base RI'!K315</f>
        <v>-1086.4000000000001</v>
      </c>
      <c r="N315" s="10">
        <f>+'A) Base RI'!Q315</f>
        <v>18715.98</v>
      </c>
      <c r="O315" s="10">
        <f t="shared" si="25"/>
        <v>572998.35</v>
      </c>
      <c r="P315" s="10">
        <f>+'A) Base RI'!L315</f>
        <v>572998.35</v>
      </c>
      <c r="Q315" s="412">
        <f>'A) Base RI'!AS315</f>
        <v>1</v>
      </c>
      <c r="R315" s="404">
        <f t="shared" si="26"/>
        <v>6641638.0699999994</v>
      </c>
      <c r="S315" s="457">
        <f>+'A) Base RI'!AN315</f>
        <v>71.5</v>
      </c>
      <c r="T315" s="404">
        <f t="shared" si="27"/>
        <v>6069726.1200000001</v>
      </c>
      <c r="U315" s="404">
        <f t="shared" si="28"/>
        <v>92890.042937062928</v>
      </c>
      <c r="V315" s="10">
        <f>+'A) Base RI'!O315</f>
        <v>124886.7</v>
      </c>
      <c r="W315" s="10">
        <f>+'A) Base RI'!P315</f>
        <v>388020.45</v>
      </c>
      <c r="X315" s="10">
        <f>+'A) Base RI'!R315</f>
        <v>104220.35</v>
      </c>
      <c r="Y315" s="404">
        <f t="shared" si="29"/>
        <v>617127.5</v>
      </c>
      <c r="Z315" s="10">
        <f>+'A) Base RI'!N315</f>
        <v>170935.7</v>
      </c>
      <c r="AA315" s="10">
        <f>'A) Base RI'!AO315</f>
        <v>3467</v>
      </c>
    </row>
    <row r="316" spans="1:27" x14ac:dyDescent="0.25">
      <c r="A316" s="7"/>
      <c r="B316" s="24">
        <f>COUNTA(B7:B315)</f>
        <v>309</v>
      </c>
      <c r="C316" s="11">
        <f t="shared" ref="C316:P316" si="30">SUM(C7:C315)</f>
        <v>1983076791.7499995</v>
      </c>
      <c r="D316" s="11">
        <f t="shared" si="30"/>
        <v>-34569034.339999989</v>
      </c>
      <c r="E316" s="11">
        <f t="shared" si="30"/>
        <v>-15616.9</v>
      </c>
      <c r="F316" s="11">
        <f t="shared" si="30"/>
        <v>-4437286.6099999994</v>
      </c>
      <c r="G316" s="38">
        <f t="shared" si="30"/>
        <v>1944054853.9000013</v>
      </c>
      <c r="H316" s="11">
        <f t="shared" si="30"/>
        <v>0</v>
      </c>
      <c r="I316" s="98">
        <f t="shared" si="30"/>
        <v>107141.9</v>
      </c>
      <c r="J316" s="11">
        <f t="shared" si="30"/>
        <v>371337929.24000013</v>
      </c>
      <c r="K316" s="11">
        <f t="shared" si="30"/>
        <v>42860556.82000003</v>
      </c>
      <c r="L316" s="11">
        <f t="shared" si="30"/>
        <v>75388874.820000008</v>
      </c>
      <c r="M316" s="11">
        <f t="shared" si="30"/>
        <v>20340412.849999998</v>
      </c>
      <c r="N316" s="11">
        <f t="shared" si="30"/>
        <v>7090747.5699999984</v>
      </c>
      <c r="O316" s="11">
        <f t="shared" si="30"/>
        <v>181752615.21118116</v>
      </c>
      <c r="P316" s="11">
        <f t="shared" si="30"/>
        <v>217099896.50000021</v>
      </c>
      <c r="Q316" s="35"/>
      <c r="R316" s="38">
        <f>SUM(R7:R315)</f>
        <v>2642933132.3111801</v>
      </c>
      <c r="S316" s="19">
        <f>R316/U316</f>
        <v>67.297342752694561</v>
      </c>
      <c r="T316" s="38">
        <f t="shared" ref="T316:Z316" si="31">SUM(T7:T315)</f>
        <v>2440732962.3499985</v>
      </c>
      <c r="U316" s="38">
        <f t="shared" si="31"/>
        <v>39272473.833379671</v>
      </c>
      <c r="V316" s="11">
        <f t="shared" si="31"/>
        <v>100667665.32000001</v>
      </c>
      <c r="W316" s="11">
        <f t="shared" si="31"/>
        <v>99028053.100000054</v>
      </c>
      <c r="X316" s="11">
        <f t="shared" si="31"/>
        <v>76510288.049999982</v>
      </c>
      <c r="Y316" s="38">
        <f t="shared" si="31"/>
        <v>276206006.46999997</v>
      </c>
      <c r="Z316" s="11">
        <f t="shared" si="31"/>
        <v>80161278.050000027</v>
      </c>
      <c r="AA316" s="11">
        <f>SUM(AA7:AA315)</f>
        <v>815300</v>
      </c>
    </row>
    <row r="317" spans="1:27" x14ac:dyDescent="0.25">
      <c r="C317" s="6"/>
      <c r="E317" s="6"/>
      <c r="G317" s="6"/>
      <c r="I317" s="6"/>
      <c r="J317" s="6"/>
      <c r="K317" s="6"/>
      <c r="L317" s="6"/>
      <c r="M317" s="6"/>
      <c r="N317" s="6"/>
      <c r="O317" s="6"/>
      <c r="P317" s="6"/>
      <c r="Q317" s="6"/>
      <c r="R317" s="6"/>
      <c r="S317" s="370"/>
      <c r="T317" s="6"/>
      <c r="U317" s="6"/>
      <c r="V317" s="6"/>
      <c r="W317" s="6"/>
      <c r="X317" s="6"/>
      <c r="Y317" s="6"/>
      <c r="Z317" s="6"/>
    </row>
    <row r="318" spans="1:27" x14ac:dyDescent="0.25">
      <c r="C318" s="6"/>
      <c r="I318" s="6"/>
      <c r="J318" s="6"/>
      <c r="K318" s="6"/>
      <c r="L318" s="6"/>
      <c r="M318" s="6"/>
      <c r="N318" s="6"/>
      <c r="R318" s="6"/>
      <c r="T318" s="6"/>
      <c r="U318" s="6"/>
      <c r="V318" s="6"/>
      <c r="W318" s="6"/>
      <c r="X318" s="6"/>
      <c r="Y318" s="6"/>
      <c r="Z318" s="362"/>
    </row>
    <row r="319" spans="1:27" x14ac:dyDescent="0.25">
      <c r="C319" s="6"/>
      <c r="J319" s="6"/>
      <c r="R319" s="6"/>
      <c r="T319" s="6"/>
    </row>
    <row r="320" spans="1:27" x14ac:dyDescent="0.25">
      <c r="C320" s="6"/>
      <c r="G320" s="6"/>
      <c r="J320" s="36"/>
      <c r="R320" s="6"/>
      <c r="T320" s="6"/>
    </row>
    <row r="321" spans="1:18" x14ac:dyDescent="0.25">
      <c r="G321" s="6"/>
      <c r="R321" s="6"/>
    </row>
    <row r="322" spans="1:18" x14ac:dyDescent="0.25">
      <c r="G322" s="6"/>
      <c r="R322" s="6"/>
    </row>
    <row r="323" spans="1:18" x14ac:dyDescent="0.25">
      <c r="G323" s="6"/>
      <c r="R323" s="36"/>
    </row>
    <row r="324" spans="1:18" x14ac:dyDescent="0.25">
      <c r="G324" s="36"/>
      <c r="R324" s="421"/>
    </row>
    <row r="325" spans="1:18" s="6" customFormat="1" x14ac:dyDescent="0.25">
      <c r="A325" s="5"/>
      <c r="R325" s="423"/>
    </row>
    <row r="326" spans="1:18" x14ac:dyDescent="0.25">
      <c r="R326" s="6"/>
    </row>
  </sheetData>
  <mergeCells count="27">
    <mergeCell ref="Q4:Q6"/>
    <mergeCell ref="O4:O6"/>
    <mergeCell ref="V4:V5"/>
    <mergeCell ref="U4:U5"/>
    <mergeCell ref="Z4:Z5"/>
    <mergeCell ref="X4:X5"/>
    <mergeCell ref="P4:P5"/>
    <mergeCell ref="R4:R6"/>
    <mergeCell ref="AA4:AA5"/>
    <mergeCell ref="S4:S5"/>
    <mergeCell ref="W4:W5"/>
    <mergeCell ref="Y4:Y6"/>
    <mergeCell ref="T4:T6"/>
    <mergeCell ref="A4:A6"/>
    <mergeCell ref="B4:B6"/>
    <mergeCell ref="N4:N6"/>
    <mergeCell ref="C4:C5"/>
    <mergeCell ref="H4:H5"/>
    <mergeCell ref="I4:I5"/>
    <mergeCell ref="J4:J5"/>
    <mergeCell ref="G4:G5"/>
    <mergeCell ref="K4:K5"/>
    <mergeCell ref="L4:L5"/>
    <mergeCell ref="M4:M5"/>
    <mergeCell ref="D4:D6"/>
    <mergeCell ref="E4:E6"/>
    <mergeCell ref="F4:F6"/>
  </mergeCells>
  <phoneticPr fontId="0" type="noConversion"/>
  <pageMargins left="0" right="0" top="0" bottom="0" header="0.51181102362204722" footer="0.51181102362204722"/>
  <pageSetup paperSize="8" scale="70" orientation="landscape" horizontalDpi="4294967292" verticalDpi="4294967292"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6">
    <tabColor rgb="FF00B050"/>
  </sheetPr>
  <dimension ref="A1:J332"/>
  <sheetViews>
    <sheetView workbookViewId="0">
      <selection activeCell="B131" sqref="B131"/>
    </sheetView>
  </sheetViews>
  <sheetFormatPr baseColWidth="10" defaultColWidth="11" defaultRowHeight="15" x14ac:dyDescent="0.25"/>
  <cols>
    <col min="1" max="1" width="7.25" style="13" customWidth="1"/>
    <col min="2" max="2" width="17.375" style="13" bestFit="1" customWidth="1"/>
    <col min="3" max="3" width="18" style="6" customWidth="1"/>
    <col min="4" max="4" width="9.875" style="6" bestFit="1" customWidth="1"/>
    <col min="5" max="5" width="10.75" style="6" bestFit="1" customWidth="1"/>
    <col min="6" max="6" width="11.25" style="6" bestFit="1" customWidth="1"/>
    <col min="7" max="7" width="13" style="28" bestFit="1" customWidth="1"/>
    <col min="8" max="8" width="12.25" style="6" bestFit="1" customWidth="1"/>
    <col min="9" max="9" width="11" style="13"/>
    <col min="10" max="10" width="14.625" style="13" bestFit="1" customWidth="1"/>
    <col min="11" max="16384" width="11" style="13"/>
  </cols>
  <sheetData>
    <row r="1" spans="1:10" ht="21" x14ac:dyDescent="0.25">
      <c r="A1" s="51" t="s">
        <v>434</v>
      </c>
      <c r="B1" s="42"/>
      <c r="C1" s="44"/>
      <c r="D1" s="44"/>
      <c r="E1" s="44"/>
      <c r="F1" s="44"/>
      <c r="G1" s="52"/>
      <c r="H1" s="44"/>
    </row>
    <row r="3" spans="1:10" ht="60" x14ac:dyDescent="0.25">
      <c r="A3" s="572" t="s">
        <v>46</v>
      </c>
      <c r="B3" s="572" t="s">
        <v>96</v>
      </c>
      <c r="C3" s="293" t="s">
        <v>423</v>
      </c>
      <c r="D3" s="293" t="s">
        <v>194</v>
      </c>
      <c r="E3" s="569" t="s">
        <v>138</v>
      </c>
      <c r="F3" s="569" t="s">
        <v>369</v>
      </c>
      <c r="G3" s="576" t="s">
        <v>288</v>
      </c>
      <c r="H3" s="569" t="s">
        <v>420</v>
      </c>
      <c r="I3" s="569" t="s">
        <v>542</v>
      </c>
    </row>
    <row r="4" spans="1:10" x14ac:dyDescent="0.25">
      <c r="A4" s="574"/>
      <c r="B4" s="574"/>
      <c r="C4" s="432">
        <f>Paramètres!B11</f>
        <v>0.5</v>
      </c>
      <c r="D4" s="409">
        <f>Paramètres!B12</f>
        <v>0.3</v>
      </c>
      <c r="E4" s="571"/>
      <c r="F4" s="571"/>
      <c r="G4" s="577"/>
      <c r="H4" s="570"/>
      <c r="I4" s="570"/>
    </row>
    <row r="5" spans="1:10" x14ac:dyDescent="0.25">
      <c r="A5" s="49">
        <f>'A) Base RI'!A7</f>
        <v>5401</v>
      </c>
      <c r="B5" s="524" t="str">
        <f>'A) Base RI'!B7</f>
        <v>Aigle</v>
      </c>
      <c r="C5" s="54">
        <f>'B) D RI'!Y7</f>
        <v>1420346.8</v>
      </c>
      <c r="D5" s="14">
        <f>'B) D RI'!Z7</f>
        <v>1288148.8</v>
      </c>
      <c r="E5" s="10">
        <f>C5+D5</f>
        <v>2708495.6</v>
      </c>
      <c r="F5" s="14">
        <f>'B) D RI'!U7</f>
        <v>284723.80196969694</v>
      </c>
      <c r="G5" s="265">
        <f>E5/F5</f>
        <v>9.5127122539908502</v>
      </c>
      <c r="H5" s="55">
        <f>(C5*$C$4)+(D5*$D$4)</f>
        <v>1096618.04</v>
      </c>
      <c r="I5" s="412">
        <f>H5/F5</f>
        <v>3.8515151610567235</v>
      </c>
      <c r="J5" s="407"/>
    </row>
    <row r="6" spans="1:10" x14ac:dyDescent="0.25">
      <c r="A6" s="49">
        <f>'A) Base RI'!A8</f>
        <v>5402</v>
      </c>
      <c r="B6" s="525" t="str">
        <f>'A) Base RI'!B8</f>
        <v>Bex</v>
      </c>
      <c r="C6" s="10">
        <f>'B) D RI'!Y8</f>
        <v>1072931.55</v>
      </c>
      <c r="D6" s="442">
        <f>'B) D RI'!Z8</f>
        <v>273206.65000000002</v>
      </c>
      <c r="E6" s="10">
        <f t="shared" ref="E6:E69" si="0">C6+D6</f>
        <v>1346138.2000000002</v>
      </c>
      <c r="F6" s="442">
        <f>'B) D RI'!U8</f>
        <v>179259.20338028169</v>
      </c>
      <c r="G6" s="265">
        <f t="shared" ref="G6:G69" si="1">E6/F6</f>
        <v>7.509450977221479</v>
      </c>
      <c r="H6" s="55">
        <f t="shared" ref="H6:H69" si="2">(C6*$C$4)+(D6*$D$4)</f>
        <v>618427.77</v>
      </c>
      <c r="I6" s="412">
        <f t="shared" ref="I6:I69" si="3">H6/F6</f>
        <v>3.4499080568157114</v>
      </c>
    </row>
    <row r="7" spans="1:10" x14ac:dyDescent="0.25">
      <c r="A7" s="49">
        <f>'A) Base RI'!A9</f>
        <v>5403</v>
      </c>
      <c r="B7" s="525" t="str">
        <f>'A) Base RI'!B9</f>
        <v>Chessel</v>
      </c>
      <c r="C7" s="10">
        <f>'B) D RI'!Y9</f>
        <v>112397.05</v>
      </c>
      <c r="D7" s="442">
        <f>'B) D RI'!Z9</f>
        <v>8460.15</v>
      </c>
      <c r="E7" s="10">
        <f t="shared" si="0"/>
        <v>120857.2</v>
      </c>
      <c r="F7" s="442">
        <f>'B) D RI'!U9</f>
        <v>10797.740270270273</v>
      </c>
      <c r="G7" s="265">
        <f t="shared" si="1"/>
        <v>11.19282340331519</v>
      </c>
      <c r="H7" s="55">
        <f t="shared" si="2"/>
        <v>58736.57</v>
      </c>
      <c r="I7" s="412">
        <f t="shared" si="3"/>
        <v>5.4397094697416533</v>
      </c>
    </row>
    <row r="8" spans="1:10" x14ac:dyDescent="0.25">
      <c r="A8" s="49">
        <f>'A) Base RI'!A10</f>
        <v>5404</v>
      </c>
      <c r="B8" s="525" t="str">
        <f>'A) Base RI'!B10</f>
        <v>Corbeyrier</v>
      </c>
      <c r="C8" s="10">
        <f>'B) D RI'!Y10</f>
        <v>110863.3</v>
      </c>
      <c r="D8" s="442">
        <f>'B) D RI'!Z10</f>
        <v>16587</v>
      </c>
      <c r="E8" s="10">
        <f t="shared" si="0"/>
        <v>127450.3</v>
      </c>
      <c r="F8" s="442">
        <f>'B) D RI'!U10</f>
        <v>11267.87027027027</v>
      </c>
      <c r="G8" s="265">
        <f t="shared" si="1"/>
        <v>11.310948470561597</v>
      </c>
      <c r="H8" s="55">
        <f t="shared" si="2"/>
        <v>60407.75</v>
      </c>
      <c r="I8" s="412">
        <f t="shared" si="3"/>
        <v>5.3610618999921327</v>
      </c>
    </row>
    <row r="9" spans="1:10" x14ac:dyDescent="0.25">
      <c r="A9" s="49">
        <f>'A) Base RI'!A11</f>
        <v>5405</v>
      </c>
      <c r="B9" s="525" t="str">
        <f>'A) Base RI'!B11</f>
        <v>Gryon</v>
      </c>
      <c r="C9" s="10">
        <f>'B) D RI'!Y11</f>
        <v>845265.25</v>
      </c>
      <c r="D9" s="442">
        <f>'B) D RI'!Z11</f>
        <v>463.15</v>
      </c>
      <c r="E9" s="10">
        <f t="shared" si="0"/>
        <v>845728.4</v>
      </c>
      <c r="F9" s="442">
        <f>'B) D RI'!U11</f>
        <v>68185.794013605453</v>
      </c>
      <c r="G9" s="265">
        <f t="shared" si="1"/>
        <v>12.403293270021136</v>
      </c>
      <c r="H9" s="55">
        <f t="shared" si="2"/>
        <v>422771.57</v>
      </c>
      <c r="I9" s="412">
        <f t="shared" si="3"/>
        <v>6.2002881408940151</v>
      </c>
    </row>
    <row r="10" spans="1:10" x14ac:dyDescent="0.25">
      <c r="A10" s="49">
        <f>'A) Base RI'!A12</f>
        <v>5406</v>
      </c>
      <c r="B10" s="525" t="str">
        <f>'A) Base RI'!B12</f>
        <v>Lavey-Morcles</v>
      </c>
      <c r="C10" s="10">
        <f>'B) D RI'!Y12</f>
        <v>209337.75000000003</v>
      </c>
      <c r="D10" s="442">
        <f>'B) D RI'!Z12</f>
        <v>1891.95</v>
      </c>
      <c r="E10" s="10">
        <f t="shared" si="0"/>
        <v>211229.70000000004</v>
      </c>
      <c r="F10" s="442">
        <f>'B) D RI'!U12</f>
        <v>21842.545067240455</v>
      </c>
      <c r="G10" s="265">
        <f t="shared" si="1"/>
        <v>9.6705626267336076</v>
      </c>
      <c r="H10" s="55">
        <f t="shared" si="2"/>
        <v>105236.46000000002</v>
      </c>
      <c r="I10" s="412">
        <f t="shared" si="3"/>
        <v>4.8179577826685644</v>
      </c>
    </row>
    <row r="11" spans="1:10" x14ac:dyDescent="0.25">
      <c r="A11" s="49">
        <f>'A) Base RI'!A13</f>
        <v>5407</v>
      </c>
      <c r="B11" s="525" t="str">
        <f>'A) Base RI'!B13</f>
        <v>Leysin</v>
      </c>
      <c r="C11" s="10">
        <f>'B) D RI'!Y13</f>
        <v>749949.35</v>
      </c>
      <c r="D11" s="442">
        <f>'B) D RI'!Z13</f>
        <v>64008.35</v>
      </c>
      <c r="E11" s="10">
        <f t="shared" si="0"/>
        <v>813957.7</v>
      </c>
      <c r="F11" s="442">
        <f>'B) D RI'!U13</f>
        <v>90822.200982905983</v>
      </c>
      <c r="G11" s="265">
        <f t="shared" si="1"/>
        <v>8.9621005788353258</v>
      </c>
      <c r="H11" s="55">
        <f t="shared" si="2"/>
        <v>394177.18</v>
      </c>
      <c r="I11" s="412">
        <f t="shared" si="3"/>
        <v>4.3400971979768439</v>
      </c>
    </row>
    <row r="12" spans="1:10" x14ac:dyDescent="0.25">
      <c r="A12" s="49">
        <f>'A) Base RI'!A14</f>
        <v>5408</v>
      </c>
      <c r="B12" s="525" t="str">
        <f>'A) Base RI'!B14</f>
        <v>Noville</v>
      </c>
      <c r="C12" s="10">
        <f>'B) D RI'!Y14</f>
        <v>185055.9</v>
      </c>
      <c r="D12" s="442">
        <f>'B) D RI'!Z14</f>
        <v>204831.45</v>
      </c>
      <c r="E12" s="10">
        <f t="shared" si="0"/>
        <v>389887.35</v>
      </c>
      <c r="F12" s="442">
        <f>'B) D RI'!U14</f>
        <v>43840.045520169842</v>
      </c>
      <c r="G12" s="265">
        <f t="shared" si="1"/>
        <v>8.8934065960451925</v>
      </c>
      <c r="H12" s="55">
        <f t="shared" si="2"/>
        <v>153977.38500000001</v>
      </c>
      <c r="I12" s="412">
        <f t="shared" si="3"/>
        <v>3.5122542226640343</v>
      </c>
    </row>
    <row r="13" spans="1:10" x14ac:dyDescent="0.25">
      <c r="A13" s="49">
        <f>'A) Base RI'!A15</f>
        <v>5409</v>
      </c>
      <c r="B13" s="525" t="str">
        <f>'A) Base RI'!B15</f>
        <v>Ollon</v>
      </c>
      <c r="C13" s="10">
        <f>'B) D RI'!Y15</f>
        <v>3451500.8</v>
      </c>
      <c r="D13" s="442">
        <f>'B) D RI'!Z15</f>
        <v>75640.75</v>
      </c>
      <c r="E13" s="10">
        <f t="shared" si="0"/>
        <v>3527141.55</v>
      </c>
      <c r="F13" s="442">
        <f>'B) D RI'!U15</f>
        <v>389186.78990950214</v>
      </c>
      <c r="G13" s="265">
        <f t="shared" si="1"/>
        <v>9.0628501312189158</v>
      </c>
      <c r="H13" s="55">
        <f t="shared" si="2"/>
        <v>1748442.625</v>
      </c>
      <c r="I13" s="412">
        <f t="shared" si="3"/>
        <v>4.4925538850035647</v>
      </c>
    </row>
    <row r="14" spans="1:10" x14ac:dyDescent="0.25">
      <c r="A14" s="49">
        <f>'A) Base RI'!A16</f>
        <v>5410</v>
      </c>
      <c r="B14" s="525" t="str">
        <f>'A) Base RI'!B16</f>
        <v>Ormont-Dessous</v>
      </c>
      <c r="C14" s="10">
        <f>'B) D RI'!Y16</f>
        <v>435079.15</v>
      </c>
      <c r="D14" s="442">
        <f>'B) D RI'!Z16</f>
        <v>6858.4</v>
      </c>
      <c r="E14" s="10">
        <f t="shared" si="0"/>
        <v>441937.55000000005</v>
      </c>
      <c r="F14" s="442">
        <f>'B) D RI'!U16</f>
        <v>39522.545108225109</v>
      </c>
      <c r="G14" s="265">
        <f t="shared" si="1"/>
        <v>11.181910193026198</v>
      </c>
      <c r="H14" s="55">
        <f t="shared" si="2"/>
        <v>219597.095</v>
      </c>
      <c r="I14" s="412">
        <f t="shared" si="3"/>
        <v>5.5562488295901584</v>
      </c>
    </row>
    <row r="15" spans="1:10" x14ac:dyDescent="0.25">
      <c r="A15" s="49">
        <f>'A) Base RI'!A17</f>
        <v>5411</v>
      </c>
      <c r="B15" s="525" t="str">
        <f>'A) Base RI'!B17</f>
        <v>Ormont-Dessus</v>
      </c>
      <c r="C15" s="10">
        <f>'B) D RI'!Y17</f>
        <v>913232.39999999991</v>
      </c>
      <c r="D15" s="442">
        <f>'B) D RI'!Z17</f>
        <v>22248.05</v>
      </c>
      <c r="E15" s="10">
        <f t="shared" si="0"/>
        <v>935480.45</v>
      </c>
      <c r="F15" s="442">
        <f>'B) D RI'!U17</f>
        <v>68049.385526315804</v>
      </c>
      <c r="G15" s="265">
        <f t="shared" si="1"/>
        <v>13.747081516823314</v>
      </c>
      <c r="H15" s="55">
        <f t="shared" si="2"/>
        <v>463290.61499999993</v>
      </c>
      <c r="I15" s="412">
        <f t="shared" si="3"/>
        <v>6.8081528057419112</v>
      </c>
    </row>
    <row r="16" spans="1:10" x14ac:dyDescent="0.25">
      <c r="A16" s="49">
        <f>'A) Base RI'!A18</f>
        <v>5412</v>
      </c>
      <c r="B16" s="525" t="str">
        <f>'A) Base RI'!B18</f>
        <v>Rennaz</v>
      </c>
      <c r="C16" s="10">
        <f>'B) D RI'!Y18</f>
        <v>451752.05</v>
      </c>
      <c r="D16" s="442">
        <f>'B) D RI'!Z18</f>
        <v>257000.25</v>
      </c>
      <c r="E16" s="10">
        <f t="shared" si="0"/>
        <v>708752.3</v>
      </c>
      <c r="F16" s="442">
        <f>'B) D RI'!U18</f>
        <v>24274.281449275361</v>
      </c>
      <c r="G16" s="265">
        <f t="shared" si="1"/>
        <v>29.197663439844387</v>
      </c>
      <c r="H16" s="55">
        <f t="shared" si="2"/>
        <v>302976.09999999998</v>
      </c>
      <c r="I16" s="412">
        <f t="shared" si="3"/>
        <v>12.481362244773861</v>
      </c>
    </row>
    <row r="17" spans="1:9" x14ac:dyDescent="0.25">
      <c r="A17" s="49">
        <f>'A) Base RI'!A19</f>
        <v>5413</v>
      </c>
      <c r="B17" s="525" t="str">
        <f>'A) Base RI'!B19</f>
        <v>Roche</v>
      </c>
      <c r="C17" s="10">
        <f>'B) D RI'!Y19</f>
        <v>280370.75</v>
      </c>
      <c r="D17" s="442">
        <f>'B) D RI'!Z19</f>
        <v>275376.59999999998</v>
      </c>
      <c r="E17" s="10">
        <f t="shared" si="0"/>
        <v>555747.35</v>
      </c>
      <c r="F17" s="442">
        <f>'B) D RI'!U19</f>
        <v>48007.468357843129</v>
      </c>
      <c r="G17" s="265">
        <f t="shared" si="1"/>
        <v>11.576268630903671</v>
      </c>
      <c r="H17" s="55">
        <f t="shared" si="2"/>
        <v>222798.35499999998</v>
      </c>
      <c r="I17" s="412">
        <f t="shared" si="3"/>
        <v>4.640910312938856</v>
      </c>
    </row>
    <row r="18" spans="1:9" x14ac:dyDescent="0.25">
      <c r="A18" s="49">
        <f>'A) Base RI'!A20</f>
        <v>5414</v>
      </c>
      <c r="B18" s="525" t="str">
        <f>'A) Base RI'!B20</f>
        <v>Villeneuve</v>
      </c>
      <c r="C18" s="10">
        <f>'B) D RI'!Y20</f>
        <v>812698.7</v>
      </c>
      <c r="D18" s="442">
        <f>'B) D RI'!Z20</f>
        <v>1579016.8</v>
      </c>
      <c r="E18" s="10">
        <f t="shared" si="0"/>
        <v>2391715.5</v>
      </c>
      <c r="F18" s="442">
        <f>'B) D RI'!U20</f>
        <v>159468.65911111108</v>
      </c>
      <c r="G18" s="265">
        <f t="shared" si="1"/>
        <v>14.998028536337996</v>
      </c>
      <c r="H18" s="55">
        <f t="shared" si="2"/>
        <v>880054.3899999999</v>
      </c>
      <c r="I18" s="412">
        <f t="shared" si="3"/>
        <v>5.5186667706713139</v>
      </c>
    </row>
    <row r="19" spans="1:9" x14ac:dyDescent="0.25">
      <c r="A19" s="49">
        <f>'A) Base RI'!A21</f>
        <v>5415</v>
      </c>
      <c r="B19" s="525" t="str">
        <f>'A) Base RI'!B21</f>
        <v>Yvorne</v>
      </c>
      <c r="C19" s="10">
        <f>'B) D RI'!Y21</f>
        <v>342258.75</v>
      </c>
      <c r="D19" s="442">
        <f>'B) D RI'!Z21</f>
        <v>40570.300000000003</v>
      </c>
      <c r="E19" s="10">
        <f t="shared" si="0"/>
        <v>382829.05</v>
      </c>
      <c r="F19" s="442">
        <f>'B) D RI'!U21</f>
        <v>38155.020093240091</v>
      </c>
      <c r="G19" s="265">
        <f t="shared" si="1"/>
        <v>10.033517190253706</v>
      </c>
      <c r="H19" s="55">
        <f t="shared" si="2"/>
        <v>183300.465</v>
      </c>
      <c r="I19" s="412">
        <f t="shared" si="3"/>
        <v>4.8040982432210866</v>
      </c>
    </row>
    <row r="20" spans="1:9" x14ac:dyDescent="0.25">
      <c r="A20" s="49">
        <f>'A) Base RI'!A22</f>
        <v>5421</v>
      </c>
      <c r="B20" s="525" t="str">
        <f>'A) Base RI'!B22</f>
        <v>Apples</v>
      </c>
      <c r="C20" s="10">
        <f>'B) D RI'!Y22</f>
        <v>181741.55</v>
      </c>
      <c r="D20" s="442">
        <f>'B) D RI'!Z22</f>
        <v>37966.6</v>
      </c>
      <c r="E20" s="10">
        <f t="shared" si="0"/>
        <v>219708.15</v>
      </c>
      <c r="F20" s="442">
        <f>'B) D RI'!U22</f>
        <v>66313.601621621623</v>
      </c>
      <c r="G20" s="265">
        <f t="shared" si="1"/>
        <v>3.3131687109023482</v>
      </c>
      <c r="H20" s="55">
        <f t="shared" si="2"/>
        <v>102260.75499999999</v>
      </c>
      <c r="I20" s="412">
        <f t="shared" si="3"/>
        <v>1.5420781332838625</v>
      </c>
    </row>
    <row r="21" spans="1:9" x14ac:dyDescent="0.25">
      <c r="A21" s="49">
        <f>'A) Base RI'!A23</f>
        <v>5422</v>
      </c>
      <c r="B21" s="525" t="str">
        <f>'A) Base RI'!B23</f>
        <v>Aubonne</v>
      </c>
      <c r="C21" s="10">
        <f>'B) D RI'!Y23</f>
        <v>1020621.4</v>
      </c>
      <c r="D21" s="442">
        <f>'B) D RI'!Z23</f>
        <v>1045403.05</v>
      </c>
      <c r="E21" s="10">
        <f t="shared" si="0"/>
        <v>2066024.4500000002</v>
      </c>
      <c r="F21" s="442">
        <f>'B) D RI'!U23</f>
        <v>242388.1994160584</v>
      </c>
      <c r="G21" s="265">
        <f t="shared" si="1"/>
        <v>8.5236181257061823</v>
      </c>
      <c r="H21" s="55">
        <f t="shared" si="2"/>
        <v>823931.61499999999</v>
      </c>
      <c r="I21" s="412">
        <f t="shared" si="3"/>
        <v>3.3992232995869762</v>
      </c>
    </row>
    <row r="22" spans="1:9" x14ac:dyDescent="0.25">
      <c r="A22" s="49">
        <f>'A) Base RI'!A24</f>
        <v>5423</v>
      </c>
      <c r="B22" s="525" t="str">
        <f>'A) Base RI'!B24</f>
        <v>Ballens</v>
      </c>
      <c r="C22" s="10">
        <f>'B) D RI'!Y24</f>
        <v>63752.65</v>
      </c>
      <c r="D22" s="442">
        <f>'B) D RI'!Z24</f>
        <v>23095.75</v>
      </c>
      <c r="E22" s="10">
        <f t="shared" si="0"/>
        <v>86848.4</v>
      </c>
      <c r="F22" s="442">
        <f>'B) D RI'!U24</f>
        <v>17114.745479452053</v>
      </c>
      <c r="G22" s="265">
        <f t="shared" si="1"/>
        <v>5.0744780344101583</v>
      </c>
      <c r="H22" s="55">
        <f t="shared" si="2"/>
        <v>38805.050000000003</v>
      </c>
      <c r="I22" s="412">
        <f t="shared" si="3"/>
        <v>2.2673460173035767</v>
      </c>
    </row>
    <row r="23" spans="1:9" x14ac:dyDescent="0.25">
      <c r="A23" s="49">
        <f>'A) Base RI'!A25</f>
        <v>5424</v>
      </c>
      <c r="B23" s="525" t="str">
        <f>'A) Base RI'!B25</f>
        <v>Berolle</v>
      </c>
      <c r="C23" s="10">
        <f>'B) D RI'!Y25</f>
        <v>43918.7</v>
      </c>
      <c r="D23" s="442">
        <f>'B) D RI'!Z25</f>
        <v>0</v>
      </c>
      <c r="E23" s="10">
        <f t="shared" si="0"/>
        <v>43918.7</v>
      </c>
      <c r="F23" s="442">
        <f>'B) D RI'!U25</f>
        <v>9114.9769536423846</v>
      </c>
      <c r="G23" s="265">
        <f t="shared" si="1"/>
        <v>4.8183007179683424</v>
      </c>
      <c r="H23" s="55">
        <f t="shared" si="2"/>
        <v>21959.35</v>
      </c>
      <c r="I23" s="412">
        <f t="shared" si="3"/>
        <v>2.4091503589841712</v>
      </c>
    </row>
    <row r="24" spans="1:9" x14ac:dyDescent="0.25">
      <c r="A24" s="49">
        <f>'A) Base RI'!A26</f>
        <v>5425</v>
      </c>
      <c r="B24" s="525" t="str">
        <f>'A) Base RI'!B26</f>
        <v>Bière</v>
      </c>
      <c r="C24" s="10">
        <f>'B) D RI'!Y26</f>
        <v>250336.65</v>
      </c>
      <c r="D24" s="442">
        <f>'B) D RI'!Z26</f>
        <v>61405.1</v>
      </c>
      <c r="E24" s="10">
        <f t="shared" si="0"/>
        <v>311741.75</v>
      </c>
      <c r="F24" s="442">
        <f>'B) D RI'!U26</f>
        <v>40211.969135432286</v>
      </c>
      <c r="G24" s="265">
        <f t="shared" si="1"/>
        <v>7.7524616849790764</v>
      </c>
      <c r="H24" s="55">
        <f t="shared" si="2"/>
        <v>143589.85499999998</v>
      </c>
      <c r="I24" s="412">
        <f t="shared" si="3"/>
        <v>3.570823764347256</v>
      </c>
    </row>
    <row r="25" spans="1:9" x14ac:dyDescent="0.25">
      <c r="A25" s="49">
        <f>'A) Base RI'!A27</f>
        <v>5426</v>
      </c>
      <c r="B25" s="525" t="str">
        <f>'A) Base RI'!B27</f>
        <v>Bougy-Villars</v>
      </c>
      <c r="C25" s="10">
        <f>'B) D RI'!Y27</f>
        <v>280873.7</v>
      </c>
      <c r="D25" s="442">
        <f>'B) D RI'!Z27</f>
        <v>12909.65</v>
      </c>
      <c r="E25" s="10">
        <f t="shared" si="0"/>
        <v>293783.35000000003</v>
      </c>
      <c r="F25" s="442">
        <f>'B) D RI'!U27</f>
        <v>55602.775012919898</v>
      </c>
      <c r="G25" s="265">
        <f t="shared" si="1"/>
        <v>5.2836094948810803</v>
      </c>
      <c r="H25" s="55">
        <f t="shared" si="2"/>
        <v>144309.745</v>
      </c>
      <c r="I25" s="412">
        <f t="shared" si="3"/>
        <v>2.5953694751110548</v>
      </c>
    </row>
    <row r="26" spans="1:9" x14ac:dyDescent="0.25">
      <c r="A26" s="49">
        <f>'A) Base RI'!A28</f>
        <v>5427</v>
      </c>
      <c r="B26" s="525" t="str">
        <f>'A) Base RI'!B28</f>
        <v>Féchy</v>
      </c>
      <c r="C26" s="10">
        <f>'B) D RI'!Y28</f>
        <v>197687.75</v>
      </c>
      <c r="D26" s="442">
        <f>'B) D RI'!Z28</f>
        <v>11820.25</v>
      </c>
      <c r="E26" s="10">
        <f t="shared" si="0"/>
        <v>209508</v>
      </c>
      <c r="F26" s="442">
        <f>'B) D RI'!U28</f>
        <v>77020.028293269235</v>
      </c>
      <c r="G26" s="265">
        <f t="shared" si="1"/>
        <v>2.7201755782568164</v>
      </c>
      <c r="H26" s="55">
        <f t="shared" si="2"/>
        <v>102389.95</v>
      </c>
      <c r="I26" s="412">
        <f t="shared" si="3"/>
        <v>1.3293938248130692</v>
      </c>
    </row>
    <row r="27" spans="1:9" x14ac:dyDescent="0.25">
      <c r="A27" s="49">
        <f>'A) Base RI'!A29</f>
        <v>5428</v>
      </c>
      <c r="B27" s="525" t="str">
        <f>'A) Base RI'!B29</f>
        <v>Gimel</v>
      </c>
      <c r="C27" s="10">
        <f>'B) D RI'!Y29</f>
        <v>835805.35</v>
      </c>
      <c r="D27" s="442">
        <f>'B) D RI'!Z29</f>
        <v>249456.7</v>
      </c>
      <c r="E27" s="10">
        <f t="shared" si="0"/>
        <v>1085262.05</v>
      </c>
      <c r="F27" s="442">
        <f>'B) D RI'!U29</f>
        <v>70193.222975391502</v>
      </c>
      <c r="G27" s="265">
        <f t="shared" si="1"/>
        <v>15.461065954764232</v>
      </c>
      <c r="H27" s="55">
        <f t="shared" si="2"/>
        <v>492739.685</v>
      </c>
      <c r="I27" s="412">
        <f t="shared" si="3"/>
        <v>7.0197615113462701</v>
      </c>
    </row>
    <row r="28" spans="1:9" x14ac:dyDescent="0.25">
      <c r="A28" s="49">
        <f>'A) Base RI'!A30</f>
        <v>5429</v>
      </c>
      <c r="B28" s="525" t="str">
        <f>'A) Base RI'!B30</f>
        <v>Longirod</v>
      </c>
      <c r="C28" s="10">
        <f>'B) D RI'!Y30</f>
        <v>93363.5</v>
      </c>
      <c r="D28" s="442">
        <f>'B) D RI'!Z30</f>
        <v>0</v>
      </c>
      <c r="E28" s="10">
        <f t="shared" si="0"/>
        <v>93363.5</v>
      </c>
      <c r="F28" s="442">
        <f>'B) D RI'!U30</f>
        <v>16140.77393548387</v>
      </c>
      <c r="G28" s="265">
        <f t="shared" si="1"/>
        <v>5.7843261031461273</v>
      </c>
      <c r="H28" s="55">
        <f t="shared" si="2"/>
        <v>46681.75</v>
      </c>
      <c r="I28" s="412">
        <f t="shared" si="3"/>
        <v>2.8921630515730636</v>
      </c>
    </row>
    <row r="29" spans="1:9" x14ac:dyDescent="0.25">
      <c r="A29" s="49">
        <f>'A) Base RI'!A31</f>
        <v>5430</v>
      </c>
      <c r="B29" s="525" t="str">
        <f>'A) Base RI'!B31</f>
        <v>Marchissy</v>
      </c>
      <c r="C29" s="10">
        <f>'B) D RI'!Y31</f>
        <v>83792.45</v>
      </c>
      <c r="D29" s="442">
        <f>'B) D RI'!Z31</f>
        <v>6870.3</v>
      </c>
      <c r="E29" s="10">
        <f t="shared" si="0"/>
        <v>90662.75</v>
      </c>
      <c r="F29" s="442">
        <f>'B) D RI'!U31</f>
        <v>14848.450709677421</v>
      </c>
      <c r="G29" s="265">
        <f t="shared" si="1"/>
        <v>6.1058727117510578</v>
      </c>
      <c r="H29" s="55">
        <f t="shared" si="2"/>
        <v>43957.315000000002</v>
      </c>
      <c r="I29" s="412">
        <f t="shared" si="3"/>
        <v>2.9603974084212696</v>
      </c>
    </row>
    <row r="30" spans="1:9" x14ac:dyDescent="0.25">
      <c r="A30" s="49">
        <f>'A) Base RI'!A32</f>
        <v>5431</v>
      </c>
      <c r="B30" s="525" t="str">
        <f>'A) Base RI'!B32</f>
        <v>Mollens</v>
      </c>
      <c r="C30" s="10">
        <f>'B) D RI'!Y32</f>
        <v>173206.7</v>
      </c>
      <c r="D30" s="442">
        <f>'B) D RI'!Z32</f>
        <v>178.1</v>
      </c>
      <c r="E30" s="10">
        <f t="shared" si="0"/>
        <v>173384.80000000002</v>
      </c>
      <c r="F30" s="442">
        <f>'B) D RI'!U32</f>
        <v>9333.4747297297308</v>
      </c>
      <c r="G30" s="265">
        <f t="shared" si="1"/>
        <v>18.576661427894681</v>
      </c>
      <c r="H30" s="55">
        <f t="shared" si="2"/>
        <v>86656.78</v>
      </c>
      <c r="I30" s="412">
        <f t="shared" si="3"/>
        <v>9.2845143431924537</v>
      </c>
    </row>
    <row r="31" spans="1:9" x14ac:dyDescent="0.25">
      <c r="A31" s="49">
        <f>'A) Base RI'!A33</f>
        <v>5432</v>
      </c>
      <c r="B31" s="525" t="str">
        <f>'A) Base RI'!B33</f>
        <v>Montherod</v>
      </c>
      <c r="C31" s="10">
        <f>'B) D RI'!Y33</f>
        <v>110281.15</v>
      </c>
      <c r="D31" s="442">
        <f>'B) D RI'!Z33</f>
        <v>17115.900000000001</v>
      </c>
      <c r="E31" s="10">
        <f t="shared" si="0"/>
        <v>127397.04999999999</v>
      </c>
      <c r="F31" s="442">
        <f>'B) D RI'!U33</f>
        <v>16429.509999999998</v>
      </c>
      <c r="G31" s="265">
        <f t="shared" si="1"/>
        <v>7.7541600449435197</v>
      </c>
      <c r="H31" s="55">
        <f t="shared" si="2"/>
        <v>60275.345000000001</v>
      </c>
      <c r="I31" s="412">
        <f t="shared" si="3"/>
        <v>3.6687244476554692</v>
      </c>
    </row>
    <row r="32" spans="1:9" x14ac:dyDescent="0.25">
      <c r="A32" s="49">
        <f>'A) Base RI'!A34</f>
        <v>5434</v>
      </c>
      <c r="B32" s="525" t="str">
        <f>'A) Base RI'!B34</f>
        <v>Saint-George</v>
      </c>
      <c r="C32" s="10">
        <f>'B) D RI'!Y34</f>
        <v>213495.3</v>
      </c>
      <c r="D32" s="442">
        <f>'B) D RI'!Z34</f>
        <v>27638.1</v>
      </c>
      <c r="E32" s="10">
        <f t="shared" si="0"/>
        <v>241133.4</v>
      </c>
      <c r="F32" s="442">
        <f>'B) D RI'!U34</f>
        <v>40796.774220623498</v>
      </c>
      <c r="G32" s="265">
        <f t="shared" si="1"/>
        <v>5.9105996639828149</v>
      </c>
      <c r="H32" s="55">
        <f t="shared" si="2"/>
        <v>115039.07999999999</v>
      </c>
      <c r="I32" s="412">
        <f t="shared" si="3"/>
        <v>2.8198082372366997</v>
      </c>
    </row>
    <row r="33" spans="1:9" x14ac:dyDescent="0.25">
      <c r="A33" s="49">
        <f>'A) Base RI'!A35</f>
        <v>5435</v>
      </c>
      <c r="B33" s="525" t="str">
        <f>'A) Base RI'!B35</f>
        <v>Saint-Livres</v>
      </c>
      <c r="C33" s="10">
        <f>'B) D RI'!Y35</f>
        <v>128307.9</v>
      </c>
      <c r="D33" s="442">
        <f>'B) D RI'!Z35</f>
        <v>18525.05</v>
      </c>
      <c r="E33" s="10">
        <f t="shared" si="0"/>
        <v>146832.94999999998</v>
      </c>
      <c r="F33" s="442">
        <f>'B) D RI'!U35</f>
        <v>26346.510144927532</v>
      </c>
      <c r="G33" s="265">
        <f t="shared" si="1"/>
        <v>5.5731460900247383</v>
      </c>
      <c r="H33" s="55">
        <f t="shared" si="2"/>
        <v>69711.464999999997</v>
      </c>
      <c r="I33" s="412">
        <f t="shared" si="3"/>
        <v>2.6459468300176932</v>
      </c>
    </row>
    <row r="34" spans="1:9" x14ac:dyDescent="0.25">
      <c r="A34" s="49">
        <f>'A) Base RI'!A36</f>
        <v>5436</v>
      </c>
      <c r="B34" s="525" t="str">
        <f>'A) Base RI'!B36</f>
        <v>Saint-Oyens</v>
      </c>
      <c r="C34" s="10">
        <f>'B) D RI'!Y36</f>
        <v>61719.8</v>
      </c>
      <c r="D34" s="442">
        <f>'B) D RI'!Z36</f>
        <v>171.1</v>
      </c>
      <c r="E34" s="10">
        <f t="shared" si="0"/>
        <v>61890.9</v>
      </c>
      <c r="F34" s="442">
        <f>'B) D RI'!U36</f>
        <v>16755.63848765432</v>
      </c>
      <c r="G34" s="265">
        <f t="shared" si="1"/>
        <v>3.6937356965299579</v>
      </c>
      <c r="H34" s="55">
        <f t="shared" si="2"/>
        <v>30911.230000000003</v>
      </c>
      <c r="I34" s="412">
        <f t="shared" si="3"/>
        <v>1.8448255506810813</v>
      </c>
    </row>
    <row r="35" spans="1:9" x14ac:dyDescent="0.25">
      <c r="A35" s="49">
        <f>'A) Base RI'!A37</f>
        <v>5437</v>
      </c>
      <c r="B35" s="525" t="str">
        <f>'A) Base RI'!B37</f>
        <v>Saubraz</v>
      </c>
      <c r="C35" s="10">
        <f>'B) D RI'!Y37</f>
        <v>107558.6</v>
      </c>
      <c r="D35" s="442">
        <f>'B) D RI'!Z37</f>
        <v>0</v>
      </c>
      <c r="E35" s="10">
        <f t="shared" si="0"/>
        <v>107558.6</v>
      </c>
      <c r="F35" s="442">
        <f>'B) D RI'!U37</f>
        <v>13391.905875</v>
      </c>
      <c r="G35" s="265">
        <f t="shared" si="1"/>
        <v>8.0316126027132793</v>
      </c>
      <c r="H35" s="55">
        <f t="shared" si="2"/>
        <v>53779.3</v>
      </c>
      <c r="I35" s="412">
        <f t="shared" si="3"/>
        <v>4.0158063013566396</v>
      </c>
    </row>
    <row r="36" spans="1:9" x14ac:dyDescent="0.25">
      <c r="A36" s="49">
        <f>'A) Base RI'!A38</f>
        <v>5451</v>
      </c>
      <c r="B36" s="525" t="str">
        <f>'A) Base RI'!B38</f>
        <v>Avenches</v>
      </c>
      <c r="C36" s="10">
        <f>'B) D RI'!Y38</f>
        <v>622826.44999999995</v>
      </c>
      <c r="D36" s="442">
        <f>'B) D RI'!Z38</f>
        <v>537089.1</v>
      </c>
      <c r="E36" s="10">
        <f t="shared" si="0"/>
        <v>1159915.5499999998</v>
      </c>
      <c r="F36" s="442">
        <f>'B) D RI'!U38</f>
        <v>129500.81187969925</v>
      </c>
      <c r="G36" s="265">
        <f t="shared" si="1"/>
        <v>8.95682068061096</v>
      </c>
      <c r="H36" s="55">
        <f t="shared" si="2"/>
        <v>472539.95499999996</v>
      </c>
      <c r="I36" s="412">
        <f t="shared" si="3"/>
        <v>3.6489343050526162</v>
      </c>
    </row>
    <row r="37" spans="1:9" x14ac:dyDescent="0.25">
      <c r="A37" s="49">
        <f>'A) Base RI'!A39</f>
        <v>5456</v>
      </c>
      <c r="B37" s="525" t="str">
        <f>'A) Base RI'!B39</f>
        <v>Cudrefin</v>
      </c>
      <c r="C37" s="10">
        <f>'B) D RI'!Y39</f>
        <v>361747.9</v>
      </c>
      <c r="D37" s="442">
        <f>'B) D RI'!Z39</f>
        <v>5787.35</v>
      </c>
      <c r="E37" s="10">
        <f t="shared" si="0"/>
        <v>367535.25</v>
      </c>
      <c r="F37" s="442">
        <f>'B) D RI'!U39</f>
        <v>64226.933276836171</v>
      </c>
      <c r="G37" s="265">
        <f t="shared" si="1"/>
        <v>5.722447441415575</v>
      </c>
      <c r="H37" s="55">
        <f t="shared" si="2"/>
        <v>182610.155</v>
      </c>
      <c r="I37" s="412">
        <f t="shared" si="3"/>
        <v>2.8432021534159011</v>
      </c>
    </row>
    <row r="38" spans="1:9" x14ac:dyDescent="0.25">
      <c r="A38" s="49">
        <f>'A) Base RI'!A40</f>
        <v>5458</v>
      </c>
      <c r="B38" s="525" t="str">
        <f>'A) Base RI'!B40</f>
        <v>Faoug</v>
      </c>
      <c r="C38" s="10">
        <f>'B) D RI'!Y40</f>
        <v>162854.29999999999</v>
      </c>
      <c r="D38" s="442">
        <f>'B) D RI'!Z40</f>
        <v>3878.8</v>
      </c>
      <c r="E38" s="10">
        <f t="shared" si="0"/>
        <v>166733.09999999998</v>
      </c>
      <c r="F38" s="442">
        <f>'B) D RI'!U40</f>
        <v>32198.404090909091</v>
      </c>
      <c r="G38" s="265">
        <f t="shared" si="1"/>
        <v>5.1783032329566749</v>
      </c>
      <c r="H38" s="55">
        <f t="shared" si="2"/>
        <v>82590.789999999994</v>
      </c>
      <c r="I38" s="412">
        <f t="shared" si="3"/>
        <v>2.5650584968998107</v>
      </c>
    </row>
    <row r="39" spans="1:9" x14ac:dyDescent="0.25">
      <c r="A39" s="49">
        <f>'A) Base RI'!A41</f>
        <v>5464</v>
      </c>
      <c r="B39" s="525" t="str">
        <f>'A) Base RI'!B41</f>
        <v>Vully-les-Lacs</v>
      </c>
      <c r="C39" s="10">
        <f>'B) D RI'!Y41</f>
        <v>463893.05000000005</v>
      </c>
      <c r="D39" s="442">
        <f>'B) D RI'!Z41</f>
        <v>1564.15</v>
      </c>
      <c r="E39" s="10">
        <f t="shared" si="0"/>
        <v>465457.20000000007</v>
      </c>
      <c r="F39" s="442">
        <f>'B) D RI'!U41</f>
        <v>111597.31895522389</v>
      </c>
      <c r="G39" s="265">
        <f t="shared" si="1"/>
        <v>4.1708636404316763</v>
      </c>
      <c r="H39" s="55">
        <f t="shared" si="2"/>
        <v>232415.77000000002</v>
      </c>
      <c r="I39" s="412">
        <f t="shared" si="3"/>
        <v>2.082628616671804</v>
      </c>
    </row>
    <row r="40" spans="1:9" x14ac:dyDescent="0.25">
      <c r="A40" s="49">
        <f>'A) Base RI'!A42</f>
        <v>5471</v>
      </c>
      <c r="B40" s="525" t="str">
        <f>'A) Base RI'!B42</f>
        <v>Bettens</v>
      </c>
      <c r="C40" s="10">
        <f>'B) D RI'!Y42</f>
        <v>55946.25</v>
      </c>
      <c r="D40" s="442">
        <f>'B) D RI'!Z42</f>
        <v>24383.75</v>
      </c>
      <c r="E40" s="10">
        <f t="shared" si="0"/>
        <v>80330</v>
      </c>
      <c r="F40" s="442">
        <f>'B) D RI'!U42</f>
        <v>20385.282730158731</v>
      </c>
      <c r="G40" s="265">
        <f t="shared" si="1"/>
        <v>3.9405879753218662</v>
      </c>
      <c r="H40" s="55">
        <f t="shared" si="2"/>
        <v>35288.25</v>
      </c>
      <c r="I40" s="412">
        <f t="shared" si="3"/>
        <v>1.7310650270154593</v>
      </c>
    </row>
    <row r="41" spans="1:9" x14ac:dyDescent="0.25">
      <c r="A41" s="49">
        <f>'A) Base RI'!A43</f>
        <v>5472</v>
      </c>
      <c r="B41" s="525" t="str">
        <f>'A) Base RI'!B43</f>
        <v>Bournens</v>
      </c>
      <c r="C41" s="10">
        <f>'B) D RI'!Y43</f>
        <v>174358.15000000002</v>
      </c>
      <c r="D41" s="442">
        <f>'B) D RI'!Z43</f>
        <v>0</v>
      </c>
      <c r="E41" s="10">
        <f t="shared" si="0"/>
        <v>174358.15000000002</v>
      </c>
      <c r="F41" s="442">
        <f>'B) D RI'!U43</f>
        <v>20143.161388888886</v>
      </c>
      <c r="G41" s="265">
        <f t="shared" si="1"/>
        <v>8.6559476257871442</v>
      </c>
      <c r="H41" s="55">
        <f t="shared" si="2"/>
        <v>87179.075000000012</v>
      </c>
      <c r="I41" s="412">
        <f t="shared" si="3"/>
        <v>4.3279738128935721</v>
      </c>
    </row>
    <row r="42" spans="1:9" x14ac:dyDescent="0.25">
      <c r="A42" s="49">
        <f>'A) Base RI'!A44</f>
        <v>5473</v>
      </c>
      <c r="B42" s="525" t="str">
        <f>'A) Base RI'!B44</f>
        <v>Boussens</v>
      </c>
      <c r="C42" s="10">
        <f>'B) D RI'!Y44</f>
        <v>93565.299999999988</v>
      </c>
      <c r="D42" s="442">
        <f>'B) D RI'!Z44</f>
        <v>5808.45</v>
      </c>
      <c r="E42" s="10">
        <f t="shared" si="0"/>
        <v>99373.749999999985</v>
      </c>
      <c r="F42" s="442">
        <f>'B) D RI'!U44</f>
        <v>37775.140592592586</v>
      </c>
      <c r="G42" s="265">
        <f t="shared" si="1"/>
        <v>2.6306652587147861</v>
      </c>
      <c r="H42" s="55">
        <f t="shared" si="2"/>
        <v>48525.184999999998</v>
      </c>
      <c r="I42" s="412">
        <f t="shared" si="3"/>
        <v>1.2845798649261788</v>
      </c>
    </row>
    <row r="43" spans="1:9" x14ac:dyDescent="0.25">
      <c r="A43" s="49">
        <f>'A) Base RI'!A45</f>
        <v>5474</v>
      </c>
      <c r="B43" s="525" t="str">
        <f>'A) Base RI'!B45</f>
        <v>La Chaux (Cossonay)</v>
      </c>
      <c r="C43" s="10">
        <f>'B) D RI'!Y45</f>
        <v>107096.65</v>
      </c>
      <c r="D43" s="442">
        <f>'B) D RI'!Z45</f>
        <v>2422.9499999999998</v>
      </c>
      <c r="E43" s="10">
        <f t="shared" si="0"/>
        <v>109519.59999999999</v>
      </c>
      <c r="F43" s="442">
        <f>'B) D RI'!U45</f>
        <v>13182.521580086577</v>
      </c>
      <c r="G43" s="265">
        <f t="shared" si="1"/>
        <v>8.3079401262228547</v>
      </c>
      <c r="H43" s="55">
        <f t="shared" si="2"/>
        <v>54275.21</v>
      </c>
      <c r="I43" s="412">
        <f t="shared" si="3"/>
        <v>4.1172100246729535</v>
      </c>
    </row>
    <row r="44" spans="1:9" x14ac:dyDescent="0.25">
      <c r="A44" s="49">
        <f>'A) Base RI'!A46</f>
        <v>5475</v>
      </c>
      <c r="B44" s="525" t="str">
        <f>'A) Base RI'!B46</f>
        <v>Chavannes-le-Veyron</v>
      </c>
      <c r="C44" s="10">
        <f>'B) D RI'!Y46</f>
        <v>23527.8</v>
      </c>
      <c r="D44" s="442">
        <f>'B) D RI'!Z46</f>
        <v>0</v>
      </c>
      <c r="E44" s="10">
        <f t="shared" si="0"/>
        <v>23527.8</v>
      </c>
      <c r="F44" s="442">
        <f>'B) D RI'!U46</f>
        <v>3874.6645454545451</v>
      </c>
      <c r="G44" s="265">
        <f t="shared" si="1"/>
        <v>6.0722159877300816</v>
      </c>
      <c r="H44" s="55">
        <f t="shared" si="2"/>
        <v>11763.9</v>
      </c>
      <c r="I44" s="412">
        <f t="shared" si="3"/>
        <v>3.0361079938650408</v>
      </c>
    </row>
    <row r="45" spans="1:9" x14ac:dyDescent="0.25">
      <c r="A45" s="49">
        <f>'A) Base RI'!A47</f>
        <v>5476</v>
      </c>
      <c r="B45" s="525" t="str">
        <f>'A) Base RI'!B47</f>
        <v>Chevilly</v>
      </c>
      <c r="C45" s="10">
        <f>'B) D RI'!Y47</f>
        <v>13231.1</v>
      </c>
      <c r="D45" s="442">
        <f>'B) D RI'!Z47</f>
        <v>0</v>
      </c>
      <c r="E45" s="10">
        <f t="shared" si="0"/>
        <v>13231.1</v>
      </c>
      <c r="F45" s="442">
        <f>'B) D RI'!U47</f>
        <v>11839.396756756756</v>
      </c>
      <c r="G45" s="265">
        <f t="shared" si="1"/>
        <v>1.1175484927007786</v>
      </c>
      <c r="H45" s="55">
        <f t="shared" si="2"/>
        <v>6615.55</v>
      </c>
      <c r="I45" s="412">
        <f t="shared" si="3"/>
        <v>0.5587742463503893</v>
      </c>
    </row>
    <row r="46" spans="1:9" x14ac:dyDescent="0.25">
      <c r="A46" s="49">
        <f>'A) Base RI'!A48</f>
        <v>5477</v>
      </c>
      <c r="B46" s="525" t="str">
        <f>'A) Base RI'!B48</f>
        <v>Cossonay</v>
      </c>
      <c r="C46" s="10">
        <f>'B) D RI'!Y48</f>
        <v>1416385.5499999998</v>
      </c>
      <c r="D46" s="442">
        <f>'B) D RI'!Z48</f>
        <v>78423.75</v>
      </c>
      <c r="E46" s="10">
        <f t="shared" si="0"/>
        <v>1494809.2999999998</v>
      </c>
      <c r="F46" s="442">
        <f>'B) D RI'!U48</f>
        <v>119154.03251798562</v>
      </c>
      <c r="G46" s="265">
        <f t="shared" si="1"/>
        <v>12.545184316564082</v>
      </c>
      <c r="H46" s="55">
        <f t="shared" si="2"/>
        <v>731719.89999999991</v>
      </c>
      <c r="I46" s="412">
        <f t="shared" si="3"/>
        <v>6.1409579225910882</v>
      </c>
    </row>
    <row r="47" spans="1:9" x14ac:dyDescent="0.25">
      <c r="A47" s="49">
        <f>'A) Base RI'!A49</f>
        <v>5478</v>
      </c>
      <c r="B47" s="525" t="str">
        <f>'A) Base RI'!B49</f>
        <v>Cottens</v>
      </c>
      <c r="C47" s="10">
        <f>'B) D RI'!Y49</f>
        <v>9277.4500000000007</v>
      </c>
      <c r="D47" s="442">
        <f>'B) D RI'!Z49</f>
        <v>0</v>
      </c>
      <c r="E47" s="10">
        <f t="shared" si="0"/>
        <v>9277.4500000000007</v>
      </c>
      <c r="F47" s="442">
        <f>'B) D RI'!U49</f>
        <v>16291.497837837833</v>
      </c>
      <c r="G47" s="265">
        <f t="shared" si="1"/>
        <v>0.56946574786098858</v>
      </c>
      <c r="H47" s="55">
        <f t="shared" si="2"/>
        <v>4638.7250000000004</v>
      </c>
      <c r="I47" s="412">
        <f t="shared" si="3"/>
        <v>0.28473287393049429</v>
      </c>
    </row>
    <row r="48" spans="1:9" x14ac:dyDescent="0.25">
      <c r="A48" s="49">
        <f>'A) Base RI'!A50</f>
        <v>5479</v>
      </c>
      <c r="B48" s="525" t="str">
        <f>'A) Base RI'!B50</f>
        <v>Cuarnens</v>
      </c>
      <c r="C48" s="10">
        <f>'B) D RI'!Y50</f>
        <v>162264.29999999999</v>
      </c>
      <c r="D48" s="442">
        <f>'B) D RI'!Z50</f>
        <v>8570.9500000000007</v>
      </c>
      <c r="E48" s="10">
        <f t="shared" si="0"/>
        <v>170835.25</v>
      </c>
      <c r="F48" s="442">
        <f>'B) D RI'!U50</f>
        <v>18068.978311688308</v>
      </c>
      <c r="G48" s="265">
        <f t="shared" si="1"/>
        <v>9.4546159197884219</v>
      </c>
      <c r="H48" s="55">
        <f t="shared" si="2"/>
        <v>83703.434999999998</v>
      </c>
      <c r="I48" s="412">
        <f t="shared" si="3"/>
        <v>4.6324387331769961</v>
      </c>
    </row>
    <row r="49" spans="1:9" x14ac:dyDescent="0.25">
      <c r="A49" s="49">
        <f>'A) Base RI'!A51</f>
        <v>5480</v>
      </c>
      <c r="B49" s="525" t="str">
        <f>'A) Base RI'!B51</f>
        <v>Daillens</v>
      </c>
      <c r="C49" s="10">
        <f>'B) D RI'!Y51</f>
        <v>210064.8</v>
      </c>
      <c r="D49" s="442">
        <f>'B) D RI'!Z51</f>
        <v>204900.85</v>
      </c>
      <c r="E49" s="10">
        <f t="shared" si="0"/>
        <v>414965.65</v>
      </c>
      <c r="F49" s="442">
        <f>'B) D RI'!U51</f>
        <v>40977.441060606063</v>
      </c>
      <c r="G49" s="265">
        <f t="shared" si="1"/>
        <v>10.126685299510564</v>
      </c>
      <c r="H49" s="55">
        <f t="shared" si="2"/>
        <v>166502.655</v>
      </c>
      <c r="I49" s="412">
        <f t="shared" si="3"/>
        <v>4.0632760536154722</v>
      </c>
    </row>
    <row r="50" spans="1:9" x14ac:dyDescent="0.25">
      <c r="A50" s="49">
        <f>'A) Base RI'!A52</f>
        <v>5481</v>
      </c>
      <c r="B50" s="525" t="str">
        <f>'A) Base RI'!B52</f>
        <v>Dizy</v>
      </c>
      <c r="C50" s="10">
        <f>'B) D RI'!Y52</f>
        <v>7673.55</v>
      </c>
      <c r="D50" s="442">
        <f>'B) D RI'!Z52</f>
        <v>0</v>
      </c>
      <c r="E50" s="10">
        <f t="shared" si="0"/>
        <v>7673.55</v>
      </c>
      <c r="F50" s="442">
        <f>'B) D RI'!U52</f>
        <v>8124.1672000000008</v>
      </c>
      <c r="G50" s="265">
        <f t="shared" si="1"/>
        <v>0.94453373633176818</v>
      </c>
      <c r="H50" s="55">
        <f t="shared" si="2"/>
        <v>3836.7750000000001</v>
      </c>
      <c r="I50" s="412">
        <f t="shared" si="3"/>
        <v>0.47226686816588409</v>
      </c>
    </row>
    <row r="51" spans="1:9" x14ac:dyDescent="0.25">
      <c r="A51" s="49">
        <f>'A) Base RI'!A53</f>
        <v>5482</v>
      </c>
      <c r="B51" s="525" t="str">
        <f>'A) Base RI'!B53</f>
        <v>Eclépens</v>
      </c>
      <c r="C51" s="10">
        <f>'B) D RI'!Y53</f>
        <v>105115.09999999999</v>
      </c>
      <c r="D51" s="442">
        <f>'B) D RI'!Z53</f>
        <v>338711.25</v>
      </c>
      <c r="E51" s="10">
        <f t="shared" si="0"/>
        <v>443826.35</v>
      </c>
      <c r="F51" s="442">
        <f>'B) D RI'!U53</f>
        <v>70911.930217391302</v>
      </c>
      <c r="G51" s="265">
        <f t="shared" si="1"/>
        <v>6.258838937811773</v>
      </c>
      <c r="H51" s="55">
        <f t="shared" si="2"/>
        <v>154170.92499999999</v>
      </c>
      <c r="I51" s="412">
        <f t="shared" si="3"/>
        <v>2.1741182975469089</v>
      </c>
    </row>
    <row r="52" spans="1:9" x14ac:dyDescent="0.25">
      <c r="A52" s="49">
        <f>'A) Base RI'!A54</f>
        <v>5483</v>
      </c>
      <c r="B52" s="525" t="str">
        <f>'A) Base RI'!B54</f>
        <v>Ferreyres</v>
      </c>
      <c r="C52" s="10">
        <f>'B) D RI'!Y54</f>
        <v>19196.7</v>
      </c>
      <c r="D52" s="442">
        <f>'B) D RI'!Z54</f>
        <v>0</v>
      </c>
      <c r="E52" s="10">
        <f t="shared" si="0"/>
        <v>19196.7</v>
      </c>
      <c r="F52" s="442">
        <f>'B) D RI'!U54</f>
        <v>10820.315000000001</v>
      </c>
      <c r="G52" s="265">
        <f t="shared" si="1"/>
        <v>1.7741350413550807</v>
      </c>
      <c r="H52" s="55">
        <f t="shared" si="2"/>
        <v>9598.35</v>
      </c>
      <c r="I52" s="412">
        <f t="shared" si="3"/>
        <v>0.88706752067754036</v>
      </c>
    </row>
    <row r="53" spans="1:9" x14ac:dyDescent="0.25">
      <c r="A53" s="49">
        <f>'A) Base RI'!A55</f>
        <v>5484</v>
      </c>
      <c r="B53" s="525" t="str">
        <f>'A) Base RI'!B55</f>
        <v>Gollion</v>
      </c>
      <c r="C53" s="10">
        <f>'B) D RI'!Y55</f>
        <v>209515.1</v>
      </c>
      <c r="D53" s="442">
        <f>'B) D RI'!Z55</f>
        <v>25418.75</v>
      </c>
      <c r="E53" s="10">
        <f t="shared" si="0"/>
        <v>234933.85</v>
      </c>
      <c r="F53" s="442">
        <f>'B) D RI'!U55</f>
        <v>34996.98554054054</v>
      </c>
      <c r="G53" s="265">
        <f t="shared" si="1"/>
        <v>6.7129738853608529</v>
      </c>
      <c r="H53" s="55">
        <f t="shared" si="2"/>
        <v>112383.175</v>
      </c>
      <c r="I53" s="412">
        <f t="shared" si="3"/>
        <v>3.211224431596122</v>
      </c>
    </row>
    <row r="54" spans="1:9" x14ac:dyDescent="0.25">
      <c r="A54" s="49">
        <f>'A) Base RI'!A56</f>
        <v>5485</v>
      </c>
      <c r="B54" s="525" t="str">
        <f>'A) Base RI'!B56</f>
        <v>Grancy</v>
      </c>
      <c r="C54" s="10">
        <f>'B) D RI'!Y56</f>
        <v>154326.6</v>
      </c>
      <c r="D54" s="442">
        <f>'B) D RI'!Z56</f>
        <v>13845.05</v>
      </c>
      <c r="E54" s="10">
        <f t="shared" si="0"/>
        <v>168171.65</v>
      </c>
      <c r="F54" s="442">
        <f>'B) D RI'!U56</f>
        <v>14542.352714285715</v>
      </c>
      <c r="G54" s="265">
        <f t="shared" si="1"/>
        <v>11.56426702776891</v>
      </c>
      <c r="H54" s="55">
        <f t="shared" si="2"/>
        <v>81316.815000000002</v>
      </c>
      <c r="I54" s="412">
        <f t="shared" si="3"/>
        <v>5.591723471272859</v>
      </c>
    </row>
    <row r="55" spans="1:9" x14ac:dyDescent="0.25">
      <c r="A55" s="49">
        <f>'A) Base RI'!A57</f>
        <v>5486</v>
      </c>
      <c r="B55" s="525" t="str">
        <f>'A) Base RI'!B57</f>
        <v>L'Isle</v>
      </c>
      <c r="C55" s="10">
        <f>'B) D RI'!Y57</f>
        <v>111508.7</v>
      </c>
      <c r="D55" s="442">
        <f>'B) D RI'!Z57</f>
        <v>54932.45</v>
      </c>
      <c r="E55" s="10">
        <f t="shared" si="0"/>
        <v>166441.15</v>
      </c>
      <c r="F55" s="442">
        <f>'B) D RI'!U57</f>
        <v>37459.560399999995</v>
      </c>
      <c r="G55" s="265">
        <f t="shared" si="1"/>
        <v>4.4432221900820812</v>
      </c>
      <c r="H55" s="55">
        <f t="shared" si="2"/>
        <v>72234.084999999992</v>
      </c>
      <c r="I55" s="412">
        <f t="shared" si="3"/>
        <v>1.9283217482712371</v>
      </c>
    </row>
    <row r="56" spans="1:9" x14ac:dyDescent="0.25">
      <c r="A56" s="49">
        <f>'A) Base RI'!A58</f>
        <v>5487</v>
      </c>
      <c r="B56" s="525" t="str">
        <f>'A) Base RI'!B58</f>
        <v>Lussery-Villars</v>
      </c>
      <c r="C56" s="10">
        <f>'B) D RI'!Y58</f>
        <v>31031.1</v>
      </c>
      <c r="D56" s="442">
        <f>'B) D RI'!Z58</f>
        <v>0</v>
      </c>
      <c r="E56" s="10">
        <f t="shared" si="0"/>
        <v>31031.1</v>
      </c>
      <c r="F56" s="442">
        <f>'B) D RI'!U58</f>
        <v>12889.865466666668</v>
      </c>
      <c r="G56" s="265">
        <f t="shared" si="1"/>
        <v>2.4074029383973605</v>
      </c>
      <c r="H56" s="55">
        <f t="shared" si="2"/>
        <v>15515.55</v>
      </c>
      <c r="I56" s="412">
        <f t="shared" si="3"/>
        <v>1.2037014691986803</v>
      </c>
    </row>
    <row r="57" spans="1:9" x14ac:dyDescent="0.25">
      <c r="A57" s="49">
        <f>'A) Base RI'!A59</f>
        <v>5488</v>
      </c>
      <c r="B57" s="525" t="str">
        <f>'A) Base RI'!B59</f>
        <v>Mauraz</v>
      </c>
      <c r="C57" s="10">
        <f>'B) D RI'!Y59</f>
        <v>0</v>
      </c>
      <c r="D57" s="442">
        <f>'B) D RI'!Z59</f>
        <v>0</v>
      </c>
      <c r="E57" s="10">
        <f t="shared" si="0"/>
        <v>0</v>
      </c>
      <c r="F57" s="442">
        <f>'B) D RI'!U59</f>
        <v>1632.1631168831173</v>
      </c>
      <c r="G57" s="265">
        <f t="shared" si="1"/>
        <v>0</v>
      </c>
      <c r="H57" s="55">
        <f t="shared" si="2"/>
        <v>0</v>
      </c>
      <c r="I57" s="412">
        <f t="shared" si="3"/>
        <v>0</v>
      </c>
    </row>
    <row r="58" spans="1:9" x14ac:dyDescent="0.25">
      <c r="A58" s="49">
        <f>'A) Base RI'!A60</f>
        <v>5489</v>
      </c>
      <c r="B58" s="525" t="str">
        <f>'A) Base RI'!B60</f>
        <v>Mex</v>
      </c>
      <c r="C58" s="10">
        <f>'B) D RI'!Y60</f>
        <v>522544.5</v>
      </c>
      <c r="D58" s="442">
        <f>'B) D RI'!Z60</f>
        <v>150502.45000000001</v>
      </c>
      <c r="E58" s="10">
        <f t="shared" si="0"/>
        <v>673046.95</v>
      </c>
      <c r="F58" s="442">
        <f>'B) D RI'!U60</f>
        <v>58521.207563025193</v>
      </c>
      <c r="G58" s="265">
        <f t="shared" si="1"/>
        <v>11.500906731549465</v>
      </c>
      <c r="H58" s="55">
        <f t="shared" si="2"/>
        <v>306422.98499999999</v>
      </c>
      <c r="I58" s="412">
        <f t="shared" si="3"/>
        <v>5.2361015392581169</v>
      </c>
    </row>
    <row r="59" spans="1:9" x14ac:dyDescent="0.25">
      <c r="A59" s="49">
        <f>'A) Base RI'!A61</f>
        <v>5490</v>
      </c>
      <c r="B59" s="525" t="str">
        <f>'A) Base RI'!B61</f>
        <v>Moiry</v>
      </c>
      <c r="C59" s="10">
        <f>'B) D RI'!Y61</f>
        <v>39652.35</v>
      </c>
      <c r="D59" s="442">
        <f>'B) D RI'!Z61</f>
        <v>0</v>
      </c>
      <c r="E59" s="10">
        <f t="shared" si="0"/>
        <v>39652.35</v>
      </c>
      <c r="F59" s="442">
        <f>'B) D RI'!U61</f>
        <v>8655.909290322581</v>
      </c>
      <c r="G59" s="265">
        <f t="shared" si="1"/>
        <v>4.5809572016116018</v>
      </c>
      <c r="H59" s="55">
        <f t="shared" si="2"/>
        <v>19826.174999999999</v>
      </c>
      <c r="I59" s="412">
        <f t="shared" si="3"/>
        <v>2.2904786008058009</v>
      </c>
    </row>
    <row r="60" spans="1:9" x14ac:dyDescent="0.25">
      <c r="A60" s="49">
        <f>'A) Base RI'!A62</f>
        <v>5491</v>
      </c>
      <c r="B60" s="525" t="str">
        <f>'A) Base RI'!B62</f>
        <v>Mont-la-Ville</v>
      </c>
      <c r="C60" s="10">
        <f>'B) D RI'!Y62</f>
        <v>92961.2</v>
      </c>
      <c r="D60" s="442">
        <f>'B) D RI'!Z62</f>
        <v>1976.15</v>
      </c>
      <c r="E60" s="10">
        <f t="shared" si="0"/>
        <v>94937.349999999991</v>
      </c>
      <c r="F60" s="442">
        <f>'B) D RI'!U62</f>
        <v>14323.284736842104</v>
      </c>
      <c r="G60" s="265">
        <f t="shared" si="1"/>
        <v>6.6281828326573571</v>
      </c>
      <c r="H60" s="55">
        <f t="shared" si="2"/>
        <v>47073.445</v>
      </c>
      <c r="I60" s="412">
        <f t="shared" si="3"/>
        <v>3.286497885426972</v>
      </c>
    </row>
    <row r="61" spans="1:9" x14ac:dyDescent="0.25">
      <c r="A61" s="49">
        <f>'A) Base RI'!A63</f>
        <v>5492</v>
      </c>
      <c r="B61" s="525" t="str">
        <f>'A) Base RI'!B63</f>
        <v>Montricher</v>
      </c>
      <c r="C61" s="10">
        <f>'B) D RI'!Y63</f>
        <v>320078.65000000002</v>
      </c>
      <c r="D61" s="442">
        <f>'B) D RI'!Z63</f>
        <v>6535.1</v>
      </c>
      <c r="E61" s="10">
        <f t="shared" si="0"/>
        <v>326613.75</v>
      </c>
      <c r="F61" s="442">
        <f>'B) D RI'!U63</f>
        <v>157154.96692708335</v>
      </c>
      <c r="G61" s="265">
        <f t="shared" si="1"/>
        <v>2.0782909785571206</v>
      </c>
      <c r="H61" s="55">
        <f t="shared" si="2"/>
        <v>161999.85500000001</v>
      </c>
      <c r="I61" s="412">
        <f t="shared" si="3"/>
        <v>1.0308287301868391</v>
      </c>
    </row>
    <row r="62" spans="1:9" x14ac:dyDescent="0.25">
      <c r="A62" s="49">
        <f>'A) Base RI'!A64</f>
        <v>5493</v>
      </c>
      <c r="B62" s="525" t="str">
        <f>'A) Base RI'!B64</f>
        <v>Orny</v>
      </c>
      <c r="C62" s="10">
        <f>'B) D RI'!Y64</f>
        <v>123071</v>
      </c>
      <c r="D62" s="442">
        <f>'B) D RI'!Z64</f>
        <v>72407.399999999994</v>
      </c>
      <c r="E62" s="10">
        <f t="shared" si="0"/>
        <v>195478.39999999999</v>
      </c>
      <c r="F62" s="442">
        <f>'B) D RI'!U64</f>
        <v>12885.017723919913</v>
      </c>
      <c r="G62" s="265">
        <f t="shared" si="1"/>
        <v>15.17098417622751</v>
      </c>
      <c r="H62" s="55">
        <f t="shared" si="2"/>
        <v>83257.72</v>
      </c>
      <c r="I62" s="412">
        <f t="shared" si="3"/>
        <v>6.4615914222173938</v>
      </c>
    </row>
    <row r="63" spans="1:9" x14ac:dyDescent="0.25">
      <c r="A63" s="49">
        <f>'A) Base RI'!A65</f>
        <v>5494</v>
      </c>
      <c r="B63" s="525" t="str">
        <f>'A) Base RI'!B65</f>
        <v>Pampigny</v>
      </c>
      <c r="C63" s="10">
        <f>'B) D RI'!Y65</f>
        <v>194382.1</v>
      </c>
      <c r="D63" s="442">
        <f>'B) D RI'!Z65</f>
        <v>25200.400000000001</v>
      </c>
      <c r="E63" s="10">
        <f t="shared" si="0"/>
        <v>219582.5</v>
      </c>
      <c r="F63" s="442">
        <f>'B) D RI'!U65</f>
        <v>36607.87342465754</v>
      </c>
      <c r="G63" s="265">
        <f t="shared" si="1"/>
        <v>5.9982315130083022</v>
      </c>
      <c r="H63" s="55">
        <f t="shared" si="2"/>
        <v>104751.17</v>
      </c>
      <c r="I63" s="412">
        <f t="shared" si="3"/>
        <v>2.8614382699827621</v>
      </c>
    </row>
    <row r="64" spans="1:9" x14ac:dyDescent="0.25">
      <c r="A64" s="49">
        <f>'A) Base RI'!A66</f>
        <v>5495</v>
      </c>
      <c r="B64" s="525" t="str">
        <f>'A) Base RI'!B66</f>
        <v>Penthalaz</v>
      </c>
      <c r="C64" s="10">
        <f>'B) D RI'!Y66</f>
        <v>425138.75</v>
      </c>
      <c r="D64" s="442">
        <f>'B) D RI'!Z66</f>
        <v>253218.8</v>
      </c>
      <c r="E64" s="10">
        <f t="shared" si="0"/>
        <v>678357.55</v>
      </c>
      <c r="F64" s="442">
        <f>'B) D RI'!U66</f>
        <v>93361.472702702697</v>
      </c>
      <c r="G64" s="265">
        <f t="shared" si="1"/>
        <v>7.2659259795541171</v>
      </c>
      <c r="H64" s="55">
        <f t="shared" si="2"/>
        <v>288535.01500000001</v>
      </c>
      <c r="I64" s="412">
        <f t="shared" si="3"/>
        <v>3.0905148199493566</v>
      </c>
    </row>
    <row r="65" spans="1:9" x14ac:dyDescent="0.25">
      <c r="A65" s="49">
        <f>'A) Base RI'!A67</f>
        <v>5496</v>
      </c>
      <c r="B65" s="525" t="str">
        <f>'A) Base RI'!B67</f>
        <v>Penthaz</v>
      </c>
      <c r="C65" s="10">
        <f>'B) D RI'!Y67</f>
        <v>309285.25</v>
      </c>
      <c r="D65" s="442">
        <f>'B) D RI'!Z67</f>
        <v>84746.65</v>
      </c>
      <c r="E65" s="10">
        <f t="shared" si="0"/>
        <v>394031.9</v>
      </c>
      <c r="F65" s="442">
        <f>'B) D RI'!U67</f>
        <v>60131.11913669065</v>
      </c>
      <c r="G65" s="265">
        <f t="shared" si="1"/>
        <v>6.5528782044498932</v>
      </c>
      <c r="H65" s="55">
        <f t="shared" si="2"/>
        <v>180066.62</v>
      </c>
      <c r="I65" s="412">
        <f t="shared" si="3"/>
        <v>2.9945662509734898</v>
      </c>
    </row>
    <row r="66" spans="1:9" x14ac:dyDescent="0.25">
      <c r="A66" s="49">
        <f>'A) Base RI'!A68</f>
        <v>5497</v>
      </c>
      <c r="B66" s="525" t="str">
        <f>'A) Base RI'!B68</f>
        <v>Pompaples</v>
      </c>
      <c r="C66" s="10">
        <f>'B) D RI'!Y68</f>
        <v>32638.5</v>
      </c>
      <c r="D66" s="442">
        <f>'B) D RI'!Z68</f>
        <v>213258.85</v>
      </c>
      <c r="E66" s="10">
        <f t="shared" si="0"/>
        <v>245897.35</v>
      </c>
      <c r="F66" s="442">
        <f>'B) D RI'!U68</f>
        <v>20396.986060606061</v>
      </c>
      <c r="G66" s="265">
        <f t="shared" si="1"/>
        <v>12.055572782633632</v>
      </c>
      <c r="H66" s="55">
        <f t="shared" si="2"/>
        <v>80296.904999999999</v>
      </c>
      <c r="I66" s="412">
        <f t="shared" si="3"/>
        <v>3.9367044112013341</v>
      </c>
    </row>
    <row r="67" spans="1:9" x14ac:dyDescent="0.25">
      <c r="A67" s="49">
        <f>'A) Base RI'!A69</f>
        <v>5498</v>
      </c>
      <c r="B67" s="525" t="str">
        <f>'A) Base RI'!B69</f>
        <v>La Sarraz</v>
      </c>
      <c r="C67" s="10">
        <f>'B) D RI'!Y69</f>
        <v>292584.59999999998</v>
      </c>
      <c r="D67" s="442">
        <f>'B) D RI'!Z69</f>
        <v>80908.7</v>
      </c>
      <c r="E67" s="10">
        <f t="shared" si="0"/>
        <v>373493.3</v>
      </c>
      <c r="F67" s="442">
        <f>'B) D RI'!U69</f>
        <v>77508.241969696974</v>
      </c>
      <c r="G67" s="265">
        <f t="shared" si="1"/>
        <v>4.8187559220608165</v>
      </c>
      <c r="H67" s="55">
        <f t="shared" si="2"/>
        <v>170564.90999999997</v>
      </c>
      <c r="I67" s="412">
        <f t="shared" si="3"/>
        <v>2.2006035186127035</v>
      </c>
    </row>
    <row r="68" spans="1:9" x14ac:dyDescent="0.25">
      <c r="A68" s="49">
        <f>'A) Base RI'!A70</f>
        <v>5499</v>
      </c>
      <c r="B68" s="525" t="str">
        <f>'A) Base RI'!B70</f>
        <v>Senarclens</v>
      </c>
      <c r="C68" s="10">
        <f>'B) D RI'!Y70</f>
        <v>241958.5</v>
      </c>
      <c r="D68" s="442">
        <f>'B) D RI'!Z70</f>
        <v>15029.85</v>
      </c>
      <c r="E68" s="10">
        <f t="shared" si="0"/>
        <v>256988.35</v>
      </c>
      <c r="F68" s="442">
        <f>'B) D RI'!U70</f>
        <v>19654.447445255475</v>
      </c>
      <c r="G68" s="265">
        <f t="shared" si="1"/>
        <v>13.075328152358525</v>
      </c>
      <c r="H68" s="55">
        <f t="shared" si="2"/>
        <v>125488.205</v>
      </c>
      <c r="I68" s="412">
        <f t="shared" si="3"/>
        <v>6.3847231192598333</v>
      </c>
    </row>
    <row r="69" spans="1:9" x14ac:dyDescent="0.25">
      <c r="A69" s="49">
        <f>'A) Base RI'!A71</f>
        <v>5500</v>
      </c>
      <c r="B69" s="525" t="str">
        <f>'A) Base RI'!B71</f>
        <v>Sévery</v>
      </c>
      <c r="C69" s="10">
        <f>'B) D RI'!Y71</f>
        <v>27686.550000000003</v>
      </c>
      <c r="D69" s="442">
        <f>'B) D RI'!Z71</f>
        <v>0</v>
      </c>
      <c r="E69" s="10">
        <f t="shared" si="0"/>
        <v>27686.550000000003</v>
      </c>
      <c r="F69" s="442">
        <f>'B) D RI'!U71</f>
        <v>7516.1401369863015</v>
      </c>
      <c r="G69" s="265">
        <f t="shared" si="1"/>
        <v>3.6836127979781521</v>
      </c>
      <c r="H69" s="55">
        <f t="shared" si="2"/>
        <v>13843.275000000001</v>
      </c>
      <c r="I69" s="412">
        <f t="shared" si="3"/>
        <v>1.8418063989890761</v>
      </c>
    </row>
    <row r="70" spans="1:9" x14ac:dyDescent="0.25">
      <c r="A70" s="49">
        <f>'A) Base RI'!A72</f>
        <v>5501</v>
      </c>
      <c r="B70" s="525" t="str">
        <f>'A) Base RI'!B72</f>
        <v>Sullens</v>
      </c>
      <c r="C70" s="10">
        <f>'B) D RI'!Y72</f>
        <v>6372305.25</v>
      </c>
      <c r="D70" s="442">
        <f>'B) D RI'!Z72</f>
        <v>6179.4</v>
      </c>
      <c r="E70" s="10">
        <f t="shared" ref="E70:E133" si="4">C70+D70</f>
        <v>6378484.6500000004</v>
      </c>
      <c r="F70" s="442">
        <f>'B) D RI'!U72</f>
        <v>41921.141459854021</v>
      </c>
      <c r="G70" s="265">
        <f t="shared" ref="G70:G133" si="5">E70/F70</f>
        <v>152.15436478771423</v>
      </c>
      <c r="H70" s="55">
        <f t="shared" ref="H70:H133" si="6">(C70*$C$4)+(D70*$D$4)</f>
        <v>3188006.4449999998</v>
      </c>
      <c r="I70" s="412">
        <f t="shared" ref="I70:I133" si="7">H70/F70</f>
        <v>76.047701326382281</v>
      </c>
    </row>
    <row r="71" spans="1:9" x14ac:dyDescent="0.25">
      <c r="A71" s="49">
        <f>'A) Base RI'!A73</f>
        <v>5503</v>
      </c>
      <c r="B71" s="525" t="str">
        <f>'A) Base RI'!B73</f>
        <v>Vufflens-la-Ville</v>
      </c>
      <c r="C71" s="10">
        <f>'B) D RI'!Y73</f>
        <v>239471.15000000002</v>
      </c>
      <c r="D71" s="442">
        <f>'B) D RI'!Z73</f>
        <v>90208.95</v>
      </c>
      <c r="E71" s="10">
        <f t="shared" si="4"/>
        <v>329680.10000000003</v>
      </c>
      <c r="F71" s="442">
        <f>'B) D RI'!U73</f>
        <v>66677.882338308453</v>
      </c>
      <c r="G71" s="265">
        <f t="shared" si="5"/>
        <v>4.9443696835972979</v>
      </c>
      <c r="H71" s="55">
        <f t="shared" si="6"/>
        <v>146798.26</v>
      </c>
      <c r="I71" s="412">
        <f t="shared" si="7"/>
        <v>2.2016035130686804</v>
      </c>
    </row>
    <row r="72" spans="1:9" x14ac:dyDescent="0.25">
      <c r="A72" s="49">
        <f>'A) Base RI'!A74</f>
        <v>5511</v>
      </c>
      <c r="B72" s="525" t="str">
        <f>'A) Base RI'!B74</f>
        <v>Assens</v>
      </c>
      <c r="C72" s="10">
        <f>'B) D RI'!Y74</f>
        <v>117251.2</v>
      </c>
      <c r="D72" s="442">
        <f>'B) D RI'!Z74</f>
        <v>19141.8</v>
      </c>
      <c r="E72" s="10">
        <f t="shared" si="4"/>
        <v>136393</v>
      </c>
      <c r="F72" s="442">
        <f>'B) D RI'!U74</f>
        <v>44474.742571428564</v>
      </c>
      <c r="G72" s="265">
        <f t="shared" si="5"/>
        <v>3.0667518711535275</v>
      </c>
      <c r="H72" s="55">
        <f t="shared" si="6"/>
        <v>64368.14</v>
      </c>
      <c r="I72" s="412">
        <f t="shared" si="7"/>
        <v>1.4472965165930234</v>
      </c>
    </row>
    <row r="73" spans="1:9" x14ac:dyDescent="0.25">
      <c r="A73" s="49">
        <f>'A) Base RI'!A75</f>
        <v>5512</v>
      </c>
      <c r="B73" s="525" t="str">
        <f>'A) Base RI'!B75</f>
        <v>Bercher</v>
      </c>
      <c r="C73" s="10">
        <f>'B) D RI'!Y75</f>
        <v>127864.25</v>
      </c>
      <c r="D73" s="442">
        <f>'B) D RI'!Z75</f>
        <v>67506.7</v>
      </c>
      <c r="E73" s="10">
        <f t="shared" si="4"/>
        <v>195370.95</v>
      </c>
      <c r="F73" s="442">
        <f>'B) D RI'!U75</f>
        <v>40313.482784810127</v>
      </c>
      <c r="G73" s="265">
        <f t="shared" si="5"/>
        <v>4.8462930142471983</v>
      </c>
      <c r="H73" s="55">
        <f t="shared" si="6"/>
        <v>84184.134999999995</v>
      </c>
      <c r="I73" s="412">
        <f t="shared" si="7"/>
        <v>2.0882377106777801</v>
      </c>
    </row>
    <row r="74" spans="1:9" x14ac:dyDescent="0.25">
      <c r="A74" s="49">
        <f>'A) Base RI'!A76</f>
        <v>5513</v>
      </c>
      <c r="B74" s="525" t="str">
        <f>'A) Base RI'!B76</f>
        <v>Bioley-Orjulaz</v>
      </c>
      <c r="C74" s="10">
        <f>'B) D RI'!Y76</f>
        <v>69706.200000000012</v>
      </c>
      <c r="D74" s="442">
        <f>'B) D RI'!Z76</f>
        <v>308830.75</v>
      </c>
      <c r="E74" s="10">
        <f t="shared" si="4"/>
        <v>378536.95</v>
      </c>
      <c r="F74" s="442">
        <f>'B) D RI'!U76</f>
        <v>22644.962352941177</v>
      </c>
      <c r="G74" s="265">
        <f t="shared" si="5"/>
        <v>16.716166010796428</v>
      </c>
      <c r="H74" s="55">
        <f t="shared" si="6"/>
        <v>127502.325</v>
      </c>
      <c r="I74" s="412">
        <f t="shared" si="7"/>
        <v>5.6304940150823315</v>
      </c>
    </row>
    <row r="75" spans="1:9" x14ac:dyDescent="0.25">
      <c r="A75" s="49">
        <f>'A) Base RI'!A77</f>
        <v>5514</v>
      </c>
      <c r="B75" s="525" t="str">
        <f>'A) Base RI'!B77</f>
        <v>Bottens</v>
      </c>
      <c r="C75" s="10">
        <f>'B) D RI'!Y77</f>
        <v>181161.8</v>
      </c>
      <c r="D75" s="442">
        <f>'B) D RI'!Z77</f>
        <v>8976.5499999999993</v>
      </c>
      <c r="E75" s="10">
        <f t="shared" si="4"/>
        <v>190138.34999999998</v>
      </c>
      <c r="F75" s="442">
        <f>'B) D RI'!U77</f>
        <v>44190.368827586208</v>
      </c>
      <c r="G75" s="265">
        <f t="shared" si="5"/>
        <v>4.3027101842450461</v>
      </c>
      <c r="H75" s="55">
        <f t="shared" si="6"/>
        <v>93273.864999999991</v>
      </c>
      <c r="I75" s="412">
        <f t="shared" si="7"/>
        <v>2.1107283662627636</v>
      </c>
    </row>
    <row r="76" spans="1:9" x14ac:dyDescent="0.25">
      <c r="A76" s="49">
        <f>'A) Base RI'!A78</f>
        <v>5515</v>
      </c>
      <c r="B76" s="525" t="str">
        <f>'A) Base RI'!B78</f>
        <v>Bretigny-sur-Morrens</v>
      </c>
      <c r="C76" s="10">
        <f>'B) D RI'!Y78</f>
        <v>235358.55</v>
      </c>
      <c r="D76" s="442">
        <f>'B) D RI'!Z78</f>
        <v>3757.1</v>
      </c>
      <c r="E76" s="10">
        <f t="shared" si="4"/>
        <v>239115.65</v>
      </c>
      <c r="F76" s="442">
        <f>'B) D RI'!U78</f>
        <v>29586.483086419765</v>
      </c>
      <c r="G76" s="265">
        <f t="shared" si="5"/>
        <v>8.0819220487126575</v>
      </c>
      <c r="H76" s="55">
        <f t="shared" si="6"/>
        <v>118806.405</v>
      </c>
      <c r="I76" s="412">
        <f t="shared" si="7"/>
        <v>4.0155636157557471</v>
      </c>
    </row>
    <row r="77" spans="1:9" x14ac:dyDescent="0.25">
      <c r="A77" s="49">
        <f>'A) Base RI'!A79</f>
        <v>5516</v>
      </c>
      <c r="B77" s="525" t="str">
        <f>'A) Base RI'!B79</f>
        <v>Cugy</v>
      </c>
      <c r="C77" s="10">
        <f>'B) D RI'!Y79</f>
        <v>714049.5</v>
      </c>
      <c r="D77" s="442">
        <f>'B) D RI'!Z79</f>
        <v>99596.35</v>
      </c>
      <c r="E77" s="10">
        <f t="shared" si="4"/>
        <v>813645.85</v>
      </c>
      <c r="F77" s="442">
        <f>'B) D RI'!U79</f>
        <v>107062.26318376069</v>
      </c>
      <c r="G77" s="265">
        <f t="shared" si="5"/>
        <v>7.5997445393384382</v>
      </c>
      <c r="H77" s="55">
        <f t="shared" si="6"/>
        <v>386903.65500000003</v>
      </c>
      <c r="I77" s="412">
        <f t="shared" si="7"/>
        <v>3.6138191319187989</v>
      </c>
    </row>
    <row r="78" spans="1:9" x14ac:dyDescent="0.25">
      <c r="A78" s="49">
        <f>'A) Base RI'!A80</f>
        <v>5518</v>
      </c>
      <c r="B78" s="525" t="str">
        <f>'A) Base RI'!B80</f>
        <v>Echallens</v>
      </c>
      <c r="C78" s="10">
        <f>'B) D RI'!Y80</f>
        <v>1122027.75</v>
      </c>
      <c r="D78" s="442">
        <f>'B) D RI'!Z80</f>
        <v>164060.75</v>
      </c>
      <c r="E78" s="10">
        <f t="shared" si="4"/>
        <v>1286088.5</v>
      </c>
      <c r="F78" s="442">
        <f>'B) D RI'!U80</f>
        <v>178756.07310344829</v>
      </c>
      <c r="G78" s="265">
        <f t="shared" si="5"/>
        <v>7.1946562579483668</v>
      </c>
      <c r="H78" s="55">
        <f t="shared" si="6"/>
        <v>610232.1</v>
      </c>
      <c r="I78" s="412">
        <f t="shared" si="7"/>
        <v>3.4137698899150202</v>
      </c>
    </row>
    <row r="79" spans="1:9" x14ac:dyDescent="0.25">
      <c r="A79" s="49">
        <f>'A) Base RI'!A81</f>
        <v>5520</v>
      </c>
      <c r="B79" s="525" t="str">
        <f>'A) Base RI'!B81</f>
        <v>Essertines-sur-Yverdon</v>
      </c>
      <c r="C79" s="10">
        <f>'B) D RI'!Y81</f>
        <v>260803.90000000002</v>
      </c>
      <c r="D79" s="442">
        <f>'B) D RI'!Z81</f>
        <v>5690.95</v>
      </c>
      <c r="E79" s="10">
        <f t="shared" si="4"/>
        <v>266494.85000000003</v>
      </c>
      <c r="F79" s="442">
        <f>'B) D RI'!U81</f>
        <v>29733.806712328769</v>
      </c>
      <c r="G79" s="265">
        <f t="shared" si="5"/>
        <v>8.9626885846910795</v>
      </c>
      <c r="H79" s="55">
        <f t="shared" si="6"/>
        <v>132109.23500000002</v>
      </c>
      <c r="I79" s="412">
        <f t="shared" si="7"/>
        <v>4.4430649690482618</v>
      </c>
    </row>
    <row r="80" spans="1:9" x14ac:dyDescent="0.25">
      <c r="A80" s="49">
        <f>'A) Base RI'!A82</f>
        <v>5521</v>
      </c>
      <c r="B80" s="525" t="str">
        <f>'A) Base RI'!B82</f>
        <v>Etagnières</v>
      </c>
      <c r="C80" s="10">
        <f>'B) D RI'!Y82</f>
        <v>173334.2</v>
      </c>
      <c r="D80" s="442">
        <f>'B) D RI'!Z82</f>
        <v>27188</v>
      </c>
      <c r="E80" s="10">
        <f t="shared" si="4"/>
        <v>200522.2</v>
      </c>
      <c r="F80" s="442">
        <f>'B) D RI'!U82</f>
        <v>46797.314657534247</v>
      </c>
      <c r="G80" s="265">
        <f t="shared" si="5"/>
        <v>4.2849082573954158</v>
      </c>
      <c r="H80" s="55">
        <f t="shared" si="6"/>
        <v>94823.5</v>
      </c>
      <c r="I80" s="412">
        <f t="shared" si="7"/>
        <v>2.0262594273608316</v>
      </c>
    </row>
    <row r="81" spans="1:9" x14ac:dyDescent="0.25">
      <c r="A81" s="49">
        <f>'A) Base RI'!A83</f>
        <v>5522</v>
      </c>
      <c r="B81" s="525" t="str">
        <f>'A) Base RI'!B83</f>
        <v>Fey</v>
      </c>
      <c r="C81" s="10">
        <f>'B) D RI'!Y83</f>
        <v>46705.2</v>
      </c>
      <c r="D81" s="442">
        <f>'B) D RI'!Z83</f>
        <v>15179</v>
      </c>
      <c r="E81" s="10">
        <f t="shared" si="4"/>
        <v>61884.2</v>
      </c>
      <c r="F81" s="442">
        <f>'B) D RI'!U83</f>
        <v>23726.940933333331</v>
      </c>
      <c r="G81" s="265">
        <f t="shared" si="5"/>
        <v>2.6081828320759453</v>
      </c>
      <c r="H81" s="55">
        <f t="shared" si="6"/>
        <v>27906.3</v>
      </c>
      <c r="I81" s="412">
        <f t="shared" si="7"/>
        <v>1.176144032996483</v>
      </c>
    </row>
    <row r="82" spans="1:9" x14ac:dyDescent="0.25">
      <c r="A82" s="49">
        <f>'A) Base RI'!A84</f>
        <v>5523</v>
      </c>
      <c r="B82" s="525" t="str">
        <f>'A) Base RI'!B84</f>
        <v>Froideville</v>
      </c>
      <c r="C82" s="10">
        <f>'B) D RI'!Y84</f>
        <v>277224.95</v>
      </c>
      <c r="D82" s="442">
        <f>'B) D RI'!Z84</f>
        <v>10619.3</v>
      </c>
      <c r="E82" s="10">
        <f t="shared" si="4"/>
        <v>287844.25</v>
      </c>
      <c r="F82" s="442">
        <f>'B) D RI'!U84</f>
        <v>85868.846805555557</v>
      </c>
      <c r="G82" s="265">
        <f t="shared" si="5"/>
        <v>3.3521382982096481</v>
      </c>
      <c r="H82" s="55">
        <f t="shared" si="6"/>
        <v>141798.26500000001</v>
      </c>
      <c r="I82" s="412">
        <f t="shared" si="7"/>
        <v>1.6513353826806711</v>
      </c>
    </row>
    <row r="83" spans="1:9" x14ac:dyDescent="0.25">
      <c r="A83" s="49">
        <f>'A) Base RI'!A85</f>
        <v>5527</v>
      </c>
      <c r="B83" s="525" t="str">
        <f>'A) Base RI'!B85</f>
        <v>Morrens</v>
      </c>
      <c r="C83" s="10">
        <f>'B) D RI'!Y85</f>
        <v>157261.95000000001</v>
      </c>
      <c r="D83" s="442">
        <f>'B) D RI'!Z85</f>
        <v>9803.75</v>
      </c>
      <c r="E83" s="10">
        <f t="shared" si="4"/>
        <v>167065.70000000001</v>
      </c>
      <c r="F83" s="442">
        <f>'B) D RI'!U85</f>
        <v>40564.204594594594</v>
      </c>
      <c r="G83" s="265">
        <f t="shared" si="5"/>
        <v>4.1185498808538812</v>
      </c>
      <c r="H83" s="55">
        <f t="shared" si="6"/>
        <v>81572.100000000006</v>
      </c>
      <c r="I83" s="412">
        <f t="shared" si="7"/>
        <v>2.0109379886834993</v>
      </c>
    </row>
    <row r="84" spans="1:9" x14ac:dyDescent="0.25">
      <c r="A84" s="49">
        <f>'A) Base RI'!A86</f>
        <v>5529</v>
      </c>
      <c r="B84" s="525" t="str">
        <f>'A) Base RI'!B86</f>
        <v>Oulens-sous-Echallens</v>
      </c>
      <c r="C84" s="10">
        <f>'B) D RI'!Y86</f>
        <v>42989</v>
      </c>
      <c r="D84" s="442">
        <f>'B) D RI'!Z86</f>
        <v>1847.9</v>
      </c>
      <c r="E84" s="10">
        <f t="shared" si="4"/>
        <v>44836.9</v>
      </c>
      <c r="F84" s="442">
        <f>'B) D RI'!U86</f>
        <v>20201.245428571427</v>
      </c>
      <c r="G84" s="265">
        <f t="shared" si="5"/>
        <v>2.2195116711262459</v>
      </c>
      <c r="H84" s="55">
        <f t="shared" si="6"/>
        <v>22048.87</v>
      </c>
      <c r="I84" s="412">
        <f t="shared" si="7"/>
        <v>1.0914609239297397</v>
      </c>
    </row>
    <row r="85" spans="1:9" x14ac:dyDescent="0.25">
      <c r="A85" s="49">
        <f>'A) Base RI'!A87</f>
        <v>5530</v>
      </c>
      <c r="B85" s="525" t="str">
        <f>'A) Base RI'!B87</f>
        <v>Pailly</v>
      </c>
      <c r="C85" s="10">
        <f>'B) D RI'!Y87</f>
        <v>13902.55</v>
      </c>
      <c r="D85" s="442">
        <f>'B) D RI'!Z87</f>
        <v>18495.150000000001</v>
      </c>
      <c r="E85" s="10">
        <f t="shared" si="4"/>
        <v>32397.7</v>
      </c>
      <c r="F85" s="442">
        <f>'B) D RI'!U87</f>
        <v>18302.009495614031</v>
      </c>
      <c r="G85" s="265">
        <f t="shared" si="5"/>
        <v>1.7701717403088397</v>
      </c>
      <c r="H85" s="55">
        <f t="shared" si="6"/>
        <v>12499.82</v>
      </c>
      <c r="I85" s="412">
        <f t="shared" si="7"/>
        <v>0.68297527673097913</v>
      </c>
    </row>
    <row r="86" spans="1:9" x14ac:dyDescent="0.25">
      <c r="A86" s="49">
        <f>'A) Base RI'!A88</f>
        <v>5531</v>
      </c>
      <c r="B86" s="525" t="str">
        <f>'A) Base RI'!B88</f>
        <v>Penthéréaz</v>
      </c>
      <c r="C86" s="10">
        <f>'B) D RI'!Y88</f>
        <v>44157.3</v>
      </c>
      <c r="D86" s="442">
        <f>'B) D RI'!Z88</f>
        <v>19757.3</v>
      </c>
      <c r="E86" s="10">
        <f t="shared" si="4"/>
        <v>63914.600000000006</v>
      </c>
      <c r="F86" s="442">
        <f>'B) D RI'!U88</f>
        <v>13843.062702702704</v>
      </c>
      <c r="G86" s="265">
        <f t="shared" si="5"/>
        <v>4.6170852052502367</v>
      </c>
      <c r="H86" s="55">
        <f t="shared" si="6"/>
        <v>28005.84</v>
      </c>
      <c r="I86" s="412">
        <f t="shared" si="7"/>
        <v>2.0230956545860455</v>
      </c>
    </row>
    <row r="87" spans="1:9" x14ac:dyDescent="0.25">
      <c r="A87" s="49">
        <f>'A) Base RI'!A89</f>
        <v>5533</v>
      </c>
      <c r="B87" s="525" t="str">
        <f>'A) Base RI'!B89</f>
        <v>Poliez-Pittet</v>
      </c>
      <c r="C87" s="10">
        <f>'B) D RI'!Y89</f>
        <v>340498.69999999995</v>
      </c>
      <c r="D87" s="442">
        <f>'B) D RI'!Z89</f>
        <v>752.3</v>
      </c>
      <c r="E87" s="10">
        <f t="shared" si="4"/>
        <v>341250.99999999994</v>
      </c>
      <c r="F87" s="442">
        <f>'B) D RI'!U89</f>
        <v>27190.167945205478</v>
      </c>
      <c r="G87" s="265">
        <f t="shared" si="5"/>
        <v>12.550529319557723</v>
      </c>
      <c r="H87" s="55">
        <f t="shared" si="6"/>
        <v>170475.03999999998</v>
      </c>
      <c r="I87" s="412">
        <f t="shared" si="7"/>
        <v>6.2697310418805392</v>
      </c>
    </row>
    <row r="88" spans="1:9" x14ac:dyDescent="0.25">
      <c r="A88" s="49">
        <f>'A) Base RI'!A90</f>
        <v>5534</v>
      </c>
      <c r="B88" s="525" t="str">
        <f>'A) Base RI'!B90</f>
        <v>Rueyres</v>
      </c>
      <c r="C88" s="10">
        <f>'B) D RI'!Y90</f>
        <v>34012.300000000003</v>
      </c>
      <c r="D88" s="442">
        <f>'B) D RI'!Z90</f>
        <v>27496.9</v>
      </c>
      <c r="E88" s="10">
        <f t="shared" si="4"/>
        <v>61509.200000000004</v>
      </c>
      <c r="F88" s="442">
        <f>'B) D RI'!U90</f>
        <v>9755.351210045661</v>
      </c>
      <c r="G88" s="265">
        <f t="shared" si="5"/>
        <v>6.3051753520324674</v>
      </c>
      <c r="H88" s="55">
        <f t="shared" si="6"/>
        <v>25255.22</v>
      </c>
      <c r="I88" s="412">
        <f t="shared" si="7"/>
        <v>2.5888581001566822</v>
      </c>
    </row>
    <row r="89" spans="1:9" x14ac:dyDescent="0.25">
      <c r="A89" s="49">
        <f>'A) Base RI'!A91</f>
        <v>5535</v>
      </c>
      <c r="B89" s="525" t="str">
        <f>'A) Base RI'!B91</f>
        <v>Saint-Barthélemy</v>
      </c>
      <c r="C89" s="10">
        <f>'B) D RI'!Y91</f>
        <v>35190.65</v>
      </c>
      <c r="D89" s="442">
        <f>'B) D RI'!Z91</f>
        <v>44895</v>
      </c>
      <c r="E89" s="10">
        <f t="shared" si="4"/>
        <v>80085.649999999994</v>
      </c>
      <c r="F89" s="442">
        <f>'B) D RI'!U91</f>
        <v>22496.850133333337</v>
      </c>
      <c r="G89" s="265">
        <f t="shared" si="5"/>
        <v>3.5598605816081763</v>
      </c>
      <c r="H89" s="55">
        <f t="shared" si="6"/>
        <v>31063.825000000001</v>
      </c>
      <c r="I89" s="412">
        <f t="shared" si="7"/>
        <v>1.3808077493467883</v>
      </c>
    </row>
    <row r="90" spans="1:9" x14ac:dyDescent="0.25">
      <c r="A90" s="49">
        <f>'A) Base RI'!A92</f>
        <v>5537</v>
      </c>
      <c r="B90" s="525" t="str">
        <f>'A) Base RI'!B92</f>
        <v>Villars-le-Terroir</v>
      </c>
      <c r="C90" s="10">
        <f>'B) D RI'!Y92</f>
        <v>194839.55</v>
      </c>
      <c r="D90" s="442">
        <f>'B) D RI'!Z92</f>
        <v>0</v>
      </c>
      <c r="E90" s="10">
        <f t="shared" si="4"/>
        <v>194839.55</v>
      </c>
      <c r="F90" s="442">
        <f>'B) D RI'!U92</f>
        <v>37963.269999999997</v>
      </c>
      <c r="G90" s="265">
        <f t="shared" si="5"/>
        <v>5.1323173688673291</v>
      </c>
      <c r="H90" s="55">
        <f t="shared" si="6"/>
        <v>97419.774999999994</v>
      </c>
      <c r="I90" s="412">
        <f t="shared" si="7"/>
        <v>2.5661586844336646</v>
      </c>
    </row>
    <row r="91" spans="1:9" x14ac:dyDescent="0.25">
      <c r="A91" s="49">
        <f>'A) Base RI'!A93</f>
        <v>5539</v>
      </c>
      <c r="B91" s="525" t="str">
        <f>'A) Base RI'!B93</f>
        <v>Vuarrens</v>
      </c>
      <c r="C91" s="10">
        <f>'B) D RI'!Y93</f>
        <v>320579.55000000005</v>
      </c>
      <c r="D91" s="442">
        <f>'B) D RI'!Z93</f>
        <v>19878.05</v>
      </c>
      <c r="E91" s="10">
        <f t="shared" si="4"/>
        <v>340457.60000000003</v>
      </c>
      <c r="F91" s="442">
        <f>'B) D RI'!U93</f>
        <v>35961.61534013605</v>
      </c>
      <c r="G91" s="265">
        <f t="shared" si="5"/>
        <v>9.4672499213354868</v>
      </c>
      <c r="H91" s="55">
        <f t="shared" si="6"/>
        <v>166253.19000000003</v>
      </c>
      <c r="I91" s="412">
        <f t="shared" si="7"/>
        <v>4.6230734750796394</v>
      </c>
    </row>
    <row r="92" spans="1:9" x14ac:dyDescent="0.25">
      <c r="A92" s="49">
        <f>'A) Base RI'!A94</f>
        <v>5540</v>
      </c>
      <c r="B92" s="525" t="str">
        <f>'A) Base RI'!B94</f>
        <v>Montilliez</v>
      </c>
      <c r="C92" s="10">
        <f>'B) D RI'!Y94</f>
        <v>196462.9</v>
      </c>
      <c r="D92" s="442">
        <f>'B) D RI'!Z94</f>
        <v>1260.8499999999999</v>
      </c>
      <c r="E92" s="10">
        <f t="shared" si="4"/>
        <v>197723.75</v>
      </c>
      <c r="F92" s="442">
        <f>'B) D RI'!U94</f>
        <v>66256.548551724132</v>
      </c>
      <c r="G92" s="265">
        <f t="shared" si="5"/>
        <v>2.9842144561098607</v>
      </c>
      <c r="H92" s="55">
        <f t="shared" si="6"/>
        <v>98609.705000000002</v>
      </c>
      <c r="I92" s="412">
        <f t="shared" si="7"/>
        <v>1.4883012646367915</v>
      </c>
    </row>
    <row r="93" spans="1:9" x14ac:dyDescent="0.25">
      <c r="A93" s="49">
        <f>'A) Base RI'!A95</f>
        <v>5541</v>
      </c>
      <c r="B93" s="525" t="str">
        <f>'A) Base RI'!B95</f>
        <v>Goumoëns</v>
      </c>
      <c r="C93" s="10">
        <f>'B) D RI'!Y95</f>
        <v>254420.75</v>
      </c>
      <c r="D93" s="442">
        <f>'B) D RI'!Z95</f>
        <v>9196.2999999999993</v>
      </c>
      <c r="E93" s="10">
        <f t="shared" si="4"/>
        <v>263617.05</v>
      </c>
      <c r="F93" s="442">
        <f>'B) D RI'!U95</f>
        <v>36998.611258278142</v>
      </c>
      <c r="G93" s="265">
        <f t="shared" si="5"/>
        <v>7.1250525637233961</v>
      </c>
      <c r="H93" s="55">
        <f t="shared" si="6"/>
        <v>129969.265</v>
      </c>
      <c r="I93" s="412">
        <f t="shared" si="7"/>
        <v>3.5128146862788103</v>
      </c>
    </row>
    <row r="94" spans="1:9" x14ac:dyDescent="0.25">
      <c r="A94" s="49">
        <f>'A) Base RI'!A96</f>
        <v>5551</v>
      </c>
      <c r="B94" s="525" t="str">
        <f>'A) Base RI'!B96</f>
        <v>Bonvillars</v>
      </c>
      <c r="C94" s="10">
        <f>'B) D RI'!Y96</f>
        <v>31482.95</v>
      </c>
      <c r="D94" s="442">
        <f>'B) D RI'!Z96</f>
        <v>30909.3</v>
      </c>
      <c r="E94" s="10">
        <f t="shared" si="4"/>
        <v>62392.25</v>
      </c>
      <c r="F94" s="442">
        <f>'B) D RI'!U96</f>
        <v>19156.634727272725</v>
      </c>
      <c r="G94" s="265">
        <f t="shared" si="5"/>
        <v>3.2569525330654256</v>
      </c>
      <c r="H94" s="55">
        <f t="shared" si="6"/>
        <v>25014.264999999999</v>
      </c>
      <c r="I94" s="412">
        <f t="shared" si="7"/>
        <v>1.3057755370982744</v>
      </c>
    </row>
    <row r="95" spans="1:9" x14ac:dyDescent="0.25">
      <c r="A95" s="49">
        <f>'A) Base RI'!A97</f>
        <v>5552</v>
      </c>
      <c r="B95" s="525" t="str">
        <f>'A) Base RI'!B97</f>
        <v>Bullet</v>
      </c>
      <c r="C95" s="10">
        <f>'B) D RI'!Y97</f>
        <v>104999.54999999999</v>
      </c>
      <c r="D95" s="442">
        <f>'B) D RI'!Z97</f>
        <v>65482.45</v>
      </c>
      <c r="E95" s="10">
        <f t="shared" si="4"/>
        <v>170482</v>
      </c>
      <c r="F95" s="442">
        <f>'B) D RI'!U97</f>
        <v>17556.417482517485</v>
      </c>
      <c r="G95" s="265">
        <f t="shared" si="5"/>
        <v>9.7105232414166718</v>
      </c>
      <c r="H95" s="55">
        <f t="shared" si="6"/>
        <v>72144.509999999995</v>
      </c>
      <c r="I95" s="412">
        <f t="shared" si="7"/>
        <v>4.1092956505415081</v>
      </c>
    </row>
    <row r="96" spans="1:9" x14ac:dyDescent="0.25">
      <c r="A96" s="49">
        <f>'A) Base RI'!A98</f>
        <v>5553</v>
      </c>
      <c r="B96" s="525" t="str">
        <f>'A) Base RI'!B98</f>
        <v>Champagne</v>
      </c>
      <c r="C96" s="10">
        <f>'B) D RI'!Y98</f>
        <v>210287.40000000002</v>
      </c>
      <c r="D96" s="442">
        <f>'B) D RI'!Z98</f>
        <v>172905.8</v>
      </c>
      <c r="E96" s="10">
        <f t="shared" si="4"/>
        <v>383193.2</v>
      </c>
      <c r="F96" s="442">
        <f>'B) D RI'!U98</f>
        <v>38681.377846153839</v>
      </c>
      <c r="G96" s="265">
        <f t="shared" si="5"/>
        <v>9.9063999613473346</v>
      </c>
      <c r="H96" s="55">
        <f t="shared" si="6"/>
        <v>157015.44</v>
      </c>
      <c r="I96" s="412">
        <f t="shared" si="7"/>
        <v>4.0591997685421735</v>
      </c>
    </row>
    <row r="97" spans="1:9" x14ac:dyDescent="0.25">
      <c r="A97" s="49">
        <f>'A) Base RI'!A99</f>
        <v>5554</v>
      </c>
      <c r="B97" s="525" t="str">
        <f>'A) Base RI'!B99</f>
        <v>Concise</v>
      </c>
      <c r="C97" s="10">
        <f>'B) D RI'!Y99</f>
        <v>247756.5</v>
      </c>
      <c r="D97" s="442">
        <f>'B) D RI'!Z99</f>
        <v>2598.0500000000002</v>
      </c>
      <c r="E97" s="10">
        <f t="shared" si="4"/>
        <v>250354.55</v>
      </c>
      <c r="F97" s="442">
        <f>'B) D RI'!U99</f>
        <v>32327.871066666674</v>
      </c>
      <c r="G97" s="265">
        <f t="shared" si="5"/>
        <v>7.7442325071056413</v>
      </c>
      <c r="H97" s="55">
        <f t="shared" si="6"/>
        <v>124657.66499999999</v>
      </c>
      <c r="I97" s="412">
        <f t="shared" si="7"/>
        <v>3.8560431258504595</v>
      </c>
    </row>
    <row r="98" spans="1:9" x14ac:dyDescent="0.25">
      <c r="A98" s="49">
        <f>'A) Base RI'!A100</f>
        <v>5555</v>
      </c>
      <c r="B98" s="525" t="str">
        <f>'A) Base RI'!B100</f>
        <v>Corcelles-près-Concise</v>
      </c>
      <c r="C98" s="10">
        <f>'B) D RI'!Y100</f>
        <v>177223.2</v>
      </c>
      <c r="D98" s="442">
        <f>'B) D RI'!Z100</f>
        <v>8366.85</v>
      </c>
      <c r="E98" s="10">
        <f t="shared" si="4"/>
        <v>185590.05000000002</v>
      </c>
      <c r="F98" s="442">
        <f>'B) D RI'!U100</f>
        <v>13599.529565217395</v>
      </c>
      <c r="G98" s="265">
        <f t="shared" si="5"/>
        <v>13.646799259488448</v>
      </c>
      <c r="H98" s="55">
        <f t="shared" si="6"/>
        <v>91121.654999999999</v>
      </c>
      <c r="I98" s="412">
        <f t="shared" si="7"/>
        <v>6.70035346171501</v>
      </c>
    </row>
    <row r="99" spans="1:9" x14ac:dyDescent="0.25">
      <c r="A99" s="49">
        <f>'A) Base RI'!A101</f>
        <v>5556</v>
      </c>
      <c r="B99" s="525" t="str">
        <f>'A) Base RI'!B101</f>
        <v>Fiez</v>
      </c>
      <c r="C99" s="10">
        <f>'B) D RI'!Y101</f>
        <v>90732.95</v>
      </c>
      <c r="D99" s="442">
        <f>'B) D RI'!Z101</f>
        <v>0</v>
      </c>
      <c r="E99" s="10">
        <f t="shared" si="4"/>
        <v>90732.95</v>
      </c>
      <c r="F99" s="442">
        <f>'B) D RI'!U101</f>
        <v>13816.427753623188</v>
      </c>
      <c r="G99" s="265">
        <f t="shared" si="5"/>
        <v>6.567033940897379</v>
      </c>
      <c r="H99" s="55">
        <f t="shared" si="6"/>
        <v>45366.474999999999</v>
      </c>
      <c r="I99" s="412">
        <f t="shared" si="7"/>
        <v>3.2835169704486895</v>
      </c>
    </row>
    <row r="100" spans="1:9" x14ac:dyDescent="0.25">
      <c r="A100" s="49">
        <f>'A) Base RI'!A102</f>
        <v>5557</v>
      </c>
      <c r="B100" s="525" t="str">
        <f>'A) Base RI'!B102</f>
        <v>Fontaines-sur-Grandson</v>
      </c>
      <c r="C100" s="10">
        <f>'B) D RI'!Y102</f>
        <v>64909.75</v>
      </c>
      <c r="D100" s="442">
        <f>'B) D RI'!Z102</f>
        <v>0</v>
      </c>
      <c r="E100" s="10">
        <f t="shared" si="4"/>
        <v>64909.75</v>
      </c>
      <c r="F100" s="442">
        <f>'B) D RI'!U102</f>
        <v>5880.3275362318818</v>
      </c>
      <c r="G100" s="265">
        <f t="shared" si="5"/>
        <v>11.038458249146137</v>
      </c>
      <c r="H100" s="55">
        <f t="shared" si="6"/>
        <v>32454.875</v>
      </c>
      <c r="I100" s="412">
        <f t="shared" si="7"/>
        <v>5.5192291245730685</v>
      </c>
    </row>
    <row r="101" spans="1:9" x14ac:dyDescent="0.25">
      <c r="A101" s="49">
        <f>'A) Base RI'!A103</f>
        <v>5559</v>
      </c>
      <c r="B101" s="525" t="str">
        <f>'A) Base RI'!B103</f>
        <v>Giez</v>
      </c>
      <c r="C101" s="10">
        <f>'B) D RI'!Y103</f>
        <v>110584.15</v>
      </c>
      <c r="D101" s="442">
        <f>'B) D RI'!Z103</f>
        <v>15752.1</v>
      </c>
      <c r="E101" s="10">
        <f t="shared" si="4"/>
        <v>126336.25</v>
      </c>
      <c r="F101" s="442">
        <f>'B) D RI'!U103</f>
        <v>16897.618636363641</v>
      </c>
      <c r="G101" s="265">
        <f t="shared" si="5"/>
        <v>7.4765712683398267</v>
      </c>
      <c r="H101" s="55">
        <f t="shared" si="6"/>
        <v>60017.704999999994</v>
      </c>
      <c r="I101" s="412">
        <f t="shared" si="7"/>
        <v>3.5518439782302824</v>
      </c>
    </row>
    <row r="102" spans="1:9" x14ac:dyDescent="0.25">
      <c r="A102" s="49">
        <f>'A) Base RI'!A104</f>
        <v>5560</v>
      </c>
      <c r="B102" s="525" t="str">
        <f>'A) Base RI'!B104</f>
        <v>Grandevent</v>
      </c>
      <c r="C102" s="10">
        <f>'B) D RI'!Y104</f>
        <v>28125.5</v>
      </c>
      <c r="D102" s="442">
        <f>'B) D RI'!Z104</f>
        <v>0</v>
      </c>
      <c r="E102" s="10">
        <f t="shared" si="4"/>
        <v>28125.5</v>
      </c>
      <c r="F102" s="442">
        <f>'B) D RI'!U104</f>
        <v>6167.8957352941179</v>
      </c>
      <c r="G102" s="265">
        <f t="shared" si="5"/>
        <v>4.5599830488475055</v>
      </c>
      <c r="H102" s="55">
        <f t="shared" si="6"/>
        <v>14062.75</v>
      </c>
      <c r="I102" s="412">
        <f t="shared" si="7"/>
        <v>2.2799915244237527</v>
      </c>
    </row>
    <row r="103" spans="1:9" x14ac:dyDescent="0.25">
      <c r="A103" s="49">
        <f>'A) Base RI'!A105</f>
        <v>5561</v>
      </c>
      <c r="B103" s="525" t="str">
        <f>'A) Base RI'!B105</f>
        <v>Grandson</v>
      </c>
      <c r="C103" s="10">
        <f>'B) D RI'!Y105</f>
        <v>669236.80000000005</v>
      </c>
      <c r="D103" s="442">
        <f>'B) D RI'!Z105</f>
        <v>401465.1</v>
      </c>
      <c r="E103" s="10">
        <f t="shared" si="4"/>
        <v>1070701.8999999999</v>
      </c>
      <c r="F103" s="442">
        <f>'B) D RI'!U105</f>
        <v>114753.11985507245</v>
      </c>
      <c r="G103" s="265">
        <f t="shared" si="5"/>
        <v>9.3304818322346605</v>
      </c>
      <c r="H103" s="55">
        <f t="shared" si="6"/>
        <v>455057.93</v>
      </c>
      <c r="I103" s="412">
        <f t="shared" si="7"/>
        <v>3.9655386326290367</v>
      </c>
    </row>
    <row r="104" spans="1:9" x14ac:dyDescent="0.25">
      <c r="A104" s="49">
        <f>'A) Base RI'!A106</f>
        <v>5562</v>
      </c>
      <c r="B104" s="525" t="str">
        <f>'A) Base RI'!B106</f>
        <v>Mauborget</v>
      </c>
      <c r="C104" s="10">
        <f>'B) D RI'!Y106</f>
        <v>25385.9</v>
      </c>
      <c r="D104" s="442">
        <f>'B) D RI'!Z106</f>
        <v>0</v>
      </c>
      <c r="E104" s="10">
        <f t="shared" si="4"/>
        <v>25385.9</v>
      </c>
      <c r="F104" s="442">
        <f>'B) D RI'!U106</f>
        <v>6037.1574285714287</v>
      </c>
      <c r="G104" s="265">
        <f t="shared" si="5"/>
        <v>4.2049425247482839</v>
      </c>
      <c r="H104" s="55">
        <f t="shared" si="6"/>
        <v>12692.95</v>
      </c>
      <c r="I104" s="412">
        <f t="shared" si="7"/>
        <v>2.1024712623741419</v>
      </c>
    </row>
    <row r="105" spans="1:9" x14ac:dyDescent="0.25">
      <c r="A105" s="49">
        <f>'A) Base RI'!A107</f>
        <v>5563</v>
      </c>
      <c r="B105" s="525" t="str">
        <f>'A) Base RI'!B107</f>
        <v>Mutrux</v>
      </c>
      <c r="C105" s="10">
        <f>'B) D RI'!Y107</f>
        <v>23627.95</v>
      </c>
      <c r="D105" s="442">
        <f>'B) D RI'!Z107</f>
        <v>0</v>
      </c>
      <c r="E105" s="10">
        <f t="shared" si="4"/>
        <v>23627.95</v>
      </c>
      <c r="F105" s="442">
        <f>'B) D RI'!U107</f>
        <v>4073.5824999999995</v>
      </c>
      <c r="G105" s="265">
        <f t="shared" si="5"/>
        <v>5.8002875846997091</v>
      </c>
      <c r="H105" s="55">
        <f t="shared" si="6"/>
        <v>11813.975</v>
      </c>
      <c r="I105" s="412">
        <f t="shared" si="7"/>
        <v>2.9001437923498545</v>
      </c>
    </row>
    <row r="106" spans="1:9" x14ac:dyDescent="0.25">
      <c r="A106" s="49">
        <f>'A) Base RI'!A108</f>
        <v>5564</v>
      </c>
      <c r="B106" s="525" t="str">
        <f>'A) Base RI'!B108</f>
        <v>Novalles</v>
      </c>
      <c r="C106" s="10">
        <f>'B) D RI'!Y108</f>
        <v>26843.3</v>
      </c>
      <c r="D106" s="442">
        <f>'B) D RI'!Z108</f>
        <v>0</v>
      </c>
      <c r="E106" s="10">
        <f t="shared" si="4"/>
        <v>26843.3</v>
      </c>
      <c r="F106" s="442">
        <f>'B) D RI'!U108</f>
        <v>2091.5044407894734</v>
      </c>
      <c r="G106" s="265">
        <f t="shared" si="5"/>
        <v>12.834445615552958</v>
      </c>
      <c r="H106" s="55">
        <f t="shared" si="6"/>
        <v>13421.65</v>
      </c>
      <c r="I106" s="412">
        <f t="shared" si="7"/>
        <v>6.4172228077764792</v>
      </c>
    </row>
    <row r="107" spans="1:9" x14ac:dyDescent="0.25">
      <c r="A107" s="49">
        <f>'A) Base RI'!A109</f>
        <v>5565</v>
      </c>
      <c r="B107" s="525" t="str">
        <f>'A) Base RI'!B109</f>
        <v>Onnens</v>
      </c>
      <c r="C107" s="10">
        <f>'B) D RI'!Y109</f>
        <v>41123.800000000003</v>
      </c>
      <c r="D107" s="442">
        <f>'B) D RI'!Z109</f>
        <v>40728.550000000003</v>
      </c>
      <c r="E107" s="10">
        <f t="shared" si="4"/>
        <v>81852.350000000006</v>
      </c>
      <c r="F107" s="442">
        <f>'B) D RI'!U109</f>
        <v>19690.582047244097</v>
      </c>
      <c r="G107" s="265">
        <f t="shared" si="5"/>
        <v>4.156928921837336</v>
      </c>
      <c r="H107" s="55">
        <f t="shared" si="6"/>
        <v>32780.465000000004</v>
      </c>
      <c r="I107" s="412">
        <f t="shared" si="7"/>
        <v>1.6647788735421345</v>
      </c>
    </row>
    <row r="108" spans="1:9" x14ac:dyDescent="0.25">
      <c r="A108" s="49">
        <f>'A) Base RI'!A110</f>
        <v>5566</v>
      </c>
      <c r="B108" s="525" t="str">
        <f>'A) Base RI'!B110</f>
        <v>Provence</v>
      </c>
      <c r="C108" s="10">
        <f>'B) D RI'!Y110</f>
        <v>138258.65</v>
      </c>
      <c r="D108" s="442">
        <f>'B) D RI'!Z110</f>
        <v>28034.799999999999</v>
      </c>
      <c r="E108" s="10">
        <f t="shared" si="4"/>
        <v>166293.44999999998</v>
      </c>
      <c r="F108" s="442">
        <f>'B) D RI'!U110</f>
        <v>7598.735102880657</v>
      </c>
      <c r="G108" s="265">
        <f t="shared" si="5"/>
        <v>21.884359403048364</v>
      </c>
      <c r="H108" s="55">
        <f t="shared" si="6"/>
        <v>77539.764999999999</v>
      </c>
      <c r="I108" s="412">
        <f t="shared" si="7"/>
        <v>10.204298998474748</v>
      </c>
    </row>
    <row r="109" spans="1:9" x14ac:dyDescent="0.25">
      <c r="A109" s="49">
        <f>'A) Base RI'!A111</f>
        <v>5568</v>
      </c>
      <c r="B109" s="525" t="str">
        <f>'A) Base RI'!B111</f>
        <v>Sainte-Croix</v>
      </c>
      <c r="C109" s="10">
        <f>'B) D RI'!Y111</f>
        <v>946266.35</v>
      </c>
      <c r="D109" s="442">
        <f>'B) D RI'!Z111</f>
        <v>1941083.25</v>
      </c>
      <c r="E109" s="10">
        <f t="shared" si="4"/>
        <v>2887349.6</v>
      </c>
      <c r="F109" s="442">
        <f>'B) D RI'!U111</f>
        <v>106515.47628571428</v>
      </c>
      <c r="G109" s="265">
        <f t="shared" si="5"/>
        <v>27.107324688245775</v>
      </c>
      <c r="H109" s="55">
        <f t="shared" si="6"/>
        <v>1055458.1499999999</v>
      </c>
      <c r="I109" s="412">
        <f t="shared" si="7"/>
        <v>9.9089652208742613</v>
      </c>
    </row>
    <row r="110" spans="1:9" x14ac:dyDescent="0.25">
      <c r="A110" s="49">
        <f>'A) Base RI'!A112</f>
        <v>5571</v>
      </c>
      <c r="B110" s="525" t="str">
        <f>'A) Base RI'!B112</f>
        <v>Tévenon</v>
      </c>
      <c r="C110" s="10">
        <f>'B) D RI'!Y112</f>
        <v>124212.45000000001</v>
      </c>
      <c r="D110" s="442">
        <f>'B) D RI'!Z112</f>
        <v>43934.400000000001</v>
      </c>
      <c r="E110" s="10">
        <f t="shared" si="4"/>
        <v>168146.85</v>
      </c>
      <c r="F110" s="442">
        <f>'B) D RI'!U112</f>
        <v>21380.087226107229</v>
      </c>
      <c r="G110" s="265">
        <f t="shared" si="5"/>
        <v>7.8646475209266615</v>
      </c>
      <c r="H110" s="55">
        <f t="shared" si="6"/>
        <v>75286.545000000013</v>
      </c>
      <c r="I110" s="412">
        <f t="shared" si="7"/>
        <v>3.5213394690021467</v>
      </c>
    </row>
    <row r="111" spans="1:9" x14ac:dyDescent="0.25">
      <c r="A111" s="49">
        <f>'A) Base RI'!A113</f>
        <v>5581</v>
      </c>
      <c r="B111" s="525" t="str">
        <f>'A) Base RI'!B113</f>
        <v>Belmont-sur-Lausanne</v>
      </c>
      <c r="C111" s="10">
        <f>'B) D RI'!Y113</f>
        <v>1626396</v>
      </c>
      <c r="D111" s="442">
        <f>'B) D RI'!Z113</f>
        <v>6504.65</v>
      </c>
      <c r="E111" s="10">
        <f t="shared" si="4"/>
        <v>1632900.65</v>
      </c>
      <c r="F111" s="442">
        <f>'B) D RI'!U113</f>
        <v>212445.65069444443</v>
      </c>
      <c r="G111" s="265">
        <f t="shared" si="5"/>
        <v>7.6862041875762497</v>
      </c>
      <c r="H111" s="55">
        <f t="shared" si="6"/>
        <v>815149.39500000002</v>
      </c>
      <c r="I111" s="412">
        <f t="shared" si="7"/>
        <v>3.8369785040806046</v>
      </c>
    </row>
    <row r="112" spans="1:9" x14ac:dyDescent="0.25">
      <c r="A112" s="49">
        <f>'A) Base RI'!A114</f>
        <v>5582</v>
      </c>
      <c r="B112" s="525" t="str">
        <f>'A) Base RI'!B114</f>
        <v>Cheseaux-sur-Lausanne</v>
      </c>
      <c r="C112" s="10">
        <f>'B) D RI'!Y114</f>
        <v>598060.64999999991</v>
      </c>
      <c r="D112" s="442">
        <f>'B) D RI'!Z114</f>
        <v>472098.15</v>
      </c>
      <c r="E112" s="10">
        <f t="shared" si="4"/>
        <v>1070158.7999999998</v>
      </c>
      <c r="F112" s="442">
        <f>'B) D RI'!U114</f>
        <v>163780.29383561644</v>
      </c>
      <c r="G112" s="265">
        <f t="shared" si="5"/>
        <v>6.5341121018753361</v>
      </c>
      <c r="H112" s="55">
        <f t="shared" si="6"/>
        <v>440659.76999999996</v>
      </c>
      <c r="I112" s="412">
        <f t="shared" si="7"/>
        <v>2.6905542765864303</v>
      </c>
    </row>
    <row r="113" spans="1:9" x14ac:dyDescent="0.25">
      <c r="A113" s="49">
        <f>'A) Base RI'!A115</f>
        <v>5583</v>
      </c>
      <c r="B113" s="525" t="str">
        <f>'A) Base RI'!B115</f>
        <v>Crissier</v>
      </c>
      <c r="C113" s="10">
        <f>'B) D RI'!Y115</f>
        <v>1510709.15</v>
      </c>
      <c r="D113" s="442">
        <f>'B) D RI'!Z115</f>
        <v>2295455.25</v>
      </c>
      <c r="E113" s="10">
        <f t="shared" si="4"/>
        <v>3806164.4</v>
      </c>
      <c r="F113" s="442">
        <f>'B) D RI'!U115</f>
        <v>368095.30976377946</v>
      </c>
      <c r="G113" s="265">
        <f t="shared" si="5"/>
        <v>10.340160004870908</v>
      </c>
      <c r="H113" s="55">
        <f t="shared" si="6"/>
        <v>1443991.15</v>
      </c>
      <c r="I113" s="412">
        <f t="shared" si="7"/>
        <v>3.9228729942977623</v>
      </c>
    </row>
    <row r="114" spans="1:9" x14ac:dyDescent="0.25">
      <c r="A114" s="49">
        <f>'A) Base RI'!A116</f>
        <v>5584</v>
      </c>
      <c r="B114" s="525" t="str">
        <f>'A) Base RI'!B116</f>
        <v>Epalinges</v>
      </c>
      <c r="C114" s="10">
        <f>'B) D RI'!Y116</f>
        <v>3540319.8</v>
      </c>
      <c r="D114" s="442">
        <f>'B) D RI'!Z116</f>
        <v>308569.90000000002</v>
      </c>
      <c r="E114" s="10">
        <f t="shared" si="4"/>
        <v>3848889.6999999997</v>
      </c>
      <c r="F114" s="442">
        <f>'B) D RI'!U116</f>
        <v>482115.91751937981</v>
      </c>
      <c r="G114" s="265">
        <f t="shared" si="5"/>
        <v>7.9833284074162192</v>
      </c>
      <c r="H114" s="55">
        <f t="shared" si="6"/>
        <v>1862730.8699999999</v>
      </c>
      <c r="I114" s="412">
        <f t="shared" si="7"/>
        <v>3.8636576854468259</v>
      </c>
    </row>
    <row r="115" spans="1:9" x14ac:dyDescent="0.25">
      <c r="A115" s="49">
        <f>'A) Base RI'!A117</f>
        <v>5585</v>
      </c>
      <c r="B115" s="525" t="str">
        <f>'A) Base RI'!B117</f>
        <v>Jouxtens-Mézery</v>
      </c>
      <c r="C115" s="10">
        <f>'B) D RI'!Y117</f>
        <v>1096542.5</v>
      </c>
      <c r="D115" s="442">
        <f>'B) D RI'!Z117</f>
        <v>1302.3</v>
      </c>
      <c r="E115" s="10">
        <f t="shared" si="4"/>
        <v>1097844.8</v>
      </c>
      <c r="F115" s="442">
        <f>'B) D RI'!U117</f>
        <v>202487.97135593221</v>
      </c>
      <c r="G115" s="265">
        <f t="shared" si="5"/>
        <v>5.4217778599313178</v>
      </c>
      <c r="H115" s="55">
        <f t="shared" si="6"/>
        <v>548661.93999999994</v>
      </c>
      <c r="I115" s="412">
        <f t="shared" si="7"/>
        <v>2.7096026313363826</v>
      </c>
    </row>
    <row r="116" spans="1:9" x14ac:dyDescent="0.25">
      <c r="A116" s="49">
        <f>'A) Base RI'!A118</f>
        <v>5586</v>
      </c>
      <c r="B116" s="525" t="str">
        <f>'A) Base RI'!B118</f>
        <v>Lausanne</v>
      </c>
      <c r="C116" s="10">
        <f>'B) D RI'!Y118</f>
        <v>36956896.050000004</v>
      </c>
      <c r="D116" s="442">
        <f>'B) D RI'!Z118</f>
        <v>13812872.5</v>
      </c>
      <c r="E116" s="10">
        <f t="shared" si="4"/>
        <v>50769768.550000004</v>
      </c>
      <c r="F116" s="442">
        <f>'B) D RI'!U118</f>
        <v>6272364.2800849257</v>
      </c>
      <c r="G116" s="265">
        <f t="shared" si="5"/>
        <v>8.0941996164343628</v>
      </c>
      <c r="H116" s="55">
        <f t="shared" si="6"/>
        <v>22622309.775000002</v>
      </c>
      <c r="I116" s="412">
        <f t="shared" si="7"/>
        <v>3.606663893362664</v>
      </c>
    </row>
    <row r="117" spans="1:9" x14ac:dyDescent="0.25">
      <c r="A117" s="49">
        <f>'A) Base RI'!A119</f>
        <v>5587</v>
      </c>
      <c r="B117" s="525" t="str">
        <f>'A) Base RI'!B119</f>
        <v>Le Mont-sur-Lausanne</v>
      </c>
      <c r="C117" s="10">
        <f>'B) D RI'!Y119</f>
        <v>3171298.4000000004</v>
      </c>
      <c r="D117" s="442">
        <f>'B) D RI'!Z119</f>
        <v>522589.6</v>
      </c>
      <c r="E117" s="10">
        <f t="shared" si="4"/>
        <v>3693888.0000000005</v>
      </c>
      <c r="F117" s="442">
        <f>'B) D RI'!U119</f>
        <v>442860.74013605446</v>
      </c>
      <c r="G117" s="265">
        <f t="shared" si="5"/>
        <v>8.3409696665935531</v>
      </c>
      <c r="H117" s="55">
        <f t="shared" si="6"/>
        <v>1742426.08</v>
      </c>
      <c r="I117" s="412">
        <f t="shared" si="7"/>
        <v>3.9344785438977876</v>
      </c>
    </row>
    <row r="118" spans="1:9" x14ac:dyDescent="0.25">
      <c r="A118" s="49">
        <f>'A) Base RI'!A120</f>
        <v>5588</v>
      </c>
      <c r="B118" s="525" t="str">
        <f>'A) Base RI'!B120</f>
        <v>Paudex</v>
      </c>
      <c r="C118" s="10">
        <f>'B) D RI'!Y120</f>
        <v>534955.15</v>
      </c>
      <c r="D118" s="442">
        <f>'B) D RI'!Z120</f>
        <v>18272.150000000001</v>
      </c>
      <c r="E118" s="10">
        <f t="shared" si="4"/>
        <v>553227.30000000005</v>
      </c>
      <c r="F118" s="442">
        <f>'B) D RI'!U120</f>
        <v>135448.58760472611</v>
      </c>
      <c r="G118" s="265">
        <f t="shared" si="5"/>
        <v>4.084408038380289</v>
      </c>
      <c r="H118" s="55">
        <f t="shared" si="6"/>
        <v>272959.22000000003</v>
      </c>
      <c r="I118" s="412">
        <f t="shared" si="7"/>
        <v>2.015223819066799</v>
      </c>
    </row>
    <row r="119" spans="1:9" x14ac:dyDescent="0.25">
      <c r="A119" s="49">
        <f>'A) Base RI'!A121</f>
        <v>5589</v>
      </c>
      <c r="B119" s="525" t="str">
        <f>'A) Base RI'!B121</f>
        <v>Prilly</v>
      </c>
      <c r="C119" s="10">
        <f>'B) D RI'!Y121</f>
        <v>1942903.1</v>
      </c>
      <c r="D119" s="442">
        <f>'B) D RI'!Z121</f>
        <v>1167452.6499999999</v>
      </c>
      <c r="E119" s="10">
        <f t="shared" si="4"/>
        <v>3110355.75</v>
      </c>
      <c r="F119" s="442">
        <f>'B) D RI'!U121</f>
        <v>455017.22467904515</v>
      </c>
      <c r="G119" s="265">
        <f t="shared" si="5"/>
        <v>6.8356879285041288</v>
      </c>
      <c r="H119" s="55">
        <f t="shared" si="6"/>
        <v>1321687.345</v>
      </c>
      <c r="I119" s="412">
        <f t="shared" si="7"/>
        <v>2.9046973901532556</v>
      </c>
    </row>
    <row r="120" spans="1:9" x14ac:dyDescent="0.25">
      <c r="A120" s="49">
        <f>'A) Base RI'!A122</f>
        <v>5590</v>
      </c>
      <c r="B120" s="525" t="str">
        <f>'A) Base RI'!B122</f>
        <v>Pully</v>
      </c>
      <c r="C120" s="10">
        <f>'B) D RI'!Y122</f>
        <v>8959892.6999999993</v>
      </c>
      <c r="D120" s="442">
        <f>'B) D RI'!Z122</f>
        <v>153086.15</v>
      </c>
      <c r="E120" s="10">
        <f t="shared" si="4"/>
        <v>9112978.8499999996</v>
      </c>
      <c r="F120" s="442">
        <f>'B) D RI'!U122</f>
        <v>1478979.5848477751</v>
      </c>
      <c r="G120" s="265">
        <f t="shared" si="5"/>
        <v>6.1616664241771524</v>
      </c>
      <c r="H120" s="55">
        <f t="shared" si="6"/>
        <v>4525872.1949999994</v>
      </c>
      <c r="I120" s="412">
        <f t="shared" si="7"/>
        <v>3.0601316214015406</v>
      </c>
    </row>
    <row r="121" spans="1:9" x14ac:dyDescent="0.25">
      <c r="A121" s="49">
        <f>'A) Base RI'!A123</f>
        <v>5591</v>
      </c>
      <c r="B121" s="525" t="str">
        <f>'A) Base RI'!B123</f>
        <v>Renens</v>
      </c>
      <c r="C121" s="10">
        <f>'B) D RI'!Y123</f>
        <v>4388619.6500000004</v>
      </c>
      <c r="D121" s="442">
        <f>'B) D RI'!Z123</f>
        <v>2364789</v>
      </c>
      <c r="E121" s="10">
        <f t="shared" si="4"/>
        <v>6753408.6500000004</v>
      </c>
      <c r="F121" s="442">
        <f>'B) D RI'!U123</f>
        <v>596748.60283858993</v>
      </c>
      <c r="G121" s="265">
        <f t="shared" si="5"/>
        <v>11.317007895578902</v>
      </c>
      <c r="H121" s="55">
        <f t="shared" si="6"/>
        <v>2903746.5250000004</v>
      </c>
      <c r="I121" s="412">
        <f t="shared" si="7"/>
        <v>4.8659460804559487</v>
      </c>
    </row>
    <row r="122" spans="1:9" x14ac:dyDescent="0.25">
      <c r="A122" s="49">
        <f>'A) Base RI'!A124</f>
        <v>5592</v>
      </c>
      <c r="B122" s="525" t="str">
        <f>'A) Base RI'!B124</f>
        <v>Romanel-sur-Lausanne</v>
      </c>
      <c r="C122" s="10">
        <f>'B) D RI'!Y124</f>
        <v>413798.40000000002</v>
      </c>
      <c r="D122" s="442">
        <f>'B) D RI'!Z124</f>
        <v>220475.4</v>
      </c>
      <c r="E122" s="10">
        <f t="shared" si="4"/>
        <v>634273.80000000005</v>
      </c>
      <c r="F122" s="442">
        <f>'B) D RI'!U124</f>
        <v>121292.24695035459</v>
      </c>
      <c r="G122" s="265">
        <f t="shared" si="5"/>
        <v>5.2293020860567525</v>
      </c>
      <c r="H122" s="55">
        <f t="shared" si="6"/>
        <v>273041.82</v>
      </c>
      <c r="I122" s="412">
        <f t="shared" si="7"/>
        <v>2.2511069492492553</v>
      </c>
    </row>
    <row r="123" spans="1:9" x14ac:dyDescent="0.25">
      <c r="A123" s="49">
        <f>'A) Base RI'!A125</f>
        <v>5601</v>
      </c>
      <c r="B123" s="525" t="str">
        <f>'A) Base RI'!B125</f>
        <v>Chexbres</v>
      </c>
      <c r="C123" s="10">
        <f>'B) D RI'!Y125</f>
        <v>1664855.35</v>
      </c>
      <c r="D123" s="442">
        <f>'B) D RI'!Z125</f>
        <v>47732.35</v>
      </c>
      <c r="E123" s="10">
        <f t="shared" si="4"/>
        <v>1712587.7000000002</v>
      </c>
      <c r="F123" s="442">
        <f>'B) D RI'!U125</f>
        <v>98072.029481481484</v>
      </c>
      <c r="G123" s="265">
        <f t="shared" si="5"/>
        <v>17.462549812160059</v>
      </c>
      <c r="H123" s="55">
        <f t="shared" si="6"/>
        <v>846747.38</v>
      </c>
      <c r="I123" s="412">
        <f t="shared" si="7"/>
        <v>8.6339334923204341</v>
      </c>
    </row>
    <row r="124" spans="1:9" x14ac:dyDescent="0.25">
      <c r="A124" s="49">
        <f>'A) Base RI'!A126</f>
        <v>5604</v>
      </c>
      <c r="B124" s="525" t="str">
        <f>'A) Base RI'!B126</f>
        <v>Forel (Lavaux)</v>
      </c>
      <c r="C124" s="10">
        <f>'B) D RI'!Y126</f>
        <v>314505.45</v>
      </c>
      <c r="D124" s="442">
        <f>'B) D RI'!Z126</f>
        <v>105948.3</v>
      </c>
      <c r="E124" s="10">
        <f t="shared" si="4"/>
        <v>420453.75</v>
      </c>
      <c r="F124" s="442">
        <f>'B) D RI'!U126</f>
        <v>71309.914782608685</v>
      </c>
      <c r="G124" s="265">
        <f t="shared" si="5"/>
        <v>5.896147138609984</v>
      </c>
      <c r="H124" s="55">
        <f t="shared" si="6"/>
        <v>189037.215</v>
      </c>
      <c r="I124" s="412">
        <f t="shared" si="7"/>
        <v>2.6509247076831883</v>
      </c>
    </row>
    <row r="125" spans="1:9" x14ac:dyDescent="0.25">
      <c r="A125" s="49">
        <f>'A) Base RI'!A127</f>
        <v>5606</v>
      </c>
      <c r="B125" s="525" t="str">
        <f>'A) Base RI'!B127</f>
        <v>Lutry</v>
      </c>
      <c r="C125" s="10">
        <f>'B) D RI'!Y127</f>
        <v>5531489.3499999996</v>
      </c>
      <c r="D125" s="442">
        <f>'B) D RI'!Z127</f>
        <v>149368.25</v>
      </c>
      <c r="E125" s="10">
        <f t="shared" si="4"/>
        <v>5680857.5999999996</v>
      </c>
      <c r="F125" s="442">
        <f>'B) D RI'!U127</f>
        <v>875230.37264550268</v>
      </c>
      <c r="G125" s="265">
        <f t="shared" si="5"/>
        <v>6.4906997946481635</v>
      </c>
      <c r="H125" s="55">
        <f t="shared" si="6"/>
        <v>2810555.15</v>
      </c>
      <c r="I125" s="412">
        <f t="shared" si="7"/>
        <v>3.2112175695008336</v>
      </c>
    </row>
    <row r="126" spans="1:9" x14ac:dyDescent="0.25">
      <c r="A126" s="49">
        <f>'A) Base RI'!A128</f>
        <v>5607</v>
      </c>
      <c r="B126" s="525" t="str">
        <f>'A) Base RI'!B128</f>
        <v>Puidoux</v>
      </c>
      <c r="C126" s="10">
        <f>'B) D RI'!Y128</f>
        <v>1146275</v>
      </c>
      <c r="D126" s="442">
        <f>'B) D RI'!Z128</f>
        <v>241469.15</v>
      </c>
      <c r="E126" s="10">
        <f t="shared" si="4"/>
        <v>1387744.15</v>
      </c>
      <c r="F126" s="442">
        <f>'B) D RI'!U128</f>
        <v>102944.97501110758</v>
      </c>
      <c r="G126" s="265">
        <f t="shared" si="5"/>
        <v>13.480445741526138</v>
      </c>
      <c r="H126" s="55">
        <f t="shared" si="6"/>
        <v>645578.245</v>
      </c>
      <c r="I126" s="412">
        <f t="shared" si="7"/>
        <v>6.2711001185861015</v>
      </c>
    </row>
    <row r="127" spans="1:9" x14ac:dyDescent="0.25">
      <c r="A127" s="49">
        <f>'A) Base RI'!A129</f>
        <v>5609</v>
      </c>
      <c r="B127" s="525" t="str">
        <f>'A) Base RI'!B129</f>
        <v>Rivaz</v>
      </c>
      <c r="C127" s="10">
        <f>'B) D RI'!Y129</f>
        <v>65444.15</v>
      </c>
      <c r="D127" s="442">
        <f>'B) D RI'!Z129</f>
        <v>0</v>
      </c>
      <c r="E127" s="10">
        <f t="shared" si="4"/>
        <v>65444.15</v>
      </c>
      <c r="F127" s="442">
        <f>'B) D RI'!U129</f>
        <v>16048.850483870969</v>
      </c>
      <c r="G127" s="265">
        <f t="shared" si="5"/>
        <v>4.0778091904944294</v>
      </c>
      <c r="H127" s="55">
        <f t="shared" si="6"/>
        <v>32722.075000000001</v>
      </c>
      <c r="I127" s="412">
        <f t="shared" si="7"/>
        <v>2.0389045952472147</v>
      </c>
    </row>
    <row r="128" spans="1:9" x14ac:dyDescent="0.25">
      <c r="A128" s="49">
        <f>'A) Base RI'!A130</f>
        <v>5610</v>
      </c>
      <c r="B128" s="525" t="str">
        <f>'A) Base RI'!B130</f>
        <v>St-Saphorin (Lavaux)</v>
      </c>
      <c r="C128" s="10">
        <f>'B) D RI'!Y130</f>
        <v>126757.29999999999</v>
      </c>
      <c r="D128" s="442">
        <f>'B) D RI'!Z130</f>
        <v>1817.85</v>
      </c>
      <c r="E128" s="10">
        <f t="shared" si="4"/>
        <v>128575.15</v>
      </c>
      <c r="F128" s="442">
        <f>'B) D RI'!U130</f>
        <v>19213.723703703701</v>
      </c>
      <c r="G128" s="265">
        <f t="shared" si="5"/>
        <v>6.6918392281874759</v>
      </c>
      <c r="H128" s="55">
        <f t="shared" si="6"/>
        <v>63924.004999999997</v>
      </c>
      <c r="I128" s="412">
        <f t="shared" si="7"/>
        <v>3.3269972018842862</v>
      </c>
    </row>
    <row r="129" spans="1:9" x14ac:dyDescent="0.25">
      <c r="A129" s="49">
        <f>'A) Base RI'!A131</f>
        <v>5611</v>
      </c>
      <c r="B129" s="525" t="str">
        <f>'A) Base RI'!B131</f>
        <v>Savigny</v>
      </c>
      <c r="C129" s="10">
        <f>'B) D RI'!Y131</f>
        <v>988792.60000000009</v>
      </c>
      <c r="D129" s="442">
        <f>'B) D RI'!Z131</f>
        <v>108590.3</v>
      </c>
      <c r="E129" s="10">
        <f t="shared" si="4"/>
        <v>1097382.9000000001</v>
      </c>
      <c r="F129" s="442">
        <f>'B) D RI'!U131</f>
        <v>136715.33886473431</v>
      </c>
      <c r="G129" s="265">
        <f t="shared" si="5"/>
        <v>8.0267723366852568</v>
      </c>
      <c r="H129" s="55">
        <f t="shared" si="6"/>
        <v>526973.39</v>
      </c>
      <c r="I129" s="412">
        <f t="shared" si="7"/>
        <v>3.8545301088810939</v>
      </c>
    </row>
    <row r="130" spans="1:9" x14ac:dyDescent="0.25">
      <c r="A130" s="49">
        <f>'A) Base RI'!A132</f>
        <v>5613</v>
      </c>
      <c r="B130" s="525" t="str">
        <f>'A) Base RI'!B132</f>
        <v>Bourg-en-Lavaux</v>
      </c>
      <c r="C130" s="10">
        <f>'B) D RI'!Y132</f>
        <v>1691717.6</v>
      </c>
      <c r="D130" s="442">
        <f>'B) D RI'!Z132</f>
        <v>31370.7</v>
      </c>
      <c r="E130" s="10">
        <f t="shared" si="4"/>
        <v>1723088.3</v>
      </c>
      <c r="F130" s="442">
        <f>'B) D RI'!U132</f>
        <v>343828.17631999997</v>
      </c>
      <c r="G130" s="265">
        <f t="shared" si="5"/>
        <v>5.0114807879978001</v>
      </c>
      <c r="H130" s="55">
        <f t="shared" si="6"/>
        <v>855270.01</v>
      </c>
      <c r="I130" s="412">
        <f t="shared" si="7"/>
        <v>2.4874925003354074</v>
      </c>
    </row>
    <row r="131" spans="1:9" x14ac:dyDescent="0.25">
      <c r="A131" s="49">
        <f>'A) Base RI'!A133</f>
        <v>5621</v>
      </c>
      <c r="B131" s="525" t="str">
        <f>'A) Base RI'!B133</f>
        <v>Aclens</v>
      </c>
      <c r="C131" s="10">
        <f>'B) D RI'!Y133</f>
        <v>116705.60000000001</v>
      </c>
      <c r="D131" s="442">
        <f>'B) D RI'!Z133</f>
        <v>292461.5</v>
      </c>
      <c r="E131" s="10">
        <f t="shared" si="4"/>
        <v>409167.1</v>
      </c>
      <c r="F131" s="442">
        <f>'B) D RI'!U133</f>
        <v>32411.912521994131</v>
      </c>
      <c r="G131" s="265">
        <f t="shared" si="5"/>
        <v>12.623972736022495</v>
      </c>
      <c r="H131" s="55">
        <f t="shared" si="6"/>
        <v>146091.25</v>
      </c>
      <c r="I131" s="412">
        <f t="shared" si="7"/>
        <v>4.5073319848332041</v>
      </c>
    </row>
    <row r="132" spans="1:9" x14ac:dyDescent="0.25">
      <c r="A132" s="49">
        <f>'A) Base RI'!A134</f>
        <v>5622</v>
      </c>
      <c r="B132" s="525" t="str">
        <f>'A) Base RI'!B134</f>
        <v>Bremblens</v>
      </c>
      <c r="C132" s="10">
        <f>'B) D RI'!Y134</f>
        <v>94102.15</v>
      </c>
      <c r="D132" s="442">
        <f>'B) D RI'!Z134</f>
        <v>26810.25</v>
      </c>
      <c r="E132" s="10">
        <f t="shared" si="4"/>
        <v>120912.4</v>
      </c>
      <c r="F132" s="442">
        <f>'B) D RI'!U134</f>
        <v>27803.201911764703</v>
      </c>
      <c r="G132" s="265">
        <f t="shared" si="5"/>
        <v>4.3488660185155465</v>
      </c>
      <c r="H132" s="55">
        <f t="shared" si="6"/>
        <v>55094.149999999994</v>
      </c>
      <c r="I132" s="412">
        <f t="shared" si="7"/>
        <v>1.9815757255169717</v>
      </c>
    </row>
    <row r="133" spans="1:9" x14ac:dyDescent="0.25">
      <c r="A133" s="49">
        <f>'A) Base RI'!A135</f>
        <v>5623</v>
      </c>
      <c r="B133" s="525" t="str">
        <f>'A) Base RI'!B135</f>
        <v>Buchillon</v>
      </c>
      <c r="C133" s="10">
        <f>'B) D RI'!Y135</f>
        <v>248933.8</v>
      </c>
      <c r="D133" s="442">
        <f>'B) D RI'!Z135</f>
        <v>2588.25</v>
      </c>
      <c r="E133" s="10">
        <f t="shared" si="4"/>
        <v>251522.05</v>
      </c>
      <c r="F133" s="442">
        <f>'B) D RI'!U135</f>
        <v>94394.012307692305</v>
      </c>
      <c r="G133" s="265">
        <f t="shared" si="5"/>
        <v>2.6645975083686859</v>
      </c>
      <c r="H133" s="55">
        <f t="shared" si="6"/>
        <v>125243.375</v>
      </c>
      <c r="I133" s="412">
        <f t="shared" si="7"/>
        <v>1.3268148258360848</v>
      </c>
    </row>
    <row r="134" spans="1:9" x14ac:dyDescent="0.25">
      <c r="A134" s="49">
        <f>'A) Base RI'!A136</f>
        <v>5624</v>
      </c>
      <c r="B134" s="525" t="str">
        <f>'A) Base RI'!B136</f>
        <v>Bussigny</v>
      </c>
      <c r="C134" s="10">
        <f>'B) D RI'!Y136</f>
        <v>2760064.8499999996</v>
      </c>
      <c r="D134" s="442">
        <f>'B) D RI'!Z136</f>
        <v>1067420.95</v>
      </c>
      <c r="E134" s="10">
        <f t="shared" ref="E134:E197" si="8">C134+D134</f>
        <v>3827485.8</v>
      </c>
      <c r="F134" s="442">
        <f>'B) D RI'!U136</f>
        <v>351876.09247999993</v>
      </c>
      <c r="G134" s="265">
        <f t="shared" ref="G134:G197" si="9">E134/F134</f>
        <v>10.877368146906848</v>
      </c>
      <c r="H134" s="55">
        <f t="shared" ref="H134:H197" si="10">(C134*$C$4)+(D134*$D$4)</f>
        <v>1700258.7099999997</v>
      </c>
      <c r="I134" s="412">
        <f t="shared" ref="I134:I197" si="11">H134/F134</f>
        <v>4.8319813318850002</v>
      </c>
    </row>
    <row r="135" spans="1:9" x14ac:dyDescent="0.25">
      <c r="A135" s="49">
        <f>'A) Base RI'!A137</f>
        <v>5625</v>
      </c>
      <c r="B135" s="525" t="str">
        <f>'A) Base RI'!B137</f>
        <v>Bussy-Chardonney</v>
      </c>
      <c r="C135" s="10">
        <f>'B) D RI'!Y137</f>
        <v>188234.15000000002</v>
      </c>
      <c r="D135" s="442">
        <f>'B) D RI'!Z137</f>
        <v>0</v>
      </c>
      <c r="E135" s="10">
        <f t="shared" si="8"/>
        <v>188234.15000000002</v>
      </c>
      <c r="F135" s="442">
        <f>'B) D RI'!U137</f>
        <v>17740.486103896103</v>
      </c>
      <c r="G135" s="265">
        <f t="shared" si="9"/>
        <v>10.610427972357574</v>
      </c>
      <c r="H135" s="55">
        <f t="shared" si="10"/>
        <v>94117.075000000012</v>
      </c>
      <c r="I135" s="412">
        <f t="shared" si="11"/>
        <v>5.3052139861787868</v>
      </c>
    </row>
    <row r="136" spans="1:9" x14ac:dyDescent="0.25">
      <c r="A136" s="49">
        <f>'A) Base RI'!A138</f>
        <v>5627</v>
      </c>
      <c r="B136" s="525" t="str">
        <f>'A) Base RI'!B138</f>
        <v>Chavannes-près-Renens</v>
      </c>
      <c r="C136" s="10">
        <f>'B) D RI'!Y138</f>
        <v>818714.29999999993</v>
      </c>
      <c r="D136" s="442">
        <f>'B) D RI'!Z138</f>
        <v>351553.85</v>
      </c>
      <c r="E136" s="10">
        <f t="shared" si="8"/>
        <v>1170268.1499999999</v>
      </c>
      <c r="F136" s="442">
        <f>'B) D RI'!U138</f>
        <v>161901.70176344088</v>
      </c>
      <c r="G136" s="265">
        <f t="shared" si="9"/>
        <v>7.2282634293116423</v>
      </c>
      <c r="H136" s="55">
        <f t="shared" si="10"/>
        <v>514823.30499999993</v>
      </c>
      <c r="I136" s="412">
        <f t="shared" si="11"/>
        <v>3.179851103432024</v>
      </c>
    </row>
    <row r="137" spans="1:9" x14ac:dyDescent="0.25">
      <c r="A137" s="49">
        <f>'A) Base RI'!A139</f>
        <v>5628</v>
      </c>
      <c r="B137" s="525" t="str">
        <f>'A) Base RI'!B139</f>
        <v>Chigny</v>
      </c>
      <c r="C137" s="10">
        <f>'B) D RI'!Y139</f>
        <v>124073.8</v>
      </c>
      <c r="D137" s="442">
        <f>'B) D RI'!Z139</f>
        <v>9088.4500000000007</v>
      </c>
      <c r="E137" s="10">
        <f t="shared" si="8"/>
        <v>133162.25</v>
      </c>
      <c r="F137" s="442">
        <f>'B) D RI'!U139</f>
        <v>24624.530161290324</v>
      </c>
      <c r="G137" s="265">
        <f t="shared" si="9"/>
        <v>5.4077072385864478</v>
      </c>
      <c r="H137" s="55">
        <f t="shared" si="10"/>
        <v>64763.435000000005</v>
      </c>
      <c r="I137" s="412">
        <f t="shared" si="11"/>
        <v>2.6300373885633723</v>
      </c>
    </row>
    <row r="138" spans="1:9" x14ac:dyDescent="0.25">
      <c r="A138" s="49">
        <f>'A) Base RI'!A140</f>
        <v>5629</v>
      </c>
      <c r="B138" s="525" t="str">
        <f>'A) Base RI'!B140</f>
        <v>Clarmont</v>
      </c>
      <c r="C138" s="10">
        <f>'B) D RI'!Y140</f>
        <v>4065.85</v>
      </c>
      <c r="D138" s="442">
        <f>'B) D RI'!Z140</f>
        <v>0</v>
      </c>
      <c r="E138" s="10">
        <f t="shared" si="8"/>
        <v>4065.85</v>
      </c>
      <c r="F138" s="442">
        <f>'B) D RI'!U140</f>
        <v>8521.2598639455773</v>
      </c>
      <c r="G138" s="265">
        <f t="shared" si="9"/>
        <v>0.4771418856973339</v>
      </c>
      <c r="H138" s="55">
        <f t="shared" si="10"/>
        <v>2032.925</v>
      </c>
      <c r="I138" s="412">
        <f t="shared" si="11"/>
        <v>0.23857094284866695</v>
      </c>
    </row>
    <row r="139" spans="1:9" x14ac:dyDescent="0.25">
      <c r="A139" s="49">
        <f>'A) Base RI'!A141</f>
        <v>5631</v>
      </c>
      <c r="B139" s="525" t="str">
        <f>'A) Base RI'!B141</f>
        <v>Denens</v>
      </c>
      <c r="C139" s="10">
        <f>'B) D RI'!Y141</f>
        <v>380172.35</v>
      </c>
      <c r="D139" s="442">
        <f>'B) D RI'!Z141</f>
        <v>1561.75</v>
      </c>
      <c r="E139" s="10">
        <f t="shared" si="8"/>
        <v>381734.1</v>
      </c>
      <c r="F139" s="442">
        <f>'B) D RI'!U141</f>
        <v>43455.14235294117</v>
      </c>
      <c r="G139" s="265">
        <f t="shared" si="9"/>
        <v>8.7845552754048946</v>
      </c>
      <c r="H139" s="55">
        <f t="shared" si="10"/>
        <v>190554.69999999998</v>
      </c>
      <c r="I139" s="412">
        <f t="shared" si="11"/>
        <v>4.3850897657248771</v>
      </c>
    </row>
    <row r="140" spans="1:9" x14ac:dyDescent="0.25">
      <c r="A140" s="49">
        <f>'A) Base RI'!A142</f>
        <v>5632</v>
      </c>
      <c r="B140" s="525" t="str">
        <f>'A) Base RI'!B142</f>
        <v>Denges</v>
      </c>
      <c r="C140" s="10">
        <f>'B) D RI'!Y142</f>
        <v>380200.7</v>
      </c>
      <c r="D140" s="442">
        <f>'B) D RI'!Z142</f>
        <v>74620.800000000003</v>
      </c>
      <c r="E140" s="10">
        <f t="shared" si="8"/>
        <v>454821.5</v>
      </c>
      <c r="F140" s="442">
        <f>'B) D RI'!U142</f>
        <v>76479.966774193541</v>
      </c>
      <c r="G140" s="265">
        <f t="shared" si="9"/>
        <v>5.9469364224863837</v>
      </c>
      <c r="H140" s="55">
        <f t="shared" si="10"/>
        <v>212486.59</v>
      </c>
      <c r="I140" s="412">
        <f t="shared" si="11"/>
        <v>2.7783300511539823</v>
      </c>
    </row>
    <row r="141" spans="1:9" x14ac:dyDescent="0.25">
      <c r="A141" s="49">
        <f>'A) Base RI'!A143</f>
        <v>5633</v>
      </c>
      <c r="B141" s="525" t="str">
        <f>'A) Base RI'!B143</f>
        <v>Echandens</v>
      </c>
      <c r="C141" s="10">
        <f>'B) D RI'!Y143</f>
        <v>1449712</v>
      </c>
      <c r="D141" s="442">
        <f>'B) D RI'!Z143</f>
        <v>197742.25</v>
      </c>
      <c r="E141" s="10">
        <f t="shared" si="8"/>
        <v>1647454.25</v>
      </c>
      <c r="F141" s="442">
        <f>'B) D RI'!U143</f>
        <v>148489.97685950415</v>
      </c>
      <c r="G141" s="265">
        <f t="shared" si="9"/>
        <v>11.09471686131894</v>
      </c>
      <c r="H141" s="55">
        <f t="shared" si="10"/>
        <v>784178.67500000005</v>
      </c>
      <c r="I141" s="412">
        <f t="shared" si="11"/>
        <v>5.2810209253514904</v>
      </c>
    </row>
    <row r="142" spans="1:9" x14ac:dyDescent="0.25">
      <c r="A142" s="49">
        <f>'A) Base RI'!A144</f>
        <v>5634</v>
      </c>
      <c r="B142" s="525" t="str">
        <f>'A) Base RI'!B144</f>
        <v>Echichens</v>
      </c>
      <c r="C142" s="10">
        <f>'B) D RI'!Y144</f>
        <v>831030.4</v>
      </c>
      <c r="D142" s="442">
        <f>'B) D RI'!Z144</f>
        <v>34427.1</v>
      </c>
      <c r="E142" s="10">
        <f t="shared" si="8"/>
        <v>865457.5</v>
      </c>
      <c r="F142" s="442">
        <f>'B) D RI'!U144</f>
        <v>164177.5981818182</v>
      </c>
      <c r="G142" s="265">
        <f t="shared" si="9"/>
        <v>5.271471318769998</v>
      </c>
      <c r="H142" s="55">
        <f t="shared" si="10"/>
        <v>425843.33</v>
      </c>
      <c r="I142" s="412">
        <f t="shared" si="11"/>
        <v>2.5937968073354352</v>
      </c>
    </row>
    <row r="143" spans="1:9" x14ac:dyDescent="0.25">
      <c r="A143" s="49">
        <f>'A) Base RI'!A145</f>
        <v>5635</v>
      </c>
      <c r="B143" s="525" t="str">
        <f>'A) Base RI'!B145</f>
        <v>Ecublens</v>
      </c>
      <c r="C143" s="10">
        <f>'B) D RI'!Y145</f>
        <v>2912637.5</v>
      </c>
      <c r="D143" s="442">
        <f>'B) D RI'!Z145</f>
        <v>2487367.85</v>
      </c>
      <c r="E143" s="10">
        <f t="shared" si="8"/>
        <v>5400005.3499999996</v>
      </c>
      <c r="F143" s="442">
        <f>'B) D RI'!U145</f>
        <v>681739.39309333346</v>
      </c>
      <c r="G143" s="265">
        <f t="shared" si="9"/>
        <v>7.920923163172283</v>
      </c>
      <c r="H143" s="55">
        <f t="shared" si="10"/>
        <v>2202529.105</v>
      </c>
      <c r="I143" s="412">
        <f t="shared" si="11"/>
        <v>3.230749355712327</v>
      </c>
    </row>
    <row r="144" spans="1:9" x14ac:dyDescent="0.25">
      <c r="A144" s="49">
        <f>'A) Base RI'!A146</f>
        <v>5636</v>
      </c>
      <c r="B144" s="525" t="str">
        <f>'A) Base RI'!B146</f>
        <v>Etoy</v>
      </c>
      <c r="C144" s="10">
        <f>'B) D RI'!Y146</f>
        <v>978414.45</v>
      </c>
      <c r="D144" s="442">
        <f>'B) D RI'!Z146</f>
        <v>619311.94999999995</v>
      </c>
      <c r="E144" s="10">
        <f t="shared" si="8"/>
        <v>1597726.4</v>
      </c>
      <c r="F144" s="442">
        <f>'B) D RI'!U146</f>
        <v>170715.46099999998</v>
      </c>
      <c r="G144" s="265">
        <f t="shared" si="9"/>
        <v>9.3590023460148117</v>
      </c>
      <c r="H144" s="55">
        <f t="shared" si="10"/>
        <v>675000.80999999994</v>
      </c>
      <c r="I144" s="412">
        <f t="shared" si="11"/>
        <v>3.953952419107488</v>
      </c>
    </row>
    <row r="145" spans="1:9" x14ac:dyDescent="0.25">
      <c r="A145" s="49">
        <f>'A) Base RI'!A147</f>
        <v>5637</v>
      </c>
      <c r="B145" s="525" t="str">
        <f>'A) Base RI'!B147</f>
        <v>Lavigny</v>
      </c>
      <c r="C145" s="10">
        <f>'B) D RI'!Y147</f>
        <v>223965.40000000002</v>
      </c>
      <c r="D145" s="442">
        <f>'B) D RI'!Z147</f>
        <v>222888.05</v>
      </c>
      <c r="E145" s="10">
        <f t="shared" si="8"/>
        <v>446853.45</v>
      </c>
      <c r="F145" s="442">
        <f>'B) D RI'!U147</f>
        <v>41194.659315068493</v>
      </c>
      <c r="G145" s="265">
        <f t="shared" si="9"/>
        <v>10.847363649310399</v>
      </c>
      <c r="H145" s="55">
        <f t="shared" si="10"/>
        <v>178849.11499999999</v>
      </c>
      <c r="I145" s="412">
        <f t="shared" si="11"/>
        <v>4.3415607259210711</v>
      </c>
    </row>
    <row r="146" spans="1:9" x14ac:dyDescent="0.25">
      <c r="A146" s="49">
        <f>'A) Base RI'!A148</f>
        <v>5638</v>
      </c>
      <c r="B146" s="525" t="str">
        <f>'A) Base RI'!B148</f>
        <v>Lonay</v>
      </c>
      <c r="C146" s="10">
        <f>'B) D RI'!Y148</f>
        <v>2121164.7000000002</v>
      </c>
      <c r="D146" s="442">
        <f>'B) D RI'!Z148</f>
        <v>290954.15000000002</v>
      </c>
      <c r="E146" s="10">
        <f t="shared" si="8"/>
        <v>2412118.85</v>
      </c>
      <c r="F146" s="442">
        <f>'B) D RI'!U148</f>
        <v>145490.01981818181</v>
      </c>
      <c r="G146" s="265">
        <f t="shared" si="9"/>
        <v>16.57927363687498</v>
      </c>
      <c r="H146" s="55">
        <f t="shared" si="10"/>
        <v>1147868.5950000002</v>
      </c>
      <c r="I146" s="412">
        <f t="shared" si="11"/>
        <v>7.8896724080076845</v>
      </c>
    </row>
    <row r="147" spans="1:9" x14ac:dyDescent="0.25">
      <c r="A147" s="49">
        <f>'A) Base RI'!A149</f>
        <v>5639</v>
      </c>
      <c r="B147" s="525" t="str">
        <f>'A) Base RI'!B149</f>
        <v>Lully</v>
      </c>
      <c r="C147" s="10">
        <f>'B) D RI'!Y149</f>
        <v>152351.6</v>
      </c>
      <c r="D147" s="442">
        <f>'B) D RI'!Z149</f>
        <v>15484.7</v>
      </c>
      <c r="E147" s="10">
        <f t="shared" si="8"/>
        <v>167836.30000000002</v>
      </c>
      <c r="F147" s="442">
        <f>'B) D RI'!U149</f>
        <v>45623.094262295082</v>
      </c>
      <c r="G147" s="265">
        <f t="shared" si="9"/>
        <v>3.6787574958217437</v>
      </c>
      <c r="H147" s="55">
        <f t="shared" si="10"/>
        <v>80821.210000000006</v>
      </c>
      <c r="I147" s="412">
        <f t="shared" si="11"/>
        <v>1.7714977755639469</v>
      </c>
    </row>
    <row r="148" spans="1:9" x14ac:dyDescent="0.25">
      <c r="A148" s="49">
        <f>'A) Base RI'!A150</f>
        <v>5640</v>
      </c>
      <c r="B148" s="525" t="str">
        <f>'A) Base RI'!B150</f>
        <v>Lussy-sur-Morges</v>
      </c>
      <c r="C148" s="10">
        <f>'B) D RI'!Y150</f>
        <v>343334.80000000005</v>
      </c>
      <c r="D148" s="442">
        <f>'B) D RI'!Z150</f>
        <v>14468.85</v>
      </c>
      <c r="E148" s="10">
        <f t="shared" si="8"/>
        <v>357803.65</v>
      </c>
      <c r="F148" s="442">
        <f>'B) D RI'!U150</f>
        <v>57031.532424242418</v>
      </c>
      <c r="G148" s="265">
        <f t="shared" si="9"/>
        <v>6.2737863562632992</v>
      </c>
      <c r="H148" s="55">
        <f t="shared" si="10"/>
        <v>176008.05500000002</v>
      </c>
      <c r="I148" s="412">
        <f t="shared" si="11"/>
        <v>3.0861533526878229</v>
      </c>
    </row>
    <row r="149" spans="1:9" x14ac:dyDescent="0.25">
      <c r="A149" s="49">
        <f>'A) Base RI'!A151</f>
        <v>5642</v>
      </c>
      <c r="B149" s="525" t="str">
        <f>'A) Base RI'!B151</f>
        <v>Morges</v>
      </c>
      <c r="C149" s="10">
        <f>'B) D RI'!Y151</f>
        <v>5437092.1500000004</v>
      </c>
      <c r="D149" s="442">
        <f>'B) D RI'!Z151</f>
        <v>1316828.75</v>
      </c>
      <c r="E149" s="10">
        <f t="shared" si="8"/>
        <v>6753920.9000000004</v>
      </c>
      <c r="F149" s="442">
        <f>'B) D RI'!U151</f>
        <v>787513.11402985093</v>
      </c>
      <c r="G149" s="265">
        <f t="shared" si="9"/>
        <v>8.5762646737892805</v>
      </c>
      <c r="H149" s="55">
        <f t="shared" si="10"/>
        <v>3113594.7</v>
      </c>
      <c r="I149" s="412">
        <f t="shared" si="11"/>
        <v>3.9537052076087438</v>
      </c>
    </row>
    <row r="150" spans="1:9" x14ac:dyDescent="0.25">
      <c r="A150" s="49">
        <f>'A) Base RI'!A152</f>
        <v>5643</v>
      </c>
      <c r="B150" s="525" t="str">
        <f>'A) Base RI'!B152</f>
        <v>Préverenges</v>
      </c>
      <c r="C150" s="10">
        <f>'B) D RI'!Y152</f>
        <v>809628</v>
      </c>
      <c r="D150" s="442">
        <f>'B) D RI'!Z152</f>
        <v>212698.65</v>
      </c>
      <c r="E150" s="10">
        <f t="shared" si="8"/>
        <v>1022326.65</v>
      </c>
      <c r="F150" s="442">
        <f>'B) D RI'!U152</f>
        <v>262337.37167999998</v>
      </c>
      <c r="G150" s="265">
        <f t="shared" si="9"/>
        <v>3.8969920429295053</v>
      </c>
      <c r="H150" s="55">
        <f t="shared" si="10"/>
        <v>468623.59499999997</v>
      </c>
      <c r="I150" s="412">
        <f t="shared" si="11"/>
        <v>1.786339445268319</v>
      </c>
    </row>
    <row r="151" spans="1:9" x14ac:dyDescent="0.25">
      <c r="A151" s="49">
        <f>'A) Base RI'!A153</f>
        <v>5644</v>
      </c>
      <c r="B151" s="525" t="str">
        <f>'A) Base RI'!B153</f>
        <v>Reverolle</v>
      </c>
      <c r="C151" s="10">
        <f>'B) D RI'!Y153</f>
        <v>26150.6</v>
      </c>
      <c r="D151" s="442">
        <f>'B) D RI'!Z153</f>
        <v>4509.8999999999996</v>
      </c>
      <c r="E151" s="10">
        <f t="shared" si="8"/>
        <v>30660.5</v>
      </c>
      <c r="F151" s="442">
        <f>'B) D RI'!U153</f>
        <v>16020.747027027028</v>
      </c>
      <c r="G151" s="265">
        <f t="shared" si="9"/>
        <v>1.9137996466878657</v>
      </c>
      <c r="H151" s="55">
        <f t="shared" si="10"/>
        <v>14428.269999999999</v>
      </c>
      <c r="I151" s="412">
        <f t="shared" si="11"/>
        <v>0.90059907791187777</v>
      </c>
    </row>
    <row r="152" spans="1:9" x14ac:dyDescent="0.25">
      <c r="A152" s="49">
        <f>'A) Base RI'!A154</f>
        <v>5645</v>
      </c>
      <c r="B152" s="525" t="str">
        <f>'A) Base RI'!B154</f>
        <v>Romanel-sur-Morges</v>
      </c>
      <c r="C152" s="10">
        <f>'B) D RI'!Y154</f>
        <v>178461.90000000002</v>
      </c>
      <c r="D152" s="442">
        <f>'B) D RI'!Z154</f>
        <v>37607.800000000003</v>
      </c>
      <c r="E152" s="10">
        <f t="shared" si="8"/>
        <v>216069.7</v>
      </c>
      <c r="F152" s="442">
        <f>'B) D RI'!U154</f>
        <v>27365.134464285718</v>
      </c>
      <c r="G152" s="265">
        <f t="shared" si="9"/>
        <v>7.8958026053916504</v>
      </c>
      <c r="H152" s="55">
        <f t="shared" si="10"/>
        <v>100513.29000000001</v>
      </c>
      <c r="I152" s="412">
        <f t="shared" si="11"/>
        <v>3.6730420649377793</v>
      </c>
    </row>
    <row r="153" spans="1:9" x14ac:dyDescent="0.25">
      <c r="A153" s="49">
        <f>'A) Base RI'!A155</f>
        <v>5646</v>
      </c>
      <c r="B153" s="525" t="str">
        <f>'A) Base RI'!B155</f>
        <v>Saint-Prex</v>
      </c>
      <c r="C153" s="10">
        <f>'B) D RI'!Y155</f>
        <v>2294144.7000000002</v>
      </c>
      <c r="D153" s="442">
        <f>'B) D RI'!Z155</f>
        <v>1057317.55</v>
      </c>
      <c r="E153" s="10">
        <f t="shared" si="8"/>
        <v>3351462.25</v>
      </c>
      <c r="F153" s="442">
        <f>'B) D RI'!U155</f>
        <v>541092.68090909091</v>
      </c>
      <c r="G153" s="265">
        <f t="shared" si="9"/>
        <v>6.1938783654755811</v>
      </c>
      <c r="H153" s="55">
        <f t="shared" si="10"/>
        <v>1464267.6150000002</v>
      </c>
      <c r="I153" s="412">
        <f t="shared" si="11"/>
        <v>2.7061308841581098</v>
      </c>
    </row>
    <row r="154" spans="1:9" x14ac:dyDescent="0.25">
      <c r="A154" s="49">
        <f>'A) Base RI'!A156</f>
        <v>5648</v>
      </c>
      <c r="B154" s="525" t="str">
        <f>'A) Base RI'!B156</f>
        <v>Saint-Sulpice</v>
      </c>
      <c r="C154" s="10">
        <f>'B) D RI'!Y156</f>
        <v>1670020.2000000002</v>
      </c>
      <c r="D154" s="442">
        <f>'B) D RI'!Z156</f>
        <v>85040.6</v>
      </c>
      <c r="E154" s="10">
        <f t="shared" si="8"/>
        <v>1755060.8000000003</v>
      </c>
      <c r="F154" s="442">
        <f>'B) D RI'!U156</f>
        <v>396480.48181818181</v>
      </c>
      <c r="G154" s="265">
        <f t="shared" si="9"/>
        <v>4.4266007545986508</v>
      </c>
      <c r="H154" s="55">
        <f t="shared" si="10"/>
        <v>860522.28000000014</v>
      </c>
      <c r="I154" s="412">
        <f t="shared" si="11"/>
        <v>2.1704026287846845</v>
      </c>
    </row>
    <row r="155" spans="1:9" x14ac:dyDescent="0.25">
      <c r="A155" s="49">
        <f>'A) Base RI'!A157</f>
        <v>5649</v>
      </c>
      <c r="B155" s="525" t="str">
        <f>'A) Base RI'!B157</f>
        <v>Tolochenaz</v>
      </c>
      <c r="C155" s="10">
        <f>'B) D RI'!Y157</f>
        <v>359762.45</v>
      </c>
      <c r="D155" s="442">
        <f>'B) D RI'!Z157</f>
        <v>588474.4</v>
      </c>
      <c r="E155" s="10">
        <f t="shared" si="8"/>
        <v>948236.85000000009</v>
      </c>
      <c r="F155" s="442">
        <f>'B) D RI'!U157</f>
        <v>215548.34569230766</v>
      </c>
      <c r="G155" s="265">
        <f t="shared" si="9"/>
        <v>4.3991840761032579</v>
      </c>
      <c r="H155" s="55">
        <f t="shared" si="10"/>
        <v>356423.54500000004</v>
      </c>
      <c r="I155" s="412">
        <f t="shared" si="11"/>
        <v>1.6535665994337523</v>
      </c>
    </row>
    <row r="156" spans="1:9" x14ac:dyDescent="0.25">
      <c r="A156" s="49">
        <f>'A) Base RI'!A158</f>
        <v>5650</v>
      </c>
      <c r="B156" s="525" t="str">
        <f>'A) Base RI'!B158</f>
        <v>Vaux-sur-Morges</v>
      </c>
      <c r="C156" s="10">
        <f>'B) D RI'!Y158</f>
        <v>21058780.5</v>
      </c>
      <c r="D156" s="442">
        <f>'B) D RI'!Z158</f>
        <v>46.25</v>
      </c>
      <c r="E156" s="10">
        <f t="shared" si="8"/>
        <v>21058826.75</v>
      </c>
      <c r="F156" s="442">
        <f>'B) D RI'!U158</f>
        <v>63002.429285714286</v>
      </c>
      <c r="G156" s="265">
        <f t="shared" si="9"/>
        <v>334.25420239747899</v>
      </c>
      <c r="H156" s="55">
        <f t="shared" si="10"/>
        <v>10529404.125</v>
      </c>
      <c r="I156" s="412">
        <f t="shared" si="11"/>
        <v>167.12695437900405</v>
      </c>
    </row>
    <row r="157" spans="1:9" x14ac:dyDescent="0.25">
      <c r="A157" s="49">
        <f>'A) Base RI'!A159</f>
        <v>5651</v>
      </c>
      <c r="B157" s="525" t="str">
        <f>'A) Base RI'!B159</f>
        <v>Villars-Sainte-Croix</v>
      </c>
      <c r="C157" s="10">
        <f>'B) D RI'!Y159</f>
        <v>291361.34999999998</v>
      </c>
      <c r="D157" s="442">
        <f>'B) D RI'!Z159</f>
        <v>170466.25</v>
      </c>
      <c r="E157" s="10">
        <f t="shared" si="8"/>
        <v>461827.6</v>
      </c>
      <c r="F157" s="442">
        <f>'B) D RI'!U159</f>
        <v>56095.490247933893</v>
      </c>
      <c r="G157" s="265">
        <f t="shared" si="9"/>
        <v>8.2328828566929229</v>
      </c>
      <c r="H157" s="55">
        <f t="shared" si="10"/>
        <v>196820.55</v>
      </c>
      <c r="I157" s="412">
        <f t="shared" si="11"/>
        <v>3.5086697545574848</v>
      </c>
    </row>
    <row r="158" spans="1:9" x14ac:dyDescent="0.25">
      <c r="A158" s="49">
        <f>'A) Base RI'!A160</f>
        <v>5652</v>
      </c>
      <c r="B158" s="525" t="str">
        <f>'A) Base RI'!B160</f>
        <v>Villars-sous-Yens</v>
      </c>
      <c r="C158" s="10">
        <f>'B) D RI'!Y160</f>
        <v>167207.84999999998</v>
      </c>
      <c r="D158" s="442">
        <f>'B) D RI'!Z160</f>
        <v>3228.45</v>
      </c>
      <c r="E158" s="10">
        <f t="shared" si="8"/>
        <v>170436.3</v>
      </c>
      <c r="F158" s="442">
        <f>'B) D RI'!U160</f>
        <v>25662.281995614037</v>
      </c>
      <c r="G158" s="265">
        <f t="shared" si="9"/>
        <v>6.6415099027097204</v>
      </c>
      <c r="H158" s="55">
        <f t="shared" si="10"/>
        <v>84572.459999999992</v>
      </c>
      <c r="I158" s="412">
        <f t="shared" si="11"/>
        <v>3.2955938998119629</v>
      </c>
    </row>
    <row r="159" spans="1:9" x14ac:dyDescent="0.25">
      <c r="A159" s="49">
        <f>'A) Base RI'!A161</f>
        <v>5653</v>
      </c>
      <c r="B159" s="525" t="str">
        <f>'A) Base RI'!B161</f>
        <v>Vufflens-le-Château</v>
      </c>
      <c r="C159" s="10">
        <f>'B) D RI'!Y161</f>
        <v>356637.8</v>
      </c>
      <c r="D159" s="442">
        <f>'B) D RI'!Z161</f>
        <v>6135.7</v>
      </c>
      <c r="E159" s="10">
        <f t="shared" si="8"/>
        <v>362773.5</v>
      </c>
      <c r="F159" s="442">
        <f>'B) D RI'!U161</f>
        <v>68786.034529914527</v>
      </c>
      <c r="G159" s="265">
        <f t="shared" si="9"/>
        <v>5.27394117831044</v>
      </c>
      <c r="H159" s="55">
        <f t="shared" si="10"/>
        <v>180159.61</v>
      </c>
      <c r="I159" s="412">
        <f t="shared" si="11"/>
        <v>2.6191306306754742</v>
      </c>
    </row>
    <row r="160" spans="1:9" x14ac:dyDescent="0.25">
      <c r="A160" s="49">
        <f>'A) Base RI'!A162</f>
        <v>5654</v>
      </c>
      <c r="B160" s="525" t="str">
        <f>'A) Base RI'!B162</f>
        <v>Vullierens</v>
      </c>
      <c r="C160" s="10">
        <f>'B) D RI'!Y162</f>
        <v>158104.95000000001</v>
      </c>
      <c r="D160" s="442">
        <f>'B) D RI'!Z162</f>
        <v>6506.75</v>
      </c>
      <c r="E160" s="10">
        <f t="shared" si="8"/>
        <v>164611.70000000001</v>
      </c>
      <c r="F160" s="442">
        <f>'B) D RI'!U162</f>
        <v>19265.899342105262</v>
      </c>
      <c r="G160" s="265">
        <f t="shared" si="9"/>
        <v>8.5442001474721838</v>
      </c>
      <c r="H160" s="55">
        <f t="shared" si="10"/>
        <v>81004.5</v>
      </c>
      <c r="I160" s="412">
        <f t="shared" si="11"/>
        <v>4.2045532659337725</v>
      </c>
    </row>
    <row r="161" spans="1:9" x14ac:dyDescent="0.25">
      <c r="A161" s="49">
        <f>'A) Base RI'!A163</f>
        <v>5655</v>
      </c>
      <c r="B161" s="525" t="str">
        <f>'A) Base RI'!B163</f>
        <v>Yens</v>
      </c>
      <c r="C161" s="10">
        <f>'B) D RI'!Y163</f>
        <v>406618.35</v>
      </c>
      <c r="D161" s="442">
        <f>'B) D RI'!Z163</f>
        <v>104127.75</v>
      </c>
      <c r="E161" s="10">
        <f t="shared" si="8"/>
        <v>510746.1</v>
      </c>
      <c r="F161" s="442">
        <f>'B) D RI'!U163</f>
        <v>90935.122097902116</v>
      </c>
      <c r="G161" s="265">
        <f t="shared" si="9"/>
        <v>5.6165988258103736</v>
      </c>
      <c r="H161" s="55">
        <f t="shared" si="10"/>
        <v>234547.5</v>
      </c>
      <c r="I161" s="412">
        <f t="shared" si="11"/>
        <v>2.5792839399003902</v>
      </c>
    </row>
    <row r="162" spans="1:9" x14ac:dyDescent="0.25">
      <c r="A162" s="49">
        <f>'A) Base RI'!A164</f>
        <v>5661</v>
      </c>
      <c r="B162" s="525" t="str">
        <f>'A) Base RI'!B164</f>
        <v>Boulens</v>
      </c>
      <c r="C162" s="10">
        <f>'B) D RI'!Y164</f>
        <v>23098.15</v>
      </c>
      <c r="D162" s="442">
        <f>'B) D RI'!Z164</f>
        <v>18651.95</v>
      </c>
      <c r="E162" s="10">
        <f t="shared" si="8"/>
        <v>41750.100000000006</v>
      </c>
      <c r="F162" s="442">
        <f>'B) D RI'!U164</f>
        <v>10167.852447552446</v>
      </c>
      <c r="G162" s="265">
        <f t="shared" si="9"/>
        <v>4.1060883028500159</v>
      </c>
      <c r="H162" s="55">
        <f t="shared" si="10"/>
        <v>17144.66</v>
      </c>
      <c r="I162" s="412">
        <f t="shared" si="11"/>
        <v>1.6861633357127419</v>
      </c>
    </row>
    <row r="163" spans="1:9" x14ac:dyDescent="0.25">
      <c r="A163" s="49">
        <f>'A) Base RI'!A165</f>
        <v>5663</v>
      </c>
      <c r="B163" s="525" t="str">
        <f>'A) Base RI'!B165</f>
        <v>Bussy-sur-Moudon</v>
      </c>
      <c r="C163" s="10">
        <f>'B) D RI'!Y165</f>
        <v>21202.75</v>
      </c>
      <c r="D163" s="442">
        <f>'B) D RI'!Z165</f>
        <v>0</v>
      </c>
      <c r="E163" s="10">
        <f t="shared" si="8"/>
        <v>21202.75</v>
      </c>
      <c r="F163" s="442">
        <f>'B) D RI'!U165</f>
        <v>5408.1284999999998</v>
      </c>
      <c r="G163" s="265">
        <f t="shared" si="9"/>
        <v>3.9205336929401735</v>
      </c>
      <c r="H163" s="55">
        <f t="shared" si="10"/>
        <v>10601.375</v>
      </c>
      <c r="I163" s="412">
        <f t="shared" si="11"/>
        <v>1.9602668464700868</v>
      </c>
    </row>
    <row r="164" spans="1:9" x14ac:dyDescent="0.25">
      <c r="A164" s="49">
        <f>'A) Base RI'!A166</f>
        <v>5665</v>
      </c>
      <c r="B164" s="525" t="str">
        <f>'A) Base RI'!B166</f>
        <v>Chavannes-sur-Moudon</v>
      </c>
      <c r="C164" s="10">
        <f>'B) D RI'!Y166</f>
        <v>52937.9</v>
      </c>
      <c r="D164" s="442">
        <f>'B) D RI'!Z166</f>
        <v>0</v>
      </c>
      <c r="E164" s="10">
        <f t="shared" si="8"/>
        <v>52937.9</v>
      </c>
      <c r="F164" s="442">
        <f>'B) D RI'!U166</f>
        <v>6834.8221917808223</v>
      </c>
      <c r="G164" s="265">
        <f t="shared" si="9"/>
        <v>7.7453221919452684</v>
      </c>
      <c r="H164" s="55">
        <f t="shared" si="10"/>
        <v>26468.95</v>
      </c>
      <c r="I164" s="412">
        <f t="shared" si="11"/>
        <v>3.8726610959726342</v>
      </c>
    </row>
    <row r="165" spans="1:9" x14ac:dyDescent="0.25">
      <c r="A165" s="49">
        <f>'A) Base RI'!A167</f>
        <v>5669</v>
      </c>
      <c r="B165" s="525" t="str">
        <f>'A) Base RI'!B167</f>
        <v>Curtilles</v>
      </c>
      <c r="C165" s="10">
        <f>'B) D RI'!Y167</f>
        <v>32314.799999999996</v>
      </c>
      <c r="D165" s="442">
        <f>'B) D RI'!Z167</f>
        <v>0</v>
      </c>
      <c r="E165" s="10">
        <f t="shared" si="8"/>
        <v>32314.799999999996</v>
      </c>
      <c r="F165" s="442">
        <f>'B) D RI'!U167</f>
        <v>10286.853972602739</v>
      </c>
      <c r="G165" s="265">
        <f t="shared" si="9"/>
        <v>3.1413685939418299</v>
      </c>
      <c r="H165" s="55">
        <f t="shared" si="10"/>
        <v>16157.399999999998</v>
      </c>
      <c r="I165" s="412">
        <f t="shared" si="11"/>
        <v>1.5706842969709149</v>
      </c>
    </row>
    <row r="166" spans="1:9" x14ac:dyDescent="0.25">
      <c r="A166" s="49">
        <f>'A) Base RI'!A168</f>
        <v>5671</v>
      </c>
      <c r="B166" s="525" t="str">
        <f>'A) Base RI'!B168</f>
        <v>Dompierre</v>
      </c>
      <c r="C166" s="10">
        <f>'B) D RI'!Y168</f>
        <v>58300.65</v>
      </c>
      <c r="D166" s="442">
        <f>'B) D RI'!Z168</f>
        <v>0</v>
      </c>
      <c r="E166" s="10">
        <f t="shared" si="8"/>
        <v>58300.65</v>
      </c>
      <c r="F166" s="442">
        <f>'B) D RI'!U168</f>
        <v>6034.0657692307695</v>
      </c>
      <c r="G166" s="265">
        <f t="shared" si="9"/>
        <v>9.6619182205951066</v>
      </c>
      <c r="H166" s="55">
        <f t="shared" si="10"/>
        <v>29150.325000000001</v>
      </c>
      <c r="I166" s="412">
        <f t="shared" si="11"/>
        <v>4.8309591102975533</v>
      </c>
    </row>
    <row r="167" spans="1:9" x14ac:dyDescent="0.25">
      <c r="A167" s="49">
        <f>'A) Base RI'!A169</f>
        <v>5673</v>
      </c>
      <c r="B167" s="525" t="str">
        <f>'A) Base RI'!B169</f>
        <v>Hermenches</v>
      </c>
      <c r="C167" s="10">
        <f>'B) D RI'!Y169</f>
        <v>19240.55</v>
      </c>
      <c r="D167" s="442">
        <f>'B) D RI'!Z169</f>
        <v>14893.5</v>
      </c>
      <c r="E167" s="10">
        <f t="shared" si="8"/>
        <v>34134.050000000003</v>
      </c>
      <c r="F167" s="442">
        <f>'B) D RI'!U169</f>
        <v>10638.728435374151</v>
      </c>
      <c r="G167" s="265">
        <f t="shared" si="9"/>
        <v>3.2084708437996285</v>
      </c>
      <c r="H167" s="55">
        <f t="shared" si="10"/>
        <v>14088.325000000001</v>
      </c>
      <c r="I167" s="412">
        <f t="shared" si="11"/>
        <v>1.3242489537711875</v>
      </c>
    </row>
    <row r="168" spans="1:9" x14ac:dyDescent="0.25">
      <c r="A168" s="49">
        <f>'A) Base RI'!A170</f>
        <v>5674</v>
      </c>
      <c r="B168" s="525" t="str">
        <f>'A) Base RI'!B170</f>
        <v>Lovatens</v>
      </c>
      <c r="C168" s="10">
        <f>'B) D RI'!Y170</f>
        <v>75528.399999999994</v>
      </c>
      <c r="D168" s="442">
        <f>'B) D RI'!Z170</f>
        <v>0</v>
      </c>
      <c r="E168" s="10">
        <f t="shared" si="8"/>
        <v>75528.399999999994</v>
      </c>
      <c r="F168" s="442">
        <f>'B) D RI'!U170</f>
        <v>3430.742038095239</v>
      </c>
      <c r="G168" s="265">
        <f t="shared" si="9"/>
        <v>22.015178979161501</v>
      </c>
      <c r="H168" s="55">
        <f t="shared" si="10"/>
        <v>37764.199999999997</v>
      </c>
      <c r="I168" s="412">
        <f t="shared" si="11"/>
        <v>11.00758948958075</v>
      </c>
    </row>
    <row r="169" spans="1:9" x14ac:dyDescent="0.25">
      <c r="A169" s="49">
        <f>'A) Base RI'!A171</f>
        <v>5675</v>
      </c>
      <c r="B169" s="525" t="str">
        <f>'A) Base RI'!B171</f>
        <v>Lucens</v>
      </c>
      <c r="C169" s="10">
        <f>'B) D RI'!Y171</f>
        <v>491285.4</v>
      </c>
      <c r="D169" s="442">
        <f>'B) D RI'!Z171</f>
        <v>47289.1</v>
      </c>
      <c r="E169" s="10">
        <f t="shared" si="8"/>
        <v>538574.5</v>
      </c>
      <c r="F169" s="442">
        <f>'B) D RI'!U171</f>
        <v>97154.219717171698</v>
      </c>
      <c r="G169" s="265">
        <f t="shared" si="9"/>
        <v>5.5435008542897979</v>
      </c>
      <c r="H169" s="55">
        <f t="shared" si="10"/>
        <v>259829.43000000002</v>
      </c>
      <c r="I169" s="412">
        <f t="shared" si="11"/>
        <v>2.6744019020110148</v>
      </c>
    </row>
    <row r="170" spans="1:9" x14ac:dyDescent="0.25">
      <c r="A170" s="49">
        <f>'A) Base RI'!A172</f>
        <v>5678</v>
      </c>
      <c r="B170" s="525" t="str">
        <f>'A) Base RI'!B172</f>
        <v>Moudon</v>
      </c>
      <c r="C170" s="10">
        <f>'B) D RI'!Y172</f>
        <v>1199773.75</v>
      </c>
      <c r="D170" s="442">
        <f>'B) D RI'!Z172</f>
        <v>194976.2</v>
      </c>
      <c r="E170" s="10">
        <f t="shared" si="8"/>
        <v>1394749.95</v>
      </c>
      <c r="F170" s="442">
        <f>'B) D RI'!U172</f>
        <v>124965.41862068966</v>
      </c>
      <c r="G170" s="265">
        <f t="shared" si="9"/>
        <v>11.161087326354789</v>
      </c>
      <c r="H170" s="55">
        <f t="shared" si="10"/>
        <v>658379.73499999999</v>
      </c>
      <c r="I170" s="412">
        <f t="shared" si="11"/>
        <v>5.2684954147066465</v>
      </c>
    </row>
    <row r="171" spans="1:9" x14ac:dyDescent="0.25">
      <c r="A171" s="49">
        <f>'A) Base RI'!A173</f>
        <v>5680</v>
      </c>
      <c r="B171" s="525" t="str">
        <f>'A) Base RI'!B173</f>
        <v>Ogens</v>
      </c>
      <c r="C171" s="10">
        <f>'B) D RI'!Y173</f>
        <v>102907.79999999999</v>
      </c>
      <c r="D171" s="442">
        <f>'B) D RI'!Z173</f>
        <v>0</v>
      </c>
      <c r="E171" s="10">
        <f t="shared" si="8"/>
        <v>102907.79999999999</v>
      </c>
      <c r="F171" s="442">
        <f>'B) D RI'!U173</f>
        <v>8675.0652136752142</v>
      </c>
      <c r="G171" s="265">
        <f t="shared" si="9"/>
        <v>11.862481429854615</v>
      </c>
      <c r="H171" s="55">
        <f t="shared" si="10"/>
        <v>51453.899999999994</v>
      </c>
      <c r="I171" s="412">
        <f t="shared" si="11"/>
        <v>5.9312407149273074</v>
      </c>
    </row>
    <row r="172" spans="1:9" x14ac:dyDescent="0.25">
      <c r="A172" s="49">
        <f>'A) Base RI'!A174</f>
        <v>5683</v>
      </c>
      <c r="B172" s="525" t="str">
        <f>'A) Base RI'!B174</f>
        <v>Prévonloup</v>
      </c>
      <c r="C172" s="10">
        <f>'B) D RI'!Y174</f>
        <v>4367.1000000000004</v>
      </c>
      <c r="D172" s="442">
        <f>'B) D RI'!Z174</f>
        <v>0</v>
      </c>
      <c r="E172" s="10">
        <f t="shared" si="8"/>
        <v>4367.1000000000004</v>
      </c>
      <c r="F172" s="442">
        <f>'B) D RI'!U174</f>
        <v>5006.0282758620697</v>
      </c>
      <c r="G172" s="265">
        <f t="shared" si="9"/>
        <v>0.87236822473759568</v>
      </c>
      <c r="H172" s="55">
        <f t="shared" si="10"/>
        <v>2183.5500000000002</v>
      </c>
      <c r="I172" s="412">
        <f t="shared" si="11"/>
        <v>0.43618411236879784</v>
      </c>
    </row>
    <row r="173" spans="1:9" x14ac:dyDescent="0.25">
      <c r="A173" s="49">
        <f>'A) Base RI'!A175</f>
        <v>5684</v>
      </c>
      <c r="B173" s="525" t="str">
        <f>'A) Base RI'!B175</f>
        <v>Rossenges</v>
      </c>
      <c r="C173" s="10">
        <f>'B) D RI'!Y175</f>
        <v>0</v>
      </c>
      <c r="D173" s="442">
        <f>'B) D RI'!Z175</f>
        <v>0</v>
      </c>
      <c r="E173" s="10">
        <f t="shared" si="8"/>
        <v>0</v>
      </c>
      <c r="F173" s="442">
        <f>'B) D RI'!U175</f>
        <v>4335.3234000000011</v>
      </c>
      <c r="G173" s="265">
        <f t="shared" si="9"/>
        <v>0</v>
      </c>
      <c r="H173" s="55">
        <f t="shared" si="10"/>
        <v>0</v>
      </c>
      <c r="I173" s="412">
        <f t="shared" si="11"/>
        <v>0</v>
      </c>
    </row>
    <row r="174" spans="1:9" x14ac:dyDescent="0.25">
      <c r="A174" s="49">
        <f>'A) Base RI'!A176</f>
        <v>5688</v>
      </c>
      <c r="B174" s="525" t="str">
        <f>'A) Base RI'!B176</f>
        <v>Syens</v>
      </c>
      <c r="C174" s="10">
        <f>'B) D RI'!Y176</f>
        <v>40.65</v>
      </c>
      <c r="D174" s="442">
        <f>'B) D RI'!Z176</f>
        <v>0</v>
      </c>
      <c r="E174" s="10">
        <f t="shared" si="8"/>
        <v>40.65</v>
      </c>
      <c r="F174" s="442">
        <f>'B) D RI'!U176</f>
        <v>5094.0764550264557</v>
      </c>
      <c r="G174" s="265">
        <f t="shared" si="9"/>
        <v>7.9798566744889755E-3</v>
      </c>
      <c r="H174" s="55">
        <f t="shared" si="10"/>
        <v>20.324999999999999</v>
      </c>
      <c r="I174" s="412">
        <f t="shared" si="11"/>
        <v>3.9899283372444878E-3</v>
      </c>
    </row>
    <row r="175" spans="1:9" x14ac:dyDescent="0.25">
      <c r="A175" s="49">
        <f>'A) Base RI'!A177</f>
        <v>5690</v>
      </c>
      <c r="B175" s="525" t="str">
        <f>'A) Base RI'!B177</f>
        <v>Villars-le-Comte</v>
      </c>
      <c r="C175" s="10">
        <f>'B) D RI'!Y177</f>
        <v>35554.399999999994</v>
      </c>
      <c r="D175" s="442">
        <f>'B) D RI'!Z177</f>
        <v>0</v>
      </c>
      <c r="E175" s="10">
        <f t="shared" si="8"/>
        <v>35554.399999999994</v>
      </c>
      <c r="F175" s="442">
        <f>'B) D RI'!U177</f>
        <v>3483.7788571428573</v>
      </c>
      <c r="G175" s="265">
        <f t="shared" si="9"/>
        <v>10.205699459683595</v>
      </c>
      <c r="H175" s="55">
        <f t="shared" si="10"/>
        <v>17777.199999999997</v>
      </c>
      <c r="I175" s="412">
        <f t="shared" si="11"/>
        <v>5.1028497298417976</v>
      </c>
    </row>
    <row r="176" spans="1:9" x14ac:dyDescent="0.25">
      <c r="A176" s="49">
        <f>'A) Base RI'!A178</f>
        <v>5692</v>
      </c>
      <c r="B176" s="525" t="str">
        <f>'A) Base RI'!B178</f>
        <v>Vucherens</v>
      </c>
      <c r="C176" s="10">
        <f>'B) D RI'!Y178</f>
        <v>100319.45</v>
      </c>
      <c r="D176" s="442">
        <f>'B) D RI'!Z178</f>
        <v>13335.05</v>
      </c>
      <c r="E176" s="10">
        <f t="shared" si="8"/>
        <v>113654.5</v>
      </c>
      <c r="F176" s="442">
        <f>'B) D RI'!U178</f>
        <v>18084.556363636369</v>
      </c>
      <c r="G176" s="265">
        <f t="shared" si="9"/>
        <v>6.2846164271152078</v>
      </c>
      <c r="H176" s="55">
        <f t="shared" si="10"/>
        <v>54160.24</v>
      </c>
      <c r="I176" s="412">
        <f t="shared" si="11"/>
        <v>2.994833763735727</v>
      </c>
    </row>
    <row r="177" spans="1:9" x14ac:dyDescent="0.25">
      <c r="A177" s="49">
        <f>'A) Base RI'!A179</f>
        <v>5693</v>
      </c>
      <c r="B177" s="525" t="str">
        <f>'A) Base RI'!B179</f>
        <v>Montanaire</v>
      </c>
      <c r="C177" s="10">
        <f>'B) D RI'!Y179</f>
        <v>487103.2</v>
      </c>
      <c r="D177" s="442">
        <f>'B) D RI'!Z179</f>
        <v>48251.05</v>
      </c>
      <c r="E177" s="10">
        <f t="shared" si="8"/>
        <v>535354.25</v>
      </c>
      <c r="F177" s="442">
        <f>'B) D RI'!U179</f>
        <v>71120.535138888881</v>
      </c>
      <c r="G177" s="265">
        <f t="shared" si="9"/>
        <v>7.5274215661415491</v>
      </c>
      <c r="H177" s="55">
        <f t="shared" si="10"/>
        <v>258026.91500000001</v>
      </c>
      <c r="I177" s="412">
        <f t="shared" si="11"/>
        <v>3.6280226870637011</v>
      </c>
    </row>
    <row r="178" spans="1:9" x14ac:dyDescent="0.25">
      <c r="A178" s="49">
        <f>'A) Base RI'!A180</f>
        <v>5701</v>
      </c>
      <c r="B178" s="525" t="str">
        <f>'A) Base RI'!B180</f>
        <v>Arnex-sur-Nyon</v>
      </c>
      <c r="C178" s="10">
        <f>'B) D RI'!Y180</f>
        <v>154966.85</v>
      </c>
      <c r="D178" s="442">
        <f>'B) D RI'!Z180</f>
        <v>0</v>
      </c>
      <c r="E178" s="10">
        <f t="shared" si="8"/>
        <v>154966.85</v>
      </c>
      <c r="F178" s="442">
        <f>'B) D RI'!U180</f>
        <v>12579.391714285715</v>
      </c>
      <c r="G178" s="265">
        <f t="shared" si="9"/>
        <v>12.319105209516035</v>
      </c>
      <c r="H178" s="55">
        <f t="shared" si="10"/>
        <v>77483.425000000003</v>
      </c>
      <c r="I178" s="412">
        <f t="shared" si="11"/>
        <v>6.1595526047580176</v>
      </c>
    </row>
    <row r="179" spans="1:9" x14ac:dyDescent="0.25">
      <c r="A179" s="49">
        <f>'A) Base RI'!A181</f>
        <v>5702</v>
      </c>
      <c r="B179" s="525" t="str">
        <f>'A) Base RI'!B181</f>
        <v>Arzier-Le Muids</v>
      </c>
      <c r="C179" s="10">
        <f>'B) D RI'!Y181</f>
        <v>942039.65</v>
      </c>
      <c r="D179" s="442">
        <f>'B) D RI'!Z181</f>
        <v>74885.100000000006</v>
      </c>
      <c r="E179" s="10">
        <f t="shared" si="8"/>
        <v>1016924.75</v>
      </c>
      <c r="F179" s="442">
        <f>'B) D RI'!U181</f>
        <v>167751.11713541666</v>
      </c>
      <c r="G179" s="265">
        <f t="shared" si="9"/>
        <v>6.0621041896197339</v>
      </c>
      <c r="H179" s="55">
        <f t="shared" si="10"/>
        <v>493485.35500000004</v>
      </c>
      <c r="I179" s="412">
        <f t="shared" si="11"/>
        <v>2.9417709010047024</v>
      </c>
    </row>
    <row r="180" spans="1:9" x14ac:dyDescent="0.25">
      <c r="A180" s="49">
        <f>'A) Base RI'!A182</f>
        <v>5703</v>
      </c>
      <c r="B180" s="525" t="str">
        <f>'A) Base RI'!B182</f>
        <v>Bassins</v>
      </c>
      <c r="C180" s="10">
        <f>'B) D RI'!Y182</f>
        <v>508253.25</v>
      </c>
      <c r="D180" s="442">
        <f>'B) D RI'!Z182</f>
        <v>30174.35</v>
      </c>
      <c r="E180" s="10">
        <f t="shared" si="8"/>
        <v>538427.6</v>
      </c>
      <c r="F180" s="442">
        <f>'B) D RI'!U182</f>
        <v>66904.36396059113</v>
      </c>
      <c r="G180" s="265">
        <f t="shared" si="9"/>
        <v>8.0477201803629956</v>
      </c>
      <c r="H180" s="55">
        <f t="shared" si="10"/>
        <v>263178.93</v>
      </c>
      <c r="I180" s="412">
        <f t="shared" si="11"/>
        <v>3.9336586497559565</v>
      </c>
    </row>
    <row r="181" spans="1:9" x14ac:dyDescent="0.25">
      <c r="A181" s="49">
        <f>'A) Base RI'!A183</f>
        <v>5704</v>
      </c>
      <c r="B181" s="525" t="str">
        <f>'A) Base RI'!B183</f>
        <v>Begnins</v>
      </c>
      <c r="C181" s="10">
        <f>'B) D RI'!Y183</f>
        <v>413390.10000000003</v>
      </c>
      <c r="D181" s="442">
        <f>'B) D RI'!Z183</f>
        <v>30752.45</v>
      </c>
      <c r="E181" s="10">
        <f t="shared" si="8"/>
        <v>444142.55000000005</v>
      </c>
      <c r="F181" s="442">
        <f>'B) D RI'!U183</f>
        <v>141538.79477333333</v>
      </c>
      <c r="G181" s="265">
        <f t="shared" si="9"/>
        <v>3.1379562805467587</v>
      </c>
      <c r="H181" s="55">
        <f t="shared" si="10"/>
        <v>215920.78500000003</v>
      </c>
      <c r="I181" s="412">
        <f t="shared" si="11"/>
        <v>1.5255236936684773</v>
      </c>
    </row>
    <row r="182" spans="1:9" x14ac:dyDescent="0.25">
      <c r="A182" s="49">
        <f>'A) Base RI'!A184</f>
        <v>5705</v>
      </c>
      <c r="B182" s="525" t="str">
        <f>'A) Base RI'!B184</f>
        <v>Bogis-Bossey</v>
      </c>
      <c r="C182" s="10">
        <f>'B) D RI'!Y184</f>
        <v>390555.9</v>
      </c>
      <c r="D182" s="442">
        <f>'B) D RI'!Z184</f>
        <v>37516</v>
      </c>
      <c r="E182" s="10">
        <f t="shared" si="8"/>
        <v>428071.9</v>
      </c>
      <c r="F182" s="442">
        <f>'B) D RI'!U184</f>
        <v>56148.948053691274</v>
      </c>
      <c r="G182" s="265">
        <f t="shared" si="9"/>
        <v>7.6238632216344477</v>
      </c>
      <c r="H182" s="55">
        <f t="shared" si="10"/>
        <v>206532.75</v>
      </c>
      <c r="I182" s="412">
        <f t="shared" si="11"/>
        <v>3.6783013245859446</v>
      </c>
    </row>
    <row r="183" spans="1:9" x14ac:dyDescent="0.25">
      <c r="A183" s="49">
        <f>'A) Base RI'!A185</f>
        <v>5706</v>
      </c>
      <c r="B183" s="525" t="str">
        <f>'A) Base RI'!B185</f>
        <v>Borex</v>
      </c>
      <c r="C183" s="10">
        <f>'B) D RI'!Y185</f>
        <v>252898.7</v>
      </c>
      <c r="D183" s="442">
        <f>'B) D RI'!Z185</f>
        <v>15345.4</v>
      </c>
      <c r="E183" s="10">
        <f t="shared" si="8"/>
        <v>268244.10000000003</v>
      </c>
      <c r="F183" s="442">
        <f>'B) D RI'!U185</f>
        <v>84057.706842105254</v>
      </c>
      <c r="G183" s="265">
        <f t="shared" si="9"/>
        <v>3.1911898394262903</v>
      </c>
      <c r="H183" s="55">
        <f t="shared" si="10"/>
        <v>131052.97</v>
      </c>
      <c r="I183" s="412">
        <f t="shared" si="11"/>
        <v>1.5590833360011958</v>
      </c>
    </row>
    <row r="184" spans="1:9" x14ac:dyDescent="0.25">
      <c r="A184" s="49">
        <f>'A) Base RI'!A186</f>
        <v>5707</v>
      </c>
      <c r="B184" s="525" t="str">
        <f>'A) Base RI'!B186</f>
        <v>Chavannes-de-Bogis</v>
      </c>
      <c r="C184" s="10">
        <f>'B) D RI'!Y186</f>
        <v>368880</v>
      </c>
      <c r="D184" s="442">
        <f>'B) D RI'!Z186</f>
        <v>787653.25</v>
      </c>
      <c r="E184" s="10">
        <f t="shared" si="8"/>
        <v>1156533.25</v>
      </c>
      <c r="F184" s="442">
        <f>'B) D RI'!U186</f>
        <v>81835.320459770097</v>
      </c>
      <c r="G184" s="265">
        <f t="shared" si="9"/>
        <v>14.132446033110446</v>
      </c>
      <c r="H184" s="55">
        <f t="shared" si="10"/>
        <v>420735.97499999998</v>
      </c>
      <c r="I184" s="412">
        <f t="shared" si="11"/>
        <v>5.1412516336003353</v>
      </c>
    </row>
    <row r="185" spans="1:9" x14ac:dyDescent="0.25">
      <c r="A185" s="49">
        <f>'A) Base RI'!A187</f>
        <v>5708</v>
      </c>
      <c r="B185" s="525" t="str">
        <f>'A) Base RI'!B187</f>
        <v>Chavannes-des-Bois</v>
      </c>
      <c r="C185" s="10">
        <f>'B) D RI'!Y187</f>
        <v>303407.90000000002</v>
      </c>
      <c r="D185" s="442">
        <f>'B) D RI'!Z187</f>
        <v>8131.3</v>
      </c>
      <c r="E185" s="10">
        <f t="shared" si="8"/>
        <v>311539.20000000001</v>
      </c>
      <c r="F185" s="442">
        <f>'B) D RI'!U187</f>
        <v>67256.112794117653</v>
      </c>
      <c r="G185" s="265">
        <f t="shared" si="9"/>
        <v>4.6321321149450645</v>
      </c>
      <c r="H185" s="55">
        <f t="shared" si="10"/>
        <v>154143.34000000003</v>
      </c>
      <c r="I185" s="412">
        <f t="shared" si="11"/>
        <v>2.291885950528525</v>
      </c>
    </row>
    <row r="186" spans="1:9" x14ac:dyDescent="0.25">
      <c r="A186" s="49">
        <f>'A) Base RI'!A188</f>
        <v>5709</v>
      </c>
      <c r="B186" s="525" t="str">
        <f>'A) Base RI'!B188</f>
        <v>Chéserex</v>
      </c>
      <c r="C186" s="10">
        <f>'B) D RI'!Y188</f>
        <v>449715.15</v>
      </c>
      <c r="D186" s="442">
        <f>'B) D RI'!Z188</f>
        <v>40941</v>
      </c>
      <c r="E186" s="10">
        <f t="shared" si="8"/>
        <v>490656.15</v>
      </c>
      <c r="F186" s="442">
        <f>'B) D RI'!U188</f>
        <v>97368.06631578946</v>
      </c>
      <c r="G186" s="265">
        <f t="shared" si="9"/>
        <v>5.0391896292638396</v>
      </c>
      <c r="H186" s="55">
        <f t="shared" si="10"/>
        <v>237139.875</v>
      </c>
      <c r="I186" s="412">
        <f t="shared" si="11"/>
        <v>2.4354994812251372</v>
      </c>
    </row>
    <row r="187" spans="1:9" x14ac:dyDescent="0.25">
      <c r="A187" s="49">
        <f>'A) Base RI'!A189</f>
        <v>5710</v>
      </c>
      <c r="B187" s="525" t="str">
        <f>'A) Base RI'!B189</f>
        <v>Coinsins</v>
      </c>
      <c r="C187" s="10">
        <f>'B) D RI'!Y189</f>
        <v>70805.95</v>
      </c>
      <c r="D187" s="442">
        <f>'B) D RI'!Z189</f>
        <v>29012.95</v>
      </c>
      <c r="E187" s="10">
        <f t="shared" si="8"/>
        <v>99818.9</v>
      </c>
      <c r="F187" s="442">
        <f>'B) D RI'!U189</f>
        <v>41108.965294117646</v>
      </c>
      <c r="G187" s="265">
        <f t="shared" si="9"/>
        <v>2.4281540361290301</v>
      </c>
      <c r="H187" s="55">
        <f t="shared" si="10"/>
        <v>44106.86</v>
      </c>
      <c r="I187" s="412">
        <f t="shared" si="11"/>
        <v>1.0729255695061566</v>
      </c>
    </row>
    <row r="188" spans="1:9" x14ac:dyDescent="0.25">
      <c r="A188" s="49">
        <f>'A) Base RI'!A190</f>
        <v>5711</v>
      </c>
      <c r="B188" s="525" t="str">
        <f>'A) Base RI'!B190</f>
        <v>Commugny</v>
      </c>
      <c r="C188" s="10">
        <f>'B) D RI'!Y190</f>
        <v>1259811.1000000001</v>
      </c>
      <c r="D188" s="442">
        <f>'B) D RI'!Z190</f>
        <v>40394.75</v>
      </c>
      <c r="E188" s="10">
        <f t="shared" si="8"/>
        <v>1300205.8500000001</v>
      </c>
      <c r="F188" s="442">
        <f>'B) D RI'!U190</f>
        <v>252772.67295911297</v>
      </c>
      <c r="G188" s="265">
        <f t="shared" si="9"/>
        <v>5.1437753724680269</v>
      </c>
      <c r="H188" s="55">
        <f t="shared" si="10"/>
        <v>642023.97500000009</v>
      </c>
      <c r="I188" s="412">
        <f t="shared" si="11"/>
        <v>2.5399263594599488</v>
      </c>
    </row>
    <row r="189" spans="1:9" x14ac:dyDescent="0.25">
      <c r="A189" s="49">
        <f>'A) Base RI'!A191</f>
        <v>5712</v>
      </c>
      <c r="B189" s="525" t="str">
        <f>'A) Base RI'!B191</f>
        <v>Coppet</v>
      </c>
      <c r="C189" s="10">
        <f>'B) D RI'!Y191</f>
        <v>1617576.5499999998</v>
      </c>
      <c r="D189" s="442">
        <f>'B) D RI'!Z191</f>
        <v>122896.1</v>
      </c>
      <c r="E189" s="10">
        <f t="shared" si="8"/>
        <v>1740472.65</v>
      </c>
      <c r="F189" s="442">
        <f>'B) D RI'!U191</f>
        <v>382004.08345911955</v>
      </c>
      <c r="G189" s="265">
        <f t="shared" si="9"/>
        <v>4.5561624217199181</v>
      </c>
      <c r="H189" s="55">
        <f t="shared" si="10"/>
        <v>845657.10499999986</v>
      </c>
      <c r="I189" s="412">
        <f t="shared" si="11"/>
        <v>2.2137383908109416</v>
      </c>
    </row>
    <row r="190" spans="1:9" x14ac:dyDescent="0.25">
      <c r="A190" s="49">
        <f>'A) Base RI'!A192</f>
        <v>5713</v>
      </c>
      <c r="B190" s="525" t="str">
        <f>'A) Base RI'!B192</f>
        <v>Crans-près-Céligny</v>
      </c>
      <c r="C190" s="10">
        <f>'B) D RI'!Y192</f>
        <v>1944186.35</v>
      </c>
      <c r="D190" s="442">
        <f>'B) D RI'!Z192</f>
        <v>47661.35</v>
      </c>
      <c r="E190" s="10">
        <f t="shared" si="8"/>
        <v>1991847.7000000002</v>
      </c>
      <c r="F190" s="442">
        <f>'B) D RI'!U192</f>
        <v>308668.8301785714</v>
      </c>
      <c r="G190" s="265">
        <f t="shared" si="9"/>
        <v>6.4530250717173949</v>
      </c>
      <c r="H190" s="55">
        <f t="shared" si="10"/>
        <v>986391.58000000007</v>
      </c>
      <c r="I190" s="412">
        <f t="shared" si="11"/>
        <v>3.1956306680831745</v>
      </c>
    </row>
    <row r="191" spans="1:9" x14ac:dyDescent="0.25">
      <c r="A191" s="49">
        <f>'A) Base RI'!A193</f>
        <v>5714</v>
      </c>
      <c r="B191" s="525" t="str">
        <f>'A) Base RI'!B193</f>
        <v>Crassier</v>
      </c>
      <c r="C191" s="10">
        <f>'B) D RI'!Y193</f>
        <v>248309.75</v>
      </c>
      <c r="D191" s="442">
        <f>'B) D RI'!Z193</f>
        <v>130763.45</v>
      </c>
      <c r="E191" s="10">
        <f t="shared" si="8"/>
        <v>379073.2</v>
      </c>
      <c r="F191" s="442">
        <f>'B) D RI'!U193</f>
        <v>53429.691617647055</v>
      </c>
      <c r="G191" s="265">
        <f t="shared" si="9"/>
        <v>7.0948041907619324</v>
      </c>
      <c r="H191" s="55">
        <f t="shared" si="10"/>
        <v>163383.91</v>
      </c>
      <c r="I191" s="412">
        <f t="shared" si="11"/>
        <v>3.0579235075733933</v>
      </c>
    </row>
    <row r="192" spans="1:9" x14ac:dyDescent="0.25">
      <c r="A192" s="49">
        <f>'A) Base RI'!A194</f>
        <v>5715</v>
      </c>
      <c r="B192" s="525" t="str">
        <f>'A) Base RI'!B194</f>
        <v>Duillier</v>
      </c>
      <c r="C192" s="10">
        <f>'B) D RI'!Y194</f>
        <v>422319.6</v>
      </c>
      <c r="D192" s="442">
        <f>'B) D RI'!Z194</f>
        <v>89546.35</v>
      </c>
      <c r="E192" s="10">
        <f t="shared" si="8"/>
        <v>511865.94999999995</v>
      </c>
      <c r="F192" s="442">
        <f>'B) D RI'!U194</f>
        <v>61573.714242424234</v>
      </c>
      <c r="G192" s="265">
        <f t="shared" si="9"/>
        <v>8.3130594978356012</v>
      </c>
      <c r="H192" s="55">
        <f t="shared" si="10"/>
        <v>238023.70499999999</v>
      </c>
      <c r="I192" s="412">
        <f t="shared" si="11"/>
        <v>3.8656707318786672</v>
      </c>
    </row>
    <row r="193" spans="1:9" x14ac:dyDescent="0.25">
      <c r="A193" s="49">
        <f>'A) Base RI'!A195</f>
        <v>5716</v>
      </c>
      <c r="B193" s="525" t="str">
        <f>'A) Base RI'!B195</f>
        <v>Eysins</v>
      </c>
      <c r="C193" s="10">
        <f>'B) D RI'!Y195</f>
        <v>1337686.3499999999</v>
      </c>
      <c r="D193" s="442">
        <f>'B) D RI'!Z195</f>
        <v>574592.4</v>
      </c>
      <c r="E193" s="10">
        <f t="shared" si="8"/>
        <v>1912278.75</v>
      </c>
      <c r="F193" s="442">
        <f>'B) D RI'!U195</f>
        <v>311499.41949579836</v>
      </c>
      <c r="G193" s="265">
        <f t="shared" si="9"/>
        <v>6.1389480375124537</v>
      </c>
      <c r="H193" s="55">
        <f t="shared" si="10"/>
        <v>841220.8949999999</v>
      </c>
      <c r="I193" s="412">
        <f t="shared" si="11"/>
        <v>2.7005536522720441</v>
      </c>
    </row>
    <row r="194" spans="1:9" x14ac:dyDescent="0.25">
      <c r="A194" s="49">
        <f>'A) Base RI'!A196</f>
        <v>5717</v>
      </c>
      <c r="B194" s="525" t="str">
        <f>'A) Base RI'!B196</f>
        <v>Founex</v>
      </c>
      <c r="C194" s="10">
        <f>'B) D RI'!Y196</f>
        <v>2178651.9</v>
      </c>
      <c r="D194" s="442">
        <f>'B) D RI'!Z196</f>
        <v>222193.9</v>
      </c>
      <c r="E194" s="10">
        <f t="shared" si="8"/>
        <v>2400845.7999999998</v>
      </c>
      <c r="F194" s="442">
        <f>'B) D RI'!U196</f>
        <v>386801.60228070174</v>
      </c>
      <c r="G194" s="265">
        <f t="shared" si="9"/>
        <v>6.2069179285811416</v>
      </c>
      <c r="H194" s="55">
        <f t="shared" si="10"/>
        <v>1155984.1199999999</v>
      </c>
      <c r="I194" s="412">
        <f t="shared" si="11"/>
        <v>2.9885711775338066</v>
      </c>
    </row>
    <row r="195" spans="1:9" x14ac:dyDescent="0.25">
      <c r="A195" s="49">
        <f>'A) Base RI'!A197</f>
        <v>5718</v>
      </c>
      <c r="B195" s="525" t="str">
        <f>'A) Base RI'!B197</f>
        <v>Genolier</v>
      </c>
      <c r="C195" s="10">
        <f>'B) D RI'!Y197</f>
        <v>824139.8</v>
      </c>
      <c r="D195" s="442">
        <f>'B) D RI'!Z197</f>
        <v>269907.05</v>
      </c>
      <c r="E195" s="10">
        <f t="shared" si="8"/>
        <v>1094046.8500000001</v>
      </c>
      <c r="F195" s="442">
        <f>'B) D RI'!U197</f>
        <v>245082.27927272729</v>
      </c>
      <c r="G195" s="265">
        <f t="shared" si="9"/>
        <v>4.4639981856156394</v>
      </c>
      <c r="H195" s="55">
        <f t="shared" si="10"/>
        <v>493042.01500000001</v>
      </c>
      <c r="I195" s="412">
        <f t="shared" si="11"/>
        <v>2.0117407772731841</v>
      </c>
    </row>
    <row r="196" spans="1:9" x14ac:dyDescent="0.25">
      <c r="A196" s="49">
        <f>'A) Base RI'!A198</f>
        <v>5719</v>
      </c>
      <c r="B196" s="525" t="str">
        <f>'A) Base RI'!B198</f>
        <v>Gingins</v>
      </c>
      <c r="C196" s="10">
        <f>'B) D RI'!Y198</f>
        <v>413047.9</v>
      </c>
      <c r="D196" s="442">
        <f>'B) D RI'!Z198</f>
        <v>52212.85</v>
      </c>
      <c r="E196" s="10">
        <f t="shared" si="8"/>
        <v>465260.75</v>
      </c>
      <c r="F196" s="442">
        <f>'B) D RI'!U198</f>
        <v>145761.41602339179</v>
      </c>
      <c r="G196" s="265">
        <f t="shared" si="9"/>
        <v>3.1919335218679197</v>
      </c>
      <c r="H196" s="55">
        <f t="shared" si="10"/>
        <v>222187.80500000002</v>
      </c>
      <c r="I196" s="412">
        <f t="shared" si="11"/>
        <v>1.5243252368263445</v>
      </c>
    </row>
    <row r="197" spans="1:9" x14ac:dyDescent="0.25">
      <c r="A197" s="49">
        <f>'A) Base RI'!A199</f>
        <v>5720</v>
      </c>
      <c r="B197" s="525" t="str">
        <f>'A) Base RI'!B199</f>
        <v>Givrins</v>
      </c>
      <c r="C197" s="10">
        <f>'B) D RI'!Y199</f>
        <v>560279.10000000009</v>
      </c>
      <c r="D197" s="442">
        <f>'B) D RI'!Z199</f>
        <v>9872.7000000000007</v>
      </c>
      <c r="E197" s="10">
        <f t="shared" si="8"/>
        <v>570151.80000000005</v>
      </c>
      <c r="F197" s="442">
        <f>'B) D RI'!U199</f>
        <v>84172.254543946925</v>
      </c>
      <c r="G197" s="265">
        <f t="shared" si="9"/>
        <v>6.773631086503924</v>
      </c>
      <c r="H197" s="55">
        <f t="shared" si="10"/>
        <v>283101.36000000004</v>
      </c>
      <c r="I197" s="412">
        <f t="shared" si="11"/>
        <v>3.36335721947653</v>
      </c>
    </row>
    <row r="198" spans="1:9" x14ac:dyDescent="0.25">
      <c r="A198" s="49">
        <f>'A) Base RI'!A200</f>
        <v>5721</v>
      </c>
      <c r="B198" s="525" t="str">
        <f>'A) Base RI'!B200</f>
        <v>Gland</v>
      </c>
      <c r="C198" s="10">
        <f>'B) D RI'!Y200</f>
        <v>3077561.8</v>
      </c>
      <c r="D198" s="442">
        <f>'B) D RI'!Z200</f>
        <v>2223465.7000000002</v>
      </c>
      <c r="E198" s="10">
        <f t="shared" ref="E198:E261" si="12">C198+D198</f>
        <v>5301027.5</v>
      </c>
      <c r="F198" s="442">
        <f>'B) D RI'!U200</f>
        <v>651107.04049180343</v>
      </c>
      <c r="G198" s="265">
        <f t="shared" ref="G198:G261" si="13">E198/F198</f>
        <v>8.1415607117317492</v>
      </c>
      <c r="H198" s="55">
        <f t="shared" ref="H198:H261" si="14">(C198*$C$4)+(D198*$D$4)</f>
        <v>2205820.61</v>
      </c>
      <c r="I198" s="412">
        <f t="shared" ref="I198:I261" si="15">H198/F198</f>
        <v>3.3878002737213042</v>
      </c>
    </row>
    <row r="199" spans="1:9" x14ac:dyDescent="0.25">
      <c r="A199" s="49">
        <f>'A) Base RI'!A201</f>
        <v>5722</v>
      </c>
      <c r="B199" s="525" t="str">
        <f>'A) Base RI'!B201</f>
        <v>Grens</v>
      </c>
      <c r="C199" s="10">
        <f>'B) D RI'!Y201</f>
        <v>14213.45</v>
      </c>
      <c r="D199" s="442">
        <f>'B) D RI'!Z201</f>
        <v>22755.3</v>
      </c>
      <c r="E199" s="10">
        <f t="shared" si="12"/>
        <v>36968.75</v>
      </c>
      <c r="F199" s="442">
        <f>'B) D RI'!U201</f>
        <v>25525.601935483872</v>
      </c>
      <c r="G199" s="265">
        <f t="shared" si="13"/>
        <v>1.4483008116101928</v>
      </c>
      <c r="H199" s="55">
        <f t="shared" si="14"/>
        <v>13933.314999999999</v>
      </c>
      <c r="I199" s="412">
        <f t="shared" si="15"/>
        <v>0.54585647128778958</v>
      </c>
    </row>
    <row r="200" spans="1:9" x14ac:dyDescent="0.25">
      <c r="A200" s="49">
        <f>'A) Base RI'!A202</f>
        <v>5723</v>
      </c>
      <c r="B200" s="525" t="str">
        <f>'A) Base RI'!B202</f>
        <v>Mies</v>
      </c>
      <c r="C200" s="10">
        <f>'B) D RI'!Y202</f>
        <v>1235029.55</v>
      </c>
      <c r="D200" s="442">
        <f>'B) D RI'!Z202</f>
        <v>92665.45</v>
      </c>
      <c r="E200" s="10">
        <f t="shared" si="12"/>
        <v>1327695</v>
      </c>
      <c r="F200" s="442">
        <f>'B) D RI'!U202</f>
        <v>197805.17519230774</v>
      </c>
      <c r="G200" s="265">
        <f t="shared" si="13"/>
        <v>6.7121347998564982</v>
      </c>
      <c r="H200" s="55">
        <f t="shared" si="14"/>
        <v>645314.41</v>
      </c>
      <c r="I200" s="412">
        <f t="shared" si="15"/>
        <v>3.2623737441278791</v>
      </c>
    </row>
    <row r="201" spans="1:9" x14ac:dyDescent="0.25">
      <c r="A201" s="49">
        <f>'A) Base RI'!A203</f>
        <v>5724</v>
      </c>
      <c r="B201" s="525" t="str">
        <f>'A) Base RI'!B203</f>
        <v>Nyon</v>
      </c>
      <c r="C201" s="10">
        <f>'B) D RI'!Y203</f>
        <v>13228631.25</v>
      </c>
      <c r="D201" s="442">
        <f>'B) D RI'!Z203</f>
        <v>4660553.0999999996</v>
      </c>
      <c r="E201" s="10">
        <f t="shared" si="12"/>
        <v>17889184.350000001</v>
      </c>
      <c r="F201" s="442">
        <f>'B) D RI'!U203</f>
        <v>1415730.6761202184</v>
      </c>
      <c r="G201" s="265">
        <f t="shared" si="13"/>
        <v>12.636008141763908</v>
      </c>
      <c r="H201" s="55">
        <f t="shared" si="14"/>
        <v>8012481.5549999997</v>
      </c>
      <c r="I201" s="412">
        <f t="shared" si="15"/>
        <v>5.6596086318889727</v>
      </c>
    </row>
    <row r="202" spans="1:9" x14ac:dyDescent="0.25">
      <c r="A202" s="49">
        <f>'A) Base RI'!A204</f>
        <v>5725</v>
      </c>
      <c r="B202" s="525" t="str">
        <f>'A) Base RI'!B204</f>
        <v>Prangins</v>
      </c>
      <c r="C202" s="10">
        <f>'B) D RI'!Y204</f>
        <v>1145008.8999999999</v>
      </c>
      <c r="D202" s="442">
        <f>'B) D RI'!Z204</f>
        <v>1101910.6000000001</v>
      </c>
      <c r="E202" s="10">
        <f t="shared" si="12"/>
        <v>2246919.5</v>
      </c>
      <c r="F202" s="442">
        <f>'B) D RI'!U204</f>
        <v>312804.93402597401</v>
      </c>
      <c r="G202" s="265">
        <f t="shared" si="13"/>
        <v>7.1831331784984735</v>
      </c>
      <c r="H202" s="55">
        <f t="shared" si="14"/>
        <v>903077.62999999989</v>
      </c>
      <c r="I202" s="412">
        <f t="shared" si="15"/>
        <v>2.8870312829688682</v>
      </c>
    </row>
    <row r="203" spans="1:9" x14ac:dyDescent="0.25">
      <c r="A203" s="49">
        <f>'A) Base RI'!A205</f>
        <v>5726</v>
      </c>
      <c r="B203" s="525" t="str">
        <f>'A) Base RI'!B205</f>
        <v>La Rippe</v>
      </c>
      <c r="C203" s="10">
        <f>'B) D RI'!Y205</f>
        <v>529163.75</v>
      </c>
      <c r="D203" s="442">
        <f>'B) D RI'!Z205</f>
        <v>38077.35</v>
      </c>
      <c r="E203" s="10">
        <f t="shared" si="12"/>
        <v>567241.1</v>
      </c>
      <c r="F203" s="442">
        <f>'B) D RI'!U205</f>
        <v>66324.764153846147</v>
      </c>
      <c r="G203" s="265">
        <f t="shared" si="13"/>
        <v>8.5524782068464535</v>
      </c>
      <c r="H203" s="55">
        <f t="shared" si="14"/>
        <v>276005.08</v>
      </c>
      <c r="I203" s="412">
        <f t="shared" si="15"/>
        <v>4.1614181900410809</v>
      </c>
    </row>
    <row r="204" spans="1:9" x14ac:dyDescent="0.25">
      <c r="A204" s="49">
        <f>'A) Base RI'!A206</f>
        <v>5727</v>
      </c>
      <c r="B204" s="525" t="str">
        <f>'A) Base RI'!B206</f>
        <v>Saint-Cergue</v>
      </c>
      <c r="C204" s="10">
        <f>'B) D RI'!Y206</f>
        <v>649415.94999999995</v>
      </c>
      <c r="D204" s="442">
        <f>'B) D RI'!Z206</f>
        <v>191922.4</v>
      </c>
      <c r="E204" s="10">
        <f t="shared" si="12"/>
        <v>841338.35</v>
      </c>
      <c r="F204" s="442">
        <f>'B) D RI'!U206</f>
        <v>105125.05141414142</v>
      </c>
      <c r="G204" s="265">
        <f t="shared" si="13"/>
        <v>8.0032146351637667</v>
      </c>
      <c r="H204" s="55">
        <f t="shared" si="14"/>
        <v>382284.69499999995</v>
      </c>
      <c r="I204" s="412">
        <f t="shared" si="15"/>
        <v>3.6364757006775172</v>
      </c>
    </row>
    <row r="205" spans="1:9" x14ac:dyDescent="0.25">
      <c r="A205" s="49">
        <f>'A) Base RI'!A207</f>
        <v>5728</v>
      </c>
      <c r="B205" s="525" t="str">
        <f>'A) Base RI'!B207</f>
        <v>Signy-Avenex</v>
      </c>
      <c r="C205" s="10">
        <f>'B) D RI'!Y207</f>
        <v>110248.5</v>
      </c>
      <c r="D205" s="442">
        <f>'B) D RI'!Z207</f>
        <v>219621.1</v>
      </c>
      <c r="E205" s="10">
        <f t="shared" si="12"/>
        <v>329869.59999999998</v>
      </c>
      <c r="F205" s="442">
        <f>'B) D RI'!U207</f>
        <v>49286.820862068969</v>
      </c>
      <c r="G205" s="265">
        <f t="shared" si="13"/>
        <v>6.6928561069733536</v>
      </c>
      <c r="H205" s="55">
        <f t="shared" si="14"/>
        <v>121010.58</v>
      </c>
      <c r="I205" s="412">
        <f t="shared" si="15"/>
        <v>2.4552320048934111</v>
      </c>
    </row>
    <row r="206" spans="1:9" x14ac:dyDescent="0.25">
      <c r="A206" s="49">
        <f>'A) Base RI'!A208</f>
        <v>5729</v>
      </c>
      <c r="B206" s="525" t="str">
        <f>'A) Base RI'!B208</f>
        <v>Tannay</v>
      </c>
      <c r="C206" s="10">
        <f>'B) D RI'!Y208</f>
        <v>1122654.8500000001</v>
      </c>
      <c r="D206" s="442">
        <f>'B) D RI'!Z208</f>
        <v>15293.7</v>
      </c>
      <c r="E206" s="10">
        <f t="shared" si="12"/>
        <v>1137948.55</v>
      </c>
      <c r="F206" s="442">
        <f>'B) D RI'!U208</f>
        <v>130826.66865013774</v>
      </c>
      <c r="G206" s="265">
        <f t="shared" si="13"/>
        <v>8.6981390089749251</v>
      </c>
      <c r="H206" s="55">
        <f t="shared" si="14"/>
        <v>565915.53500000003</v>
      </c>
      <c r="I206" s="412">
        <f t="shared" si="15"/>
        <v>4.3256894090408702</v>
      </c>
    </row>
    <row r="207" spans="1:9" x14ac:dyDescent="0.25">
      <c r="A207" s="49">
        <f>'A) Base RI'!A209</f>
        <v>5730</v>
      </c>
      <c r="B207" s="525" t="str">
        <f>'A) Base RI'!B209</f>
        <v>Trélex</v>
      </c>
      <c r="C207" s="10">
        <f>'B) D RI'!Y209</f>
        <v>811179.3</v>
      </c>
      <c r="D207" s="442">
        <f>'B) D RI'!Z209</f>
        <v>7297.75</v>
      </c>
      <c r="E207" s="10">
        <f t="shared" si="12"/>
        <v>818477.05</v>
      </c>
      <c r="F207" s="442">
        <f>'B) D RI'!U209</f>
        <v>111625.98756756757</v>
      </c>
      <c r="G207" s="265">
        <f t="shared" si="13"/>
        <v>7.3323163166155485</v>
      </c>
      <c r="H207" s="55">
        <f t="shared" si="14"/>
        <v>407778.97500000003</v>
      </c>
      <c r="I207" s="412">
        <f t="shared" si="15"/>
        <v>3.6530827980641165</v>
      </c>
    </row>
    <row r="208" spans="1:9" x14ac:dyDescent="0.25">
      <c r="A208" s="49">
        <f>'A) Base RI'!A210</f>
        <v>5731</v>
      </c>
      <c r="B208" s="525" t="str">
        <f>'A) Base RI'!B210</f>
        <v>Le Vaud</v>
      </c>
      <c r="C208" s="10">
        <f>'B) D RI'!Y210</f>
        <v>288999.15000000002</v>
      </c>
      <c r="D208" s="442">
        <f>'B) D RI'!Z210</f>
        <v>25723.95</v>
      </c>
      <c r="E208" s="10">
        <f t="shared" si="12"/>
        <v>314723.10000000003</v>
      </c>
      <c r="F208" s="442">
        <f>'B) D RI'!U210</f>
        <v>63942.206576576558</v>
      </c>
      <c r="G208" s="265">
        <f t="shared" si="13"/>
        <v>4.921993106745397</v>
      </c>
      <c r="H208" s="55">
        <f t="shared" si="14"/>
        <v>152216.76</v>
      </c>
      <c r="I208" s="412">
        <f t="shared" si="15"/>
        <v>2.3805365524523574</v>
      </c>
    </row>
    <row r="209" spans="1:9" x14ac:dyDescent="0.25">
      <c r="A209" s="49">
        <f>'A) Base RI'!A211</f>
        <v>5732</v>
      </c>
      <c r="B209" s="525" t="str">
        <f>'A) Base RI'!B211</f>
        <v>Vich</v>
      </c>
      <c r="C209" s="10">
        <f>'B) D RI'!Y211</f>
        <v>531177.55000000005</v>
      </c>
      <c r="D209" s="442">
        <f>'B) D RI'!Z211</f>
        <v>118685.7</v>
      </c>
      <c r="E209" s="10">
        <f t="shared" si="12"/>
        <v>649863.25</v>
      </c>
      <c r="F209" s="442">
        <f>'B) D RI'!U211</f>
        <v>71006.972380952371</v>
      </c>
      <c r="G209" s="265">
        <f t="shared" si="13"/>
        <v>9.1521047611139359</v>
      </c>
      <c r="H209" s="55">
        <f t="shared" si="14"/>
        <v>301194.48500000004</v>
      </c>
      <c r="I209" s="412">
        <f t="shared" si="15"/>
        <v>4.2417592934971484</v>
      </c>
    </row>
    <row r="210" spans="1:9" x14ac:dyDescent="0.25">
      <c r="A210" s="49">
        <f>'A) Base RI'!A212</f>
        <v>5741</v>
      </c>
      <c r="B210" s="525" t="str">
        <f>'A) Base RI'!B212</f>
        <v>L'Abergement</v>
      </c>
      <c r="C210" s="10">
        <f>'B) D RI'!Y212</f>
        <v>44124.7</v>
      </c>
      <c r="D210" s="442">
        <f>'B) D RI'!Z212</f>
        <v>10634.3</v>
      </c>
      <c r="E210" s="10">
        <f t="shared" si="12"/>
        <v>54759</v>
      </c>
      <c r="F210" s="442">
        <f>'B) D RI'!U212</f>
        <v>7368.9297325102852</v>
      </c>
      <c r="G210" s="265">
        <f t="shared" si="13"/>
        <v>7.4310655668779058</v>
      </c>
      <c r="H210" s="55">
        <f t="shared" si="14"/>
        <v>25252.639999999999</v>
      </c>
      <c r="I210" s="412">
        <f t="shared" si="15"/>
        <v>3.4269074230129055</v>
      </c>
    </row>
    <row r="211" spans="1:9" x14ac:dyDescent="0.25">
      <c r="A211" s="49">
        <f>'A) Base RI'!A213</f>
        <v>5742</v>
      </c>
      <c r="B211" s="525" t="str">
        <f>'A) Base RI'!B213</f>
        <v>Agiez</v>
      </c>
      <c r="C211" s="10">
        <f>'B) D RI'!Y213</f>
        <v>31930.2</v>
      </c>
      <c r="D211" s="442">
        <f>'B) D RI'!Z213</f>
        <v>0</v>
      </c>
      <c r="E211" s="10">
        <f t="shared" si="12"/>
        <v>31930.2</v>
      </c>
      <c r="F211" s="442">
        <f>'B) D RI'!U213</f>
        <v>8960.136710526318</v>
      </c>
      <c r="G211" s="265">
        <f t="shared" si="13"/>
        <v>3.5635840201510076</v>
      </c>
      <c r="H211" s="55">
        <f t="shared" si="14"/>
        <v>15965.1</v>
      </c>
      <c r="I211" s="412">
        <f t="shared" si="15"/>
        <v>1.7817920100755038</v>
      </c>
    </row>
    <row r="212" spans="1:9" x14ac:dyDescent="0.25">
      <c r="A212" s="49">
        <f>'A) Base RI'!A214</f>
        <v>5743</v>
      </c>
      <c r="B212" s="525" t="str">
        <f>'A) Base RI'!B214</f>
        <v>Arnex-sur-Orbe</v>
      </c>
      <c r="C212" s="10">
        <f>'B) D RI'!Y214</f>
        <v>51433.249999999993</v>
      </c>
      <c r="D212" s="442">
        <f>'B) D RI'!Z214</f>
        <v>24432.05</v>
      </c>
      <c r="E212" s="10">
        <f t="shared" si="12"/>
        <v>75865.299999999988</v>
      </c>
      <c r="F212" s="442">
        <f>'B) D RI'!U214</f>
        <v>20549.584577464786</v>
      </c>
      <c r="G212" s="265">
        <f t="shared" si="13"/>
        <v>3.6918167233023227</v>
      </c>
      <c r="H212" s="55">
        <f t="shared" si="14"/>
        <v>33046.239999999998</v>
      </c>
      <c r="I212" s="412">
        <f t="shared" si="15"/>
        <v>1.6081220462353956</v>
      </c>
    </row>
    <row r="213" spans="1:9" x14ac:dyDescent="0.25">
      <c r="A213" s="49">
        <f>'A) Base RI'!A215</f>
        <v>5744</v>
      </c>
      <c r="B213" s="525" t="str">
        <f>'A) Base RI'!B215</f>
        <v>Ballaigues</v>
      </c>
      <c r="C213" s="10">
        <f>'B) D RI'!Y215</f>
        <v>157398.70000000001</v>
      </c>
      <c r="D213" s="442">
        <f>'B) D RI'!Z215</f>
        <v>1275736.1499999999</v>
      </c>
      <c r="E213" s="10">
        <f t="shared" si="12"/>
        <v>1433134.8499999999</v>
      </c>
      <c r="F213" s="442">
        <f>'B) D RI'!U215</f>
        <v>40453.358769230777</v>
      </c>
      <c r="G213" s="265">
        <f t="shared" si="13"/>
        <v>35.426844484667519</v>
      </c>
      <c r="H213" s="55">
        <f t="shared" si="14"/>
        <v>461420.19499999995</v>
      </c>
      <c r="I213" s="412">
        <f t="shared" si="15"/>
        <v>11.406227048592086</v>
      </c>
    </row>
    <row r="214" spans="1:9" x14ac:dyDescent="0.25">
      <c r="A214" s="49">
        <f>'A) Base RI'!A216</f>
        <v>5745</v>
      </c>
      <c r="B214" s="525" t="str">
        <f>'A) Base RI'!B216</f>
        <v>Baulmes</v>
      </c>
      <c r="C214" s="10">
        <f>'B) D RI'!Y216</f>
        <v>88572.75</v>
      </c>
      <c r="D214" s="442">
        <f>'B) D RI'!Z216</f>
        <v>205276.15</v>
      </c>
      <c r="E214" s="10">
        <f t="shared" si="12"/>
        <v>293848.90000000002</v>
      </c>
      <c r="F214" s="442">
        <f>'B) D RI'!U216</f>
        <v>26827.589150326792</v>
      </c>
      <c r="G214" s="265">
        <f t="shared" si="13"/>
        <v>10.953235430639529</v>
      </c>
      <c r="H214" s="55">
        <f t="shared" si="14"/>
        <v>105869.22</v>
      </c>
      <c r="I214" s="412">
        <f t="shared" si="15"/>
        <v>3.9462815464620453</v>
      </c>
    </row>
    <row r="215" spans="1:9" x14ac:dyDescent="0.25">
      <c r="A215" s="49">
        <f>'A) Base RI'!A217</f>
        <v>5746</v>
      </c>
      <c r="B215" s="525" t="str">
        <f>'A) Base RI'!B217</f>
        <v>Bavois</v>
      </c>
      <c r="C215" s="10">
        <f>'B) D RI'!Y217</f>
        <v>396814.10000000003</v>
      </c>
      <c r="D215" s="442">
        <f>'B) D RI'!Z217</f>
        <v>22104.3</v>
      </c>
      <c r="E215" s="10">
        <f t="shared" si="12"/>
        <v>418918.40000000002</v>
      </c>
      <c r="F215" s="442">
        <f>'B) D RI'!U217</f>
        <v>30466.611141552505</v>
      </c>
      <c r="G215" s="265">
        <f t="shared" si="13"/>
        <v>13.750081952129218</v>
      </c>
      <c r="H215" s="55">
        <f t="shared" si="14"/>
        <v>205038.34000000003</v>
      </c>
      <c r="I215" s="412">
        <f t="shared" si="15"/>
        <v>6.7299358976080645</v>
      </c>
    </row>
    <row r="216" spans="1:9" x14ac:dyDescent="0.25">
      <c r="A216" s="49">
        <f>'A) Base RI'!A218</f>
        <v>5747</v>
      </c>
      <c r="B216" s="525" t="str">
        <f>'A) Base RI'!B218</f>
        <v>Bofflens</v>
      </c>
      <c r="C216" s="10">
        <f>'B) D RI'!Y218</f>
        <v>48767.7</v>
      </c>
      <c r="D216" s="442">
        <f>'B) D RI'!Z218</f>
        <v>0</v>
      </c>
      <c r="E216" s="10">
        <f t="shared" si="12"/>
        <v>48767.7</v>
      </c>
      <c r="F216" s="442">
        <f>'B) D RI'!U218</f>
        <v>5608.7786956521741</v>
      </c>
      <c r="G216" s="265">
        <f t="shared" si="13"/>
        <v>8.6948875408123794</v>
      </c>
      <c r="H216" s="55">
        <f t="shared" si="14"/>
        <v>24383.85</v>
      </c>
      <c r="I216" s="412">
        <f t="shared" si="15"/>
        <v>4.3474437704061897</v>
      </c>
    </row>
    <row r="217" spans="1:9" x14ac:dyDescent="0.25">
      <c r="A217" s="49">
        <f>'A) Base RI'!A219</f>
        <v>5748</v>
      </c>
      <c r="B217" s="525" t="str">
        <f>'A) Base RI'!B219</f>
        <v>Bretonnières</v>
      </c>
      <c r="C217" s="10">
        <f>'B) D RI'!Y219</f>
        <v>28791.05</v>
      </c>
      <c r="D217" s="442">
        <f>'B) D RI'!Z219</f>
        <v>0</v>
      </c>
      <c r="E217" s="10">
        <f t="shared" si="12"/>
        <v>28791.05</v>
      </c>
      <c r="F217" s="442">
        <f>'B) D RI'!U219</f>
        <v>5789.9884160756492</v>
      </c>
      <c r="G217" s="265">
        <f t="shared" si="13"/>
        <v>4.9725574441674025</v>
      </c>
      <c r="H217" s="55">
        <f t="shared" si="14"/>
        <v>14395.525</v>
      </c>
      <c r="I217" s="412">
        <f t="shared" si="15"/>
        <v>2.4862787220837013</v>
      </c>
    </row>
    <row r="218" spans="1:9" x14ac:dyDescent="0.25">
      <c r="A218" s="49">
        <f>'A) Base RI'!A220</f>
        <v>5749</v>
      </c>
      <c r="B218" s="525" t="str">
        <f>'A) Base RI'!B220</f>
        <v>Chavornay</v>
      </c>
      <c r="C218" s="10">
        <f>'B) D RI'!Y220</f>
        <v>746649.59999999998</v>
      </c>
      <c r="D218" s="442">
        <f>'B) D RI'!Z220</f>
        <v>712723.2</v>
      </c>
      <c r="E218" s="10">
        <f t="shared" si="12"/>
        <v>1459372.7999999998</v>
      </c>
      <c r="F218" s="442">
        <f>'B) D RI'!U220</f>
        <v>140676.80723404256</v>
      </c>
      <c r="G218" s="265">
        <f t="shared" si="13"/>
        <v>10.373940301133336</v>
      </c>
      <c r="H218" s="55">
        <f t="shared" si="14"/>
        <v>587141.76</v>
      </c>
      <c r="I218" s="412">
        <f t="shared" si="15"/>
        <v>4.173692675745607</v>
      </c>
    </row>
    <row r="219" spans="1:9" x14ac:dyDescent="0.25">
      <c r="A219" s="49">
        <f>'A) Base RI'!A221</f>
        <v>5750</v>
      </c>
      <c r="B219" s="525" t="str">
        <f>'A) Base RI'!B221</f>
        <v>Les Clées</v>
      </c>
      <c r="C219" s="10">
        <f>'B) D RI'!Y221</f>
        <v>1096.6500000000001</v>
      </c>
      <c r="D219" s="442">
        <f>'B) D RI'!Z221</f>
        <v>7784.9</v>
      </c>
      <c r="E219" s="10">
        <f t="shared" si="12"/>
        <v>8881.5499999999993</v>
      </c>
      <c r="F219" s="442">
        <f>'B) D RI'!U221</f>
        <v>6037.9437500000004</v>
      </c>
      <c r="G219" s="265">
        <f t="shared" si="13"/>
        <v>1.4709560684463148</v>
      </c>
      <c r="H219" s="55">
        <f t="shared" si="14"/>
        <v>2883.7950000000001</v>
      </c>
      <c r="I219" s="412">
        <f t="shared" si="15"/>
        <v>0.47761210097394496</v>
      </c>
    </row>
    <row r="220" spans="1:9" x14ac:dyDescent="0.25">
      <c r="A220" s="49">
        <f>'A) Base RI'!A222</f>
        <v>5752</v>
      </c>
      <c r="B220" s="525" t="str">
        <f>'A) Base RI'!B222</f>
        <v>Croy</v>
      </c>
      <c r="C220" s="10">
        <f>'B) D RI'!Y222</f>
        <v>47338.299999999996</v>
      </c>
      <c r="D220" s="442">
        <f>'B) D RI'!Z222</f>
        <v>34854.65</v>
      </c>
      <c r="E220" s="10">
        <f t="shared" si="12"/>
        <v>82192.95</v>
      </c>
      <c r="F220" s="442">
        <f>'B) D RI'!U222</f>
        <v>9416.7971235521236</v>
      </c>
      <c r="G220" s="265">
        <f t="shared" si="13"/>
        <v>8.7283339464146668</v>
      </c>
      <c r="H220" s="55">
        <f t="shared" si="14"/>
        <v>34125.544999999998</v>
      </c>
      <c r="I220" s="412">
        <f t="shared" si="15"/>
        <v>3.6239014765062127</v>
      </c>
    </row>
    <row r="221" spans="1:9" x14ac:dyDescent="0.25">
      <c r="A221" s="49">
        <f>'A) Base RI'!A223</f>
        <v>5754</v>
      </c>
      <c r="B221" s="525" t="str">
        <f>'A) Base RI'!B223</f>
        <v>Juriens</v>
      </c>
      <c r="C221" s="10">
        <f>'B) D RI'!Y223</f>
        <v>24410.15</v>
      </c>
      <c r="D221" s="442">
        <f>'B) D RI'!Z223</f>
        <v>0</v>
      </c>
      <c r="E221" s="10">
        <f t="shared" si="12"/>
        <v>24410.15</v>
      </c>
      <c r="F221" s="442">
        <f>'B) D RI'!U223</f>
        <v>8043.7859493670894</v>
      </c>
      <c r="G221" s="265">
        <f t="shared" si="13"/>
        <v>3.0346593200830596</v>
      </c>
      <c r="H221" s="55">
        <f t="shared" si="14"/>
        <v>12205.075000000001</v>
      </c>
      <c r="I221" s="412">
        <f t="shared" si="15"/>
        <v>1.5173296600415298</v>
      </c>
    </row>
    <row r="222" spans="1:9" x14ac:dyDescent="0.25">
      <c r="A222" s="49">
        <f>'A) Base RI'!A224</f>
        <v>5755</v>
      </c>
      <c r="B222" s="525" t="str">
        <f>'A) Base RI'!B224</f>
        <v>Lignerolle</v>
      </c>
      <c r="C222" s="10">
        <f>'B) D RI'!Y224</f>
        <v>271555.5</v>
      </c>
      <c r="D222" s="442">
        <f>'B) D RI'!Z224</f>
        <v>23527.15</v>
      </c>
      <c r="E222" s="10">
        <f t="shared" si="12"/>
        <v>295082.65000000002</v>
      </c>
      <c r="F222" s="442">
        <f>'B) D RI'!U224</f>
        <v>9055.2737033666963</v>
      </c>
      <c r="G222" s="265">
        <f t="shared" si="13"/>
        <v>32.586828368345188</v>
      </c>
      <c r="H222" s="55">
        <f t="shared" si="14"/>
        <v>142835.89499999999</v>
      </c>
      <c r="I222" s="412">
        <f t="shared" si="15"/>
        <v>15.773779973861471</v>
      </c>
    </row>
    <row r="223" spans="1:9" x14ac:dyDescent="0.25">
      <c r="A223" s="49">
        <f>'A) Base RI'!A225</f>
        <v>5756</v>
      </c>
      <c r="B223" s="525" t="str">
        <f>'A) Base RI'!B225</f>
        <v>Montcherand</v>
      </c>
      <c r="C223" s="10">
        <f>'B) D RI'!Y225</f>
        <v>87924.25</v>
      </c>
      <c r="D223" s="442">
        <f>'B) D RI'!Z225</f>
        <v>34587.5</v>
      </c>
      <c r="E223" s="10">
        <f t="shared" si="12"/>
        <v>122511.75</v>
      </c>
      <c r="F223" s="442">
        <f>'B) D RI'!U225</f>
        <v>15758.308611111112</v>
      </c>
      <c r="G223" s="265">
        <f t="shared" si="13"/>
        <v>7.7744225616712139</v>
      </c>
      <c r="H223" s="55">
        <f t="shared" si="14"/>
        <v>54338.375</v>
      </c>
      <c r="I223" s="412">
        <f t="shared" si="15"/>
        <v>3.4482365043724466</v>
      </c>
    </row>
    <row r="224" spans="1:9" x14ac:dyDescent="0.25">
      <c r="A224" s="49">
        <f>'A) Base RI'!A226</f>
        <v>5757</v>
      </c>
      <c r="B224" s="525" t="str">
        <f>'A) Base RI'!B226</f>
        <v>Orbe</v>
      </c>
      <c r="C224" s="10">
        <f>'B) D RI'!Y226</f>
        <v>1206584.2</v>
      </c>
      <c r="D224" s="442">
        <f>'B) D RI'!Z226</f>
        <v>2913726.35</v>
      </c>
      <c r="E224" s="10">
        <f t="shared" si="12"/>
        <v>4120310.55</v>
      </c>
      <c r="F224" s="442">
        <f>'B) D RI'!U226</f>
        <v>203783.43483443707</v>
      </c>
      <c r="G224" s="265">
        <f t="shared" si="13"/>
        <v>20.219065172532435</v>
      </c>
      <c r="H224" s="55">
        <f t="shared" si="14"/>
        <v>1477410.0049999999</v>
      </c>
      <c r="I224" s="412">
        <f t="shared" si="15"/>
        <v>7.2499023593370824</v>
      </c>
    </row>
    <row r="225" spans="1:9" x14ac:dyDescent="0.25">
      <c r="A225" s="49">
        <f>'A) Base RI'!A227</f>
        <v>5758</v>
      </c>
      <c r="B225" s="525" t="str">
        <f>'A) Base RI'!B227</f>
        <v>La Praz</v>
      </c>
      <c r="C225" s="10">
        <f>'B) D RI'!Y227</f>
        <v>20933.949999999997</v>
      </c>
      <c r="D225" s="442">
        <f>'B) D RI'!Z227</f>
        <v>6425.4</v>
      </c>
      <c r="E225" s="10">
        <f t="shared" si="12"/>
        <v>27359.35</v>
      </c>
      <c r="F225" s="442">
        <f>'B) D RI'!U227</f>
        <v>4313.3939759036139</v>
      </c>
      <c r="G225" s="265">
        <f t="shared" si="13"/>
        <v>6.3428822298265679</v>
      </c>
      <c r="H225" s="55">
        <f t="shared" si="14"/>
        <v>12394.594999999998</v>
      </c>
      <c r="I225" s="412">
        <f t="shared" si="15"/>
        <v>2.873513309760547</v>
      </c>
    </row>
    <row r="226" spans="1:9" x14ac:dyDescent="0.25">
      <c r="A226" s="49">
        <f>'A) Base RI'!A228</f>
        <v>5759</v>
      </c>
      <c r="B226" s="525" t="str">
        <f>'A) Base RI'!B228</f>
        <v>Premier</v>
      </c>
      <c r="C226" s="10">
        <f>'B) D RI'!Y228</f>
        <v>40153.65</v>
      </c>
      <c r="D226" s="442">
        <f>'B) D RI'!Z228</f>
        <v>1530.1</v>
      </c>
      <c r="E226" s="10">
        <f t="shared" si="12"/>
        <v>41683.75</v>
      </c>
      <c r="F226" s="442">
        <f>'B) D RI'!U228</f>
        <v>5307.4840251572332</v>
      </c>
      <c r="G226" s="265">
        <f t="shared" si="13"/>
        <v>7.8537683396541409</v>
      </c>
      <c r="H226" s="55">
        <f t="shared" si="14"/>
        <v>20535.855</v>
      </c>
      <c r="I226" s="412">
        <f t="shared" si="15"/>
        <v>3.8692259651957461</v>
      </c>
    </row>
    <row r="227" spans="1:9" x14ac:dyDescent="0.25">
      <c r="A227" s="49">
        <f>'A) Base RI'!A229</f>
        <v>5760</v>
      </c>
      <c r="B227" s="525" t="str">
        <f>'A) Base RI'!B229</f>
        <v>Rances</v>
      </c>
      <c r="C227" s="10">
        <f>'B) D RI'!Y229</f>
        <v>95651.900000000009</v>
      </c>
      <c r="D227" s="442">
        <f>'B) D RI'!Z229</f>
        <v>22152.05</v>
      </c>
      <c r="E227" s="10">
        <f t="shared" si="12"/>
        <v>117803.95000000001</v>
      </c>
      <c r="F227" s="442">
        <f>'B) D RI'!U229</f>
        <v>12826.018997821348</v>
      </c>
      <c r="G227" s="265">
        <f t="shared" si="13"/>
        <v>9.1847634110015282</v>
      </c>
      <c r="H227" s="55">
        <f t="shared" si="14"/>
        <v>54471.565000000002</v>
      </c>
      <c r="I227" s="412">
        <f t="shared" si="15"/>
        <v>4.2469580786721624</v>
      </c>
    </row>
    <row r="228" spans="1:9" x14ac:dyDescent="0.25">
      <c r="A228" s="49">
        <f>'A) Base RI'!A230</f>
        <v>5761</v>
      </c>
      <c r="B228" s="525" t="str">
        <f>'A) Base RI'!B230</f>
        <v>Romainmôtier-Envy</v>
      </c>
      <c r="C228" s="10">
        <f>'B) D RI'!Y230</f>
        <v>134457.95000000001</v>
      </c>
      <c r="D228" s="442">
        <f>'B) D RI'!Z230</f>
        <v>62764.25</v>
      </c>
      <c r="E228" s="10">
        <f t="shared" si="12"/>
        <v>197222.2</v>
      </c>
      <c r="F228" s="442">
        <f>'B) D RI'!U230</f>
        <v>12135.004377104378</v>
      </c>
      <c r="G228" s="265">
        <f t="shared" si="13"/>
        <v>16.252338595947062</v>
      </c>
      <c r="H228" s="55">
        <f t="shared" si="14"/>
        <v>86058.25</v>
      </c>
      <c r="I228" s="412">
        <f t="shared" si="15"/>
        <v>7.0917362141516573</v>
      </c>
    </row>
    <row r="229" spans="1:9" x14ac:dyDescent="0.25">
      <c r="A229" s="49">
        <f>'A) Base RI'!A231</f>
        <v>5762</v>
      </c>
      <c r="B229" s="525" t="str">
        <f>'A) Base RI'!B231</f>
        <v>Sergey</v>
      </c>
      <c r="C229" s="10">
        <f>'B) D RI'!Y231</f>
        <v>0</v>
      </c>
      <c r="D229" s="442">
        <f>'B) D RI'!Z231</f>
        <v>0</v>
      </c>
      <c r="E229" s="10">
        <f t="shared" si="12"/>
        <v>0</v>
      </c>
      <c r="F229" s="442">
        <f>'B) D RI'!U231</f>
        <v>3773.0282051282052</v>
      </c>
      <c r="G229" s="265">
        <f t="shared" si="13"/>
        <v>0</v>
      </c>
      <c r="H229" s="55">
        <f t="shared" si="14"/>
        <v>0</v>
      </c>
      <c r="I229" s="412">
        <f t="shared" si="15"/>
        <v>0</v>
      </c>
    </row>
    <row r="230" spans="1:9" x14ac:dyDescent="0.25">
      <c r="A230" s="49">
        <f>'A) Base RI'!A232</f>
        <v>5763</v>
      </c>
      <c r="B230" s="525" t="str">
        <f>'A) Base RI'!B232</f>
        <v>Valeyres-sous-Rances</v>
      </c>
      <c r="C230" s="10">
        <f>'B) D RI'!Y232</f>
        <v>30107.199999999997</v>
      </c>
      <c r="D230" s="442">
        <f>'B) D RI'!Z232</f>
        <v>40842.1</v>
      </c>
      <c r="E230" s="10">
        <f t="shared" si="12"/>
        <v>70949.299999999988</v>
      </c>
      <c r="F230" s="442">
        <f>'B) D RI'!U232</f>
        <v>20456.385294117645</v>
      </c>
      <c r="G230" s="265">
        <f t="shared" si="13"/>
        <v>3.4683204769516087</v>
      </c>
      <c r="H230" s="55">
        <f t="shared" si="14"/>
        <v>27306.229999999996</v>
      </c>
      <c r="I230" s="412">
        <f t="shared" si="15"/>
        <v>1.3348511776345973</v>
      </c>
    </row>
    <row r="231" spans="1:9" x14ac:dyDescent="0.25">
      <c r="A231" s="49">
        <f>'A) Base RI'!A233</f>
        <v>5764</v>
      </c>
      <c r="B231" s="525" t="str">
        <f>'A) Base RI'!B233</f>
        <v>Vallorbe</v>
      </c>
      <c r="C231" s="10">
        <f>'B) D RI'!Y233</f>
        <v>354462.89999999997</v>
      </c>
      <c r="D231" s="442">
        <f>'B) D RI'!Z233</f>
        <v>2315164.4</v>
      </c>
      <c r="E231" s="10">
        <f t="shared" si="12"/>
        <v>2669627.2999999998</v>
      </c>
      <c r="F231" s="442">
        <f>'B) D RI'!U233</f>
        <v>84310.704615384602</v>
      </c>
      <c r="G231" s="265">
        <f t="shared" si="13"/>
        <v>31.664155959537069</v>
      </c>
      <c r="H231" s="55">
        <f t="shared" si="14"/>
        <v>871780.7699999999</v>
      </c>
      <c r="I231" s="412">
        <f t="shared" si="15"/>
        <v>10.340095886719959</v>
      </c>
    </row>
    <row r="232" spans="1:9" x14ac:dyDescent="0.25">
      <c r="A232" s="49">
        <f>'A) Base RI'!A234</f>
        <v>5765</v>
      </c>
      <c r="B232" s="525" t="str">
        <f>'A) Base RI'!B234</f>
        <v>Vaulion</v>
      </c>
      <c r="C232" s="10">
        <f>'B) D RI'!Y234</f>
        <v>98327</v>
      </c>
      <c r="D232" s="442">
        <f>'B) D RI'!Z234</f>
        <v>53317.25</v>
      </c>
      <c r="E232" s="10">
        <f t="shared" si="12"/>
        <v>151644.25</v>
      </c>
      <c r="F232" s="442">
        <f>'B) D RI'!U234</f>
        <v>11314.597037037036</v>
      </c>
      <c r="G232" s="265">
        <f t="shared" si="13"/>
        <v>13.402532101108854</v>
      </c>
      <c r="H232" s="55">
        <f t="shared" si="14"/>
        <v>65158.675000000003</v>
      </c>
      <c r="I232" s="412">
        <f t="shared" si="15"/>
        <v>5.7588153415195036</v>
      </c>
    </row>
    <row r="233" spans="1:9" x14ac:dyDescent="0.25">
      <c r="A233" s="49">
        <f>'A) Base RI'!A235</f>
        <v>5766</v>
      </c>
      <c r="B233" s="525" t="str">
        <f>'A) Base RI'!B235</f>
        <v>Vuiteboeuf</v>
      </c>
      <c r="C233" s="10">
        <f>'B) D RI'!Y235</f>
        <v>39615.85</v>
      </c>
      <c r="D233" s="442">
        <f>'B) D RI'!Z235</f>
        <v>27786</v>
      </c>
      <c r="E233" s="10">
        <f t="shared" si="12"/>
        <v>67401.850000000006</v>
      </c>
      <c r="F233" s="442">
        <f>'B) D RI'!U235</f>
        <v>15993.559610389608</v>
      </c>
      <c r="G233" s="265">
        <f t="shared" si="13"/>
        <v>4.2143119881964832</v>
      </c>
      <c r="H233" s="55">
        <f t="shared" si="14"/>
        <v>28143.724999999999</v>
      </c>
      <c r="I233" s="412">
        <f t="shared" si="15"/>
        <v>1.7596911310298615</v>
      </c>
    </row>
    <row r="234" spans="1:9" x14ac:dyDescent="0.25">
      <c r="A234" s="49">
        <f>'A) Base RI'!A236</f>
        <v>5785</v>
      </c>
      <c r="B234" s="525" t="str">
        <f>'A) Base RI'!B236</f>
        <v>Corcelles-le-Jorat</v>
      </c>
      <c r="C234" s="10">
        <f>'B) D RI'!Y236</f>
        <v>132795.4</v>
      </c>
      <c r="D234" s="442">
        <f>'B) D RI'!Z236</f>
        <v>0</v>
      </c>
      <c r="E234" s="10">
        <f t="shared" si="12"/>
        <v>132795.4</v>
      </c>
      <c r="F234" s="442">
        <f>'B) D RI'!U236</f>
        <v>17506.662467532471</v>
      </c>
      <c r="G234" s="265">
        <f t="shared" si="13"/>
        <v>7.5854207074752171</v>
      </c>
      <c r="H234" s="55">
        <f t="shared" si="14"/>
        <v>66397.7</v>
      </c>
      <c r="I234" s="412">
        <f t="shared" si="15"/>
        <v>3.7927103537376086</v>
      </c>
    </row>
    <row r="235" spans="1:9" x14ac:dyDescent="0.25">
      <c r="A235" s="49">
        <f>'A) Base RI'!A237</f>
        <v>5788</v>
      </c>
      <c r="B235" s="525" t="str">
        <f>'A) Base RI'!B237</f>
        <v>Essertes</v>
      </c>
      <c r="C235" s="10">
        <f>'B) D RI'!Y237</f>
        <v>73205.649999999994</v>
      </c>
      <c r="D235" s="442">
        <f>'B) D RI'!Z237</f>
        <v>445.1</v>
      </c>
      <c r="E235" s="10">
        <f t="shared" si="12"/>
        <v>73650.75</v>
      </c>
      <c r="F235" s="442">
        <f>'B) D RI'!U237</f>
        <v>16224.893706293702</v>
      </c>
      <c r="G235" s="265">
        <f t="shared" si="13"/>
        <v>4.539367180657127</v>
      </c>
      <c r="H235" s="55">
        <f t="shared" si="14"/>
        <v>36736.354999999996</v>
      </c>
      <c r="I235" s="412">
        <f t="shared" si="15"/>
        <v>2.2641969596232125</v>
      </c>
    </row>
    <row r="236" spans="1:9" x14ac:dyDescent="0.25">
      <c r="A236" s="49">
        <f>'A) Base RI'!A238</f>
        <v>5790</v>
      </c>
      <c r="B236" s="525" t="str">
        <f>'A) Base RI'!B238</f>
        <v>Maracon</v>
      </c>
      <c r="C236" s="10">
        <f>'B) D RI'!Y238</f>
        <v>56031.8</v>
      </c>
      <c r="D236" s="442">
        <f>'B) D RI'!Z238</f>
        <v>8885.9</v>
      </c>
      <c r="E236" s="10">
        <f t="shared" si="12"/>
        <v>64917.700000000004</v>
      </c>
      <c r="F236" s="442">
        <f>'B) D RI'!U238</f>
        <v>13398.084966442953</v>
      </c>
      <c r="G236" s="265">
        <f t="shared" si="13"/>
        <v>4.8452969333000846</v>
      </c>
      <c r="H236" s="55">
        <f t="shared" si="14"/>
        <v>30681.670000000002</v>
      </c>
      <c r="I236" s="412">
        <f t="shared" si="15"/>
        <v>2.2900041369229838</v>
      </c>
    </row>
    <row r="237" spans="1:9" x14ac:dyDescent="0.25">
      <c r="A237" s="49">
        <f>'A) Base RI'!A239</f>
        <v>5792</v>
      </c>
      <c r="B237" s="525" t="str">
        <f>'A) Base RI'!B239</f>
        <v>Montpreveyres</v>
      </c>
      <c r="C237" s="10">
        <f>'B) D RI'!Y239</f>
        <v>111877.05</v>
      </c>
      <c r="D237" s="442">
        <f>'B) D RI'!Z239</f>
        <v>116.15</v>
      </c>
      <c r="E237" s="10">
        <f t="shared" si="12"/>
        <v>111993.2</v>
      </c>
      <c r="F237" s="442">
        <f>'B) D RI'!U239</f>
        <v>17609.230799999998</v>
      </c>
      <c r="G237" s="265">
        <f t="shared" si="13"/>
        <v>6.3599143694567291</v>
      </c>
      <c r="H237" s="55">
        <f t="shared" si="14"/>
        <v>55973.37</v>
      </c>
      <c r="I237" s="412">
        <f t="shared" si="15"/>
        <v>3.1786379902522492</v>
      </c>
    </row>
    <row r="238" spans="1:9" x14ac:dyDescent="0.25">
      <c r="A238" s="49">
        <f>'A) Base RI'!A240</f>
        <v>5798</v>
      </c>
      <c r="B238" s="525" t="str">
        <f>'A) Base RI'!B240</f>
        <v>Ropraz</v>
      </c>
      <c r="C238" s="10">
        <f>'B) D RI'!Y240</f>
        <v>68975.649999999994</v>
      </c>
      <c r="D238" s="442">
        <f>'B) D RI'!Z240</f>
        <v>21843.25</v>
      </c>
      <c r="E238" s="10">
        <f t="shared" si="12"/>
        <v>90818.9</v>
      </c>
      <c r="F238" s="442">
        <f>'B) D RI'!U240</f>
        <v>15760.164903225806</v>
      </c>
      <c r="G238" s="265">
        <f t="shared" si="13"/>
        <v>5.7625602623872982</v>
      </c>
      <c r="H238" s="55">
        <f t="shared" si="14"/>
        <v>41040.799999999996</v>
      </c>
      <c r="I238" s="412">
        <f t="shared" si="15"/>
        <v>2.6040844275429964</v>
      </c>
    </row>
    <row r="239" spans="1:9" x14ac:dyDescent="0.25">
      <c r="A239" s="49">
        <f>'A) Base RI'!A241</f>
        <v>5799</v>
      </c>
      <c r="B239" s="525" t="str">
        <f>'A) Base RI'!B241</f>
        <v>Servion</v>
      </c>
      <c r="C239" s="10">
        <f>'B) D RI'!Y241</f>
        <v>574275.5</v>
      </c>
      <c r="D239" s="442">
        <f>'B) D RI'!Z241</f>
        <v>26847.85</v>
      </c>
      <c r="E239" s="10">
        <f t="shared" si="12"/>
        <v>601123.35</v>
      </c>
      <c r="F239" s="442">
        <f>'B) D RI'!U241</f>
        <v>69387.22289855071</v>
      </c>
      <c r="G239" s="265">
        <f t="shared" si="13"/>
        <v>8.6633147269618664</v>
      </c>
      <c r="H239" s="55">
        <f t="shared" si="14"/>
        <v>295192.10499999998</v>
      </c>
      <c r="I239" s="412">
        <f t="shared" si="15"/>
        <v>4.2542717905224832</v>
      </c>
    </row>
    <row r="240" spans="1:9" x14ac:dyDescent="0.25">
      <c r="A240" s="49">
        <f>'A) Base RI'!A242</f>
        <v>5803</v>
      </c>
      <c r="B240" s="525" t="str">
        <f>'A) Base RI'!B242</f>
        <v>Vulliens</v>
      </c>
      <c r="C240" s="10">
        <f>'B) D RI'!Y242</f>
        <v>63872.75</v>
      </c>
      <c r="D240" s="442">
        <f>'B) D RI'!Z242</f>
        <v>959.9</v>
      </c>
      <c r="E240" s="10">
        <f t="shared" si="12"/>
        <v>64832.65</v>
      </c>
      <c r="F240" s="442">
        <f>'B) D RI'!U242</f>
        <v>18875.933421052636</v>
      </c>
      <c r="G240" s="265">
        <f t="shared" si="13"/>
        <v>3.4346725300318708</v>
      </c>
      <c r="H240" s="55">
        <f t="shared" si="14"/>
        <v>32224.345000000001</v>
      </c>
      <c r="I240" s="412">
        <f t="shared" si="15"/>
        <v>1.7071656421536041</v>
      </c>
    </row>
    <row r="241" spans="1:9" x14ac:dyDescent="0.25">
      <c r="A241" s="49">
        <f>'A) Base RI'!A243</f>
        <v>5804</v>
      </c>
      <c r="B241" s="525" t="str">
        <f>'A) Base RI'!B243</f>
        <v>Jorat-Menthue</v>
      </c>
      <c r="C241" s="10">
        <f>'B) D RI'!Y243</f>
        <v>392275.20000000001</v>
      </c>
      <c r="D241" s="442">
        <f>'B) D RI'!Z243</f>
        <v>8222.75</v>
      </c>
      <c r="E241" s="10">
        <f t="shared" si="12"/>
        <v>400497.95</v>
      </c>
      <c r="F241" s="442">
        <f>'B) D RI'!U243</f>
        <v>46692.865106382982</v>
      </c>
      <c r="G241" s="265">
        <f t="shared" si="13"/>
        <v>8.5772836832249002</v>
      </c>
      <c r="H241" s="55">
        <f t="shared" si="14"/>
        <v>198604.42500000002</v>
      </c>
      <c r="I241" s="412">
        <f t="shared" si="15"/>
        <v>4.2534212571344332</v>
      </c>
    </row>
    <row r="242" spans="1:9" x14ac:dyDescent="0.25">
      <c r="A242" s="49">
        <f>'A) Base RI'!A244</f>
        <v>5805</v>
      </c>
      <c r="B242" s="525" t="str">
        <f>'A) Base RI'!B244</f>
        <v>Oron</v>
      </c>
      <c r="C242" s="10">
        <f>'B) D RI'!Y244</f>
        <v>639017.49</v>
      </c>
      <c r="D242" s="442">
        <f>'B) D RI'!Z244</f>
        <v>124255.6</v>
      </c>
      <c r="E242" s="10">
        <f t="shared" si="12"/>
        <v>763273.09</v>
      </c>
      <c r="F242" s="442">
        <f>'B) D RI'!U244</f>
        <v>154727.47061923583</v>
      </c>
      <c r="G242" s="265">
        <f t="shared" si="13"/>
        <v>4.9330160116060817</v>
      </c>
      <c r="H242" s="55">
        <f t="shared" si="14"/>
        <v>356785.42499999999</v>
      </c>
      <c r="I242" s="412">
        <f t="shared" si="15"/>
        <v>2.3058958022910003</v>
      </c>
    </row>
    <row r="243" spans="1:9" x14ac:dyDescent="0.25">
      <c r="A243" s="49">
        <f>'A) Base RI'!A245</f>
        <v>5806</v>
      </c>
      <c r="B243" s="525" t="str">
        <f>'A) Base RI'!B245</f>
        <v>Jorat-Mézières</v>
      </c>
      <c r="C243" s="10">
        <f>'B) D RI'!Y245</f>
        <v>527331.60000000009</v>
      </c>
      <c r="D243" s="442">
        <f>'B) D RI'!Z245</f>
        <v>30186.6</v>
      </c>
      <c r="E243" s="10">
        <f t="shared" si="12"/>
        <v>557518.20000000007</v>
      </c>
      <c r="F243" s="442">
        <f>'B) D RI'!U245</f>
        <v>91070.268493150696</v>
      </c>
      <c r="G243" s="265">
        <f t="shared" si="13"/>
        <v>6.1218464513688184</v>
      </c>
      <c r="H243" s="55">
        <f t="shared" si="14"/>
        <v>272721.78000000003</v>
      </c>
      <c r="I243" s="412">
        <f t="shared" si="15"/>
        <v>2.9946302400603022</v>
      </c>
    </row>
    <row r="244" spans="1:9" x14ac:dyDescent="0.25">
      <c r="A244" s="49">
        <f>'A) Base RI'!A246</f>
        <v>5812</v>
      </c>
      <c r="B244" s="525" t="str">
        <f>'A) Base RI'!B246</f>
        <v>Champtauroz</v>
      </c>
      <c r="C244" s="10">
        <f>'B) D RI'!Y246</f>
        <v>26734.95</v>
      </c>
      <c r="D244" s="442">
        <f>'B) D RI'!Z246</f>
        <v>0</v>
      </c>
      <c r="E244" s="10">
        <f t="shared" si="12"/>
        <v>26734.95</v>
      </c>
      <c r="F244" s="442">
        <f>'B) D RI'!U246</f>
        <v>2503.1327272727272</v>
      </c>
      <c r="G244" s="265">
        <f t="shared" si="13"/>
        <v>10.680596241945548</v>
      </c>
      <c r="H244" s="55">
        <f t="shared" si="14"/>
        <v>13367.475</v>
      </c>
      <c r="I244" s="412">
        <f t="shared" si="15"/>
        <v>5.3402981209727738</v>
      </c>
    </row>
    <row r="245" spans="1:9" x14ac:dyDescent="0.25">
      <c r="A245" s="49">
        <f>'A) Base RI'!A247</f>
        <v>5813</v>
      </c>
      <c r="B245" s="525" t="str">
        <f>'A) Base RI'!B247</f>
        <v>Chevroux</v>
      </c>
      <c r="C245" s="10">
        <f>'B) D RI'!Y247</f>
        <v>53196.850000000006</v>
      </c>
      <c r="D245" s="442">
        <f>'B) D RI'!Z247</f>
        <v>0</v>
      </c>
      <c r="E245" s="10">
        <f t="shared" si="12"/>
        <v>53196.850000000006</v>
      </c>
      <c r="F245" s="442">
        <f>'B) D RI'!U247</f>
        <v>15179.777080291971</v>
      </c>
      <c r="G245" s="265">
        <f t="shared" si="13"/>
        <v>3.504455284067769</v>
      </c>
      <c r="H245" s="55">
        <f t="shared" si="14"/>
        <v>26598.425000000003</v>
      </c>
      <c r="I245" s="412">
        <f t="shared" si="15"/>
        <v>1.7522276420338845</v>
      </c>
    </row>
    <row r="246" spans="1:9" x14ac:dyDescent="0.25">
      <c r="A246" s="49">
        <f>'A) Base RI'!A248</f>
        <v>5816</v>
      </c>
      <c r="B246" s="525" t="str">
        <f>'A) Base RI'!B248</f>
        <v>Corcelles-près-Payerne</v>
      </c>
      <c r="C246" s="10">
        <f>'B) D RI'!Y248</f>
        <v>343196.85</v>
      </c>
      <c r="D246" s="442">
        <f>'B) D RI'!Z248</f>
        <v>21017.599999999999</v>
      </c>
      <c r="E246" s="10">
        <f t="shared" si="12"/>
        <v>364214.44999999995</v>
      </c>
      <c r="F246" s="442">
        <f>'B) D RI'!U248</f>
        <v>60528.996913451512</v>
      </c>
      <c r="G246" s="265">
        <f t="shared" si="13"/>
        <v>6.0171895880048796</v>
      </c>
      <c r="H246" s="55">
        <f t="shared" si="14"/>
        <v>177903.70499999999</v>
      </c>
      <c r="I246" s="412">
        <f t="shared" si="15"/>
        <v>2.9391484093876334</v>
      </c>
    </row>
    <row r="247" spans="1:9" x14ac:dyDescent="0.25">
      <c r="A247" s="49">
        <f>'A) Base RI'!A249</f>
        <v>5817</v>
      </c>
      <c r="B247" s="525" t="str">
        <f>'A) Base RI'!B249</f>
        <v>Grandcour</v>
      </c>
      <c r="C247" s="10">
        <f>'B) D RI'!Y249</f>
        <v>54235.199999999997</v>
      </c>
      <c r="D247" s="442">
        <f>'B) D RI'!Z249</f>
        <v>597.70000000000005</v>
      </c>
      <c r="E247" s="10">
        <f t="shared" si="12"/>
        <v>54832.899999999994</v>
      </c>
      <c r="F247" s="442">
        <f>'B) D RI'!U249</f>
        <v>21854.748299319726</v>
      </c>
      <c r="G247" s="265">
        <f t="shared" si="13"/>
        <v>2.5089696412429872</v>
      </c>
      <c r="H247" s="55">
        <f t="shared" si="14"/>
        <v>27296.91</v>
      </c>
      <c r="I247" s="412">
        <f t="shared" si="15"/>
        <v>1.2490150710566488</v>
      </c>
    </row>
    <row r="248" spans="1:9" x14ac:dyDescent="0.25">
      <c r="A248" s="49">
        <f>'A) Base RI'!A250</f>
        <v>5819</v>
      </c>
      <c r="B248" s="525" t="str">
        <f>'A) Base RI'!B250</f>
        <v>Henniez</v>
      </c>
      <c r="C248" s="10">
        <f>'B) D RI'!Y250</f>
        <v>39162.699999999997</v>
      </c>
      <c r="D248" s="442">
        <f>'B) D RI'!Z250</f>
        <v>4251.7</v>
      </c>
      <c r="E248" s="10">
        <f t="shared" si="12"/>
        <v>43414.399999999994</v>
      </c>
      <c r="F248" s="442">
        <f>'B) D RI'!U250</f>
        <v>11468.217826086959</v>
      </c>
      <c r="G248" s="265">
        <f t="shared" si="13"/>
        <v>3.7856274321232797</v>
      </c>
      <c r="H248" s="55">
        <f t="shared" si="14"/>
        <v>20856.859999999997</v>
      </c>
      <c r="I248" s="412">
        <f t="shared" si="15"/>
        <v>1.8186661882682875</v>
      </c>
    </row>
    <row r="249" spans="1:9" x14ac:dyDescent="0.25">
      <c r="A249" s="49">
        <f>'A) Base RI'!A251</f>
        <v>5821</v>
      </c>
      <c r="B249" s="525" t="str">
        <f>'A) Base RI'!B251</f>
        <v>Missy</v>
      </c>
      <c r="C249" s="10">
        <f>'B) D RI'!Y251</f>
        <v>32040.300000000003</v>
      </c>
      <c r="D249" s="442">
        <f>'B) D RI'!Z251</f>
        <v>0</v>
      </c>
      <c r="E249" s="10">
        <f t="shared" si="12"/>
        <v>32040.300000000003</v>
      </c>
      <c r="F249" s="442">
        <f>'B) D RI'!U251</f>
        <v>7872.7337500000012</v>
      </c>
      <c r="G249" s="265">
        <f t="shared" si="13"/>
        <v>4.0697807162600919</v>
      </c>
      <c r="H249" s="55">
        <f t="shared" si="14"/>
        <v>16020.150000000001</v>
      </c>
      <c r="I249" s="412">
        <f t="shared" si="15"/>
        <v>2.0348903581300459</v>
      </c>
    </row>
    <row r="250" spans="1:9" x14ac:dyDescent="0.25">
      <c r="A250" s="49">
        <f>'A) Base RI'!A252</f>
        <v>5822</v>
      </c>
      <c r="B250" s="525" t="str">
        <f>'A) Base RI'!B252</f>
        <v>Payerne</v>
      </c>
      <c r="C250" s="10">
        <f>'B) D RI'!Y252</f>
        <v>1617981.45</v>
      </c>
      <c r="D250" s="442">
        <f>'B) D RI'!Z252</f>
        <v>57956.25</v>
      </c>
      <c r="E250" s="10">
        <f t="shared" si="12"/>
        <v>1675937.7</v>
      </c>
      <c r="F250" s="442">
        <f>'B) D RI'!U252</f>
        <v>237851.57178082189</v>
      </c>
      <c r="G250" s="265">
        <f t="shared" si="13"/>
        <v>7.0461493588293864</v>
      </c>
      <c r="H250" s="55">
        <f t="shared" si="14"/>
        <v>826377.6</v>
      </c>
      <c r="I250" s="412">
        <f t="shared" si="15"/>
        <v>3.4743415560082975</v>
      </c>
    </row>
    <row r="251" spans="1:9" x14ac:dyDescent="0.25">
      <c r="A251" s="49">
        <f>'A) Base RI'!A253</f>
        <v>5827</v>
      </c>
      <c r="B251" s="525" t="str">
        <f>'A) Base RI'!B253</f>
        <v>Trey</v>
      </c>
      <c r="C251" s="10">
        <f>'B) D RI'!Y253</f>
        <v>25929.449999999997</v>
      </c>
      <c r="D251" s="442">
        <f>'B) D RI'!Z253</f>
        <v>0</v>
      </c>
      <c r="E251" s="10">
        <f t="shared" si="12"/>
        <v>25929.449999999997</v>
      </c>
      <c r="F251" s="442">
        <f>'B) D RI'!U253</f>
        <v>6163.6291025641031</v>
      </c>
      <c r="G251" s="265">
        <f t="shared" si="13"/>
        <v>4.2068478762314241</v>
      </c>
      <c r="H251" s="55">
        <f t="shared" si="14"/>
        <v>12964.724999999999</v>
      </c>
      <c r="I251" s="412">
        <f t="shared" si="15"/>
        <v>2.103423938115712</v>
      </c>
    </row>
    <row r="252" spans="1:9" x14ac:dyDescent="0.25">
      <c r="A252" s="49">
        <f>'A) Base RI'!A254</f>
        <v>5828</v>
      </c>
      <c r="B252" s="525" t="str">
        <f>'A) Base RI'!B254</f>
        <v>Treytorrens (Payerne)</v>
      </c>
      <c r="C252" s="10">
        <f>'B) D RI'!Y254</f>
        <v>6049.1</v>
      </c>
      <c r="D252" s="442">
        <f>'B) D RI'!Z254</f>
        <v>0</v>
      </c>
      <c r="E252" s="10">
        <f t="shared" si="12"/>
        <v>6049.1</v>
      </c>
      <c r="F252" s="442">
        <f>'B) D RI'!U254</f>
        <v>2288.4160317460314</v>
      </c>
      <c r="G252" s="265">
        <f t="shared" si="13"/>
        <v>2.6433567655897852</v>
      </c>
      <c r="H252" s="55">
        <f t="shared" si="14"/>
        <v>3024.55</v>
      </c>
      <c r="I252" s="412">
        <f t="shared" si="15"/>
        <v>1.3216783827948926</v>
      </c>
    </row>
    <row r="253" spans="1:9" x14ac:dyDescent="0.25">
      <c r="A253" s="49">
        <f>'A) Base RI'!A255</f>
        <v>5830</v>
      </c>
      <c r="B253" s="525" t="str">
        <f>'A) Base RI'!B255</f>
        <v>Villarzel</v>
      </c>
      <c r="C253" s="10">
        <f>'B) D RI'!Y255</f>
        <v>77863.95</v>
      </c>
      <c r="D253" s="442">
        <f>'B) D RI'!Z255</f>
        <v>6516</v>
      </c>
      <c r="E253" s="10">
        <f t="shared" si="12"/>
        <v>84379.95</v>
      </c>
      <c r="F253" s="442">
        <f>'B) D RI'!U255</f>
        <v>12470.916233766235</v>
      </c>
      <c r="G253" s="265">
        <f t="shared" si="13"/>
        <v>6.7661387838956824</v>
      </c>
      <c r="H253" s="55">
        <f t="shared" si="14"/>
        <v>40886.775000000001</v>
      </c>
      <c r="I253" s="412">
        <f t="shared" si="15"/>
        <v>3.2785702536670907</v>
      </c>
    </row>
    <row r="254" spans="1:9" x14ac:dyDescent="0.25">
      <c r="A254" s="49">
        <f>'A) Base RI'!A256</f>
        <v>5831</v>
      </c>
      <c r="B254" s="525" t="str">
        <f>'A) Base RI'!B256</f>
        <v>Valbroye</v>
      </c>
      <c r="C254" s="10">
        <f>'B) D RI'!Y256</f>
        <v>493001.35</v>
      </c>
      <c r="D254" s="442">
        <f>'B) D RI'!Z256</f>
        <v>22474.9</v>
      </c>
      <c r="E254" s="10">
        <f t="shared" si="12"/>
        <v>515476.25</v>
      </c>
      <c r="F254" s="442">
        <f>'B) D RI'!U256</f>
        <v>83756.732765957451</v>
      </c>
      <c r="G254" s="265">
        <f t="shared" si="13"/>
        <v>6.1544455350282359</v>
      </c>
      <c r="H254" s="55">
        <f t="shared" si="14"/>
        <v>253243.14499999999</v>
      </c>
      <c r="I254" s="412">
        <f t="shared" si="15"/>
        <v>3.0235556788925932</v>
      </c>
    </row>
    <row r="255" spans="1:9" x14ac:dyDescent="0.25">
      <c r="A255" s="49">
        <f>'A) Base RI'!A257</f>
        <v>5841</v>
      </c>
      <c r="B255" s="525" t="str">
        <f>'A) Base RI'!B257</f>
        <v>Château-d'Oex</v>
      </c>
      <c r="C255" s="10">
        <f>'B) D RI'!Y257</f>
        <v>1627092.5</v>
      </c>
      <c r="D255" s="442">
        <f>'B) D RI'!Z257</f>
        <v>7425.55</v>
      </c>
      <c r="E255" s="10">
        <f t="shared" si="12"/>
        <v>1634518.05</v>
      </c>
      <c r="F255" s="442">
        <f>'B) D RI'!U257</f>
        <v>108658.39067484663</v>
      </c>
      <c r="G255" s="265">
        <f t="shared" si="13"/>
        <v>15.042722792491858</v>
      </c>
      <c r="H255" s="55">
        <f t="shared" si="14"/>
        <v>815773.91500000004</v>
      </c>
      <c r="I255" s="412">
        <f t="shared" si="15"/>
        <v>7.5076936988801171</v>
      </c>
    </row>
    <row r="256" spans="1:9" x14ac:dyDescent="0.25">
      <c r="A256" s="49">
        <f>'A) Base RI'!A258</f>
        <v>5842</v>
      </c>
      <c r="B256" s="525" t="str">
        <f>'A) Base RI'!B258</f>
        <v>Rossinière</v>
      </c>
      <c r="C256" s="10">
        <f>'B) D RI'!Y258</f>
        <v>72217.05</v>
      </c>
      <c r="D256" s="442">
        <f>'B) D RI'!Z258</f>
        <v>0</v>
      </c>
      <c r="E256" s="10">
        <f t="shared" si="12"/>
        <v>72217.05</v>
      </c>
      <c r="F256" s="442">
        <f>'B) D RI'!U258</f>
        <v>14509.951028806583</v>
      </c>
      <c r="G256" s="265">
        <f t="shared" si="13"/>
        <v>4.9770705536240341</v>
      </c>
      <c r="H256" s="55">
        <f t="shared" si="14"/>
        <v>36108.525000000001</v>
      </c>
      <c r="I256" s="412">
        <f t="shared" si="15"/>
        <v>2.488535276812017</v>
      </c>
    </row>
    <row r="257" spans="1:9" x14ac:dyDescent="0.25">
      <c r="A257" s="49">
        <f>'A) Base RI'!A259</f>
        <v>5843</v>
      </c>
      <c r="B257" s="525" t="str">
        <f>'A) Base RI'!B259</f>
        <v>Rougemont</v>
      </c>
      <c r="C257" s="10">
        <f>'B) D RI'!Y259</f>
        <v>1273630.7</v>
      </c>
      <c r="D257" s="442">
        <f>'B) D RI'!Z259</f>
        <v>0</v>
      </c>
      <c r="E257" s="10">
        <f t="shared" si="12"/>
        <v>1273630.7</v>
      </c>
      <c r="F257" s="442">
        <f>'B) D RI'!U259</f>
        <v>100468.99797297297</v>
      </c>
      <c r="G257" s="265">
        <f t="shared" si="13"/>
        <v>12.676852817250328</v>
      </c>
      <c r="H257" s="55">
        <f t="shared" si="14"/>
        <v>636815.35</v>
      </c>
      <c r="I257" s="412">
        <f t="shared" si="15"/>
        <v>6.338426408625164</v>
      </c>
    </row>
    <row r="258" spans="1:9" x14ac:dyDescent="0.25">
      <c r="A258" s="49">
        <f>'A) Base RI'!A260</f>
        <v>5851</v>
      </c>
      <c r="B258" s="525" t="str">
        <f>'A) Base RI'!B260</f>
        <v>Allaman</v>
      </c>
      <c r="C258" s="10">
        <f>'B) D RI'!Y260</f>
        <v>207.65</v>
      </c>
      <c r="D258" s="442">
        <f>'B) D RI'!Z260</f>
        <v>73719.45</v>
      </c>
      <c r="E258" s="10">
        <f t="shared" si="12"/>
        <v>73927.099999999991</v>
      </c>
      <c r="F258" s="442">
        <f>'B) D RI'!U260</f>
        <v>24314.213954545452</v>
      </c>
      <c r="G258" s="265">
        <f t="shared" si="13"/>
        <v>3.0404889970205922</v>
      </c>
      <c r="H258" s="55">
        <f t="shared" si="14"/>
        <v>22219.66</v>
      </c>
      <c r="I258" s="412">
        <f t="shared" si="15"/>
        <v>0.91385475350092971</v>
      </c>
    </row>
    <row r="259" spans="1:9" x14ac:dyDescent="0.25">
      <c r="A259" s="49">
        <f>'A) Base RI'!A261</f>
        <v>5852</v>
      </c>
      <c r="B259" s="525" t="str">
        <f>'A) Base RI'!B261</f>
        <v>Bursinel</v>
      </c>
      <c r="C259" s="10">
        <f>'B) D RI'!Y261</f>
        <v>75253.3</v>
      </c>
      <c r="D259" s="442">
        <f>'B) D RI'!Z261</f>
        <v>8183.75</v>
      </c>
      <c r="E259" s="10">
        <f t="shared" si="12"/>
        <v>83437.05</v>
      </c>
      <c r="F259" s="442">
        <f>'B) D RI'!U261</f>
        <v>40706.215623409669</v>
      </c>
      <c r="G259" s="265">
        <f t="shared" si="13"/>
        <v>2.0497373367230023</v>
      </c>
      <c r="H259" s="55">
        <f t="shared" si="14"/>
        <v>40081.775000000001</v>
      </c>
      <c r="I259" s="412">
        <f t="shared" si="15"/>
        <v>0.98465982126202467</v>
      </c>
    </row>
    <row r="260" spans="1:9" x14ac:dyDescent="0.25">
      <c r="A260" s="49">
        <f>'A) Base RI'!A262</f>
        <v>5853</v>
      </c>
      <c r="B260" s="525" t="str">
        <f>'A) Base RI'!B262</f>
        <v>Bursins</v>
      </c>
      <c r="C260" s="10">
        <f>'B) D RI'!Y262</f>
        <v>7126665.2000000002</v>
      </c>
      <c r="D260" s="442">
        <f>'B) D RI'!Z262</f>
        <v>65850.05</v>
      </c>
      <c r="E260" s="10">
        <f t="shared" si="12"/>
        <v>7192515.25</v>
      </c>
      <c r="F260" s="442">
        <f>'B) D RI'!U262</f>
        <v>42015.881830985905</v>
      </c>
      <c r="G260" s="265">
        <f t="shared" si="13"/>
        <v>171.1856311604451</v>
      </c>
      <c r="H260" s="55">
        <f t="shared" si="14"/>
        <v>3583087.6150000002</v>
      </c>
      <c r="I260" s="412">
        <f t="shared" si="15"/>
        <v>85.279362442359641</v>
      </c>
    </row>
    <row r="261" spans="1:9" x14ac:dyDescent="0.25">
      <c r="A261" s="49">
        <f>'A) Base RI'!A263</f>
        <v>5854</v>
      </c>
      <c r="B261" s="525" t="str">
        <f>'A) Base RI'!B263</f>
        <v>Burtigny</v>
      </c>
      <c r="C261" s="10">
        <f>'B) D RI'!Y263</f>
        <v>106125.35</v>
      </c>
      <c r="D261" s="442">
        <f>'B) D RI'!Z263</f>
        <v>24487.9</v>
      </c>
      <c r="E261" s="10">
        <f t="shared" si="12"/>
        <v>130613.25</v>
      </c>
      <c r="F261" s="442">
        <f>'B) D RI'!U263</f>
        <v>10782.893958333336</v>
      </c>
      <c r="G261" s="265">
        <f t="shared" si="13"/>
        <v>12.113005145437628</v>
      </c>
      <c r="H261" s="55">
        <f t="shared" si="14"/>
        <v>60409.045000000006</v>
      </c>
      <c r="I261" s="412">
        <f t="shared" si="15"/>
        <v>5.6023035405364556</v>
      </c>
    </row>
    <row r="262" spans="1:9" x14ac:dyDescent="0.25">
      <c r="A262" s="49">
        <f>'A) Base RI'!A264</f>
        <v>5855</v>
      </c>
      <c r="B262" s="525" t="str">
        <f>'A) Base RI'!B264</f>
        <v>Dully</v>
      </c>
      <c r="C262" s="10">
        <f>'B) D RI'!Y264</f>
        <v>541088.1</v>
      </c>
      <c r="D262" s="442">
        <f>'B) D RI'!Z264</f>
        <v>1221.55</v>
      </c>
      <c r="E262" s="10">
        <f t="shared" ref="E262:E313" si="16">C262+D262</f>
        <v>542309.65</v>
      </c>
      <c r="F262" s="442">
        <f>'B) D RI'!U264</f>
        <v>98158.514897959176</v>
      </c>
      <c r="G262" s="265">
        <f t="shared" ref="G262:G313" si="17">E262/F262</f>
        <v>5.5248355230695863</v>
      </c>
      <c r="H262" s="55">
        <f t="shared" ref="H262:H313" si="18">(C262*$C$4)+(D262*$D$4)</f>
        <v>270910.51500000001</v>
      </c>
      <c r="I262" s="412">
        <f t="shared" ref="I262:I313" si="19">H262/F262</f>
        <v>2.7599288281981997</v>
      </c>
    </row>
    <row r="263" spans="1:9" x14ac:dyDescent="0.25">
      <c r="A263" s="49">
        <f>'A) Base RI'!A265</f>
        <v>5856</v>
      </c>
      <c r="B263" s="525" t="str">
        <f>'A) Base RI'!B265</f>
        <v>Essertines-sur-Rolle</v>
      </c>
      <c r="C263" s="10">
        <f>'B) D RI'!Y265</f>
        <v>275081</v>
      </c>
      <c r="D263" s="442">
        <f>'B) D RI'!Z265</f>
        <v>7661.75</v>
      </c>
      <c r="E263" s="10">
        <f t="shared" si="16"/>
        <v>282742.75</v>
      </c>
      <c r="F263" s="442">
        <f>'B) D RI'!U265</f>
        <v>35711.648536726432</v>
      </c>
      <c r="G263" s="265">
        <f t="shared" si="17"/>
        <v>7.9173816271523512</v>
      </c>
      <c r="H263" s="55">
        <f t="shared" si="18"/>
        <v>139839.02499999999</v>
      </c>
      <c r="I263" s="412">
        <f t="shared" si="19"/>
        <v>3.9157818451362529</v>
      </c>
    </row>
    <row r="264" spans="1:9" x14ac:dyDescent="0.25">
      <c r="A264" s="49">
        <f>'A) Base RI'!A266</f>
        <v>5857</v>
      </c>
      <c r="B264" s="525" t="str">
        <f>'A) Base RI'!B266</f>
        <v>Gilly</v>
      </c>
      <c r="C264" s="10">
        <f>'B) D RI'!Y266</f>
        <v>230342.7</v>
      </c>
      <c r="D264" s="442">
        <f>'B) D RI'!Z266</f>
        <v>83818.8</v>
      </c>
      <c r="E264" s="10">
        <f t="shared" si="16"/>
        <v>314161.5</v>
      </c>
      <c r="F264" s="442">
        <f>'B) D RI'!U266</f>
        <v>82128.423720930223</v>
      </c>
      <c r="G264" s="265">
        <f t="shared" si="17"/>
        <v>3.8252469214252889</v>
      </c>
      <c r="H264" s="55">
        <f t="shared" si="18"/>
        <v>140316.99</v>
      </c>
      <c r="I264" s="412">
        <f t="shared" si="19"/>
        <v>1.7085070386446557</v>
      </c>
    </row>
    <row r="265" spans="1:9" x14ac:dyDescent="0.25">
      <c r="A265" s="49">
        <f>'A) Base RI'!A267</f>
        <v>5858</v>
      </c>
      <c r="B265" s="525" t="str">
        <f>'A) Base RI'!B267</f>
        <v>Luins</v>
      </c>
      <c r="C265" s="10">
        <f>'B) D RI'!Y267</f>
        <v>114680.54999999999</v>
      </c>
      <c r="D265" s="442">
        <f>'B) D RI'!Z267</f>
        <v>4072.3</v>
      </c>
      <c r="E265" s="10">
        <f t="shared" si="16"/>
        <v>118752.84999999999</v>
      </c>
      <c r="F265" s="442">
        <f>'B) D RI'!U267</f>
        <v>40290.677378917375</v>
      </c>
      <c r="G265" s="265">
        <f t="shared" si="17"/>
        <v>2.9474026679466792</v>
      </c>
      <c r="H265" s="55">
        <f t="shared" si="18"/>
        <v>58561.964999999997</v>
      </c>
      <c r="I265" s="412">
        <f t="shared" si="19"/>
        <v>1.4534867321601128</v>
      </c>
    </row>
    <row r="266" spans="1:9" x14ac:dyDescent="0.25">
      <c r="A266" s="49">
        <f>'A) Base RI'!A268</f>
        <v>5859</v>
      </c>
      <c r="B266" s="525" t="str">
        <f>'A) Base RI'!B268</f>
        <v>Mont-sur-Rolle</v>
      </c>
      <c r="C266" s="10">
        <f>'B) D RI'!Y268</f>
        <v>652470.69999999995</v>
      </c>
      <c r="D266" s="442">
        <f>'B) D RI'!Z268</f>
        <v>117869.3</v>
      </c>
      <c r="E266" s="10">
        <f t="shared" si="16"/>
        <v>770340</v>
      </c>
      <c r="F266" s="442">
        <f>'B) D RI'!U268</f>
        <v>146465.78251968499</v>
      </c>
      <c r="G266" s="265">
        <f t="shared" si="17"/>
        <v>5.2595219630664687</v>
      </c>
      <c r="H266" s="55">
        <f t="shared" si="18"/>
        <v>361596.13999999996</v>
      </c>
      <c r="I266" s="412">
        <f t="shared" si="19"/>
        <v>2.4688096685749894</v>
      </c>
    </row>
    <row r="267" spans="1:9" x14ac:dyDescent="0.25">
      <c r="A267" s="49">
        <f>'A) Base RI'!A269</f>
        <v>5860</v>
      </c>
      <c r="B267" s="525" t="str">
        <f>'A) Base RI'!B269</f>
        <v>Perroy</v>
      </c>
      <c r="C267" s="10">
        <f>'B) D RI'!Y269</f>
        <v>1219481.05</v>
      </c>
      <c r="D267" s="442">
        <f>'B) D RI'!Z269</f>
        <v>22451.35</v>
      </c>
      <c r="E267" s="10">
        <f t="shared" si="16"/>
        <v>1241932.4000000001</v>
      </c>
      <c r="F267" s="442">
        <f>'B) D RI'!U269</f>
        <v>187175.54426035503</v>
      </c>
      <c r="G267" s="265">
        <f t="shared" si="17"/>
        <v>6.6351210832998193</v>
      </c>
      <c r="H267" s="55">
        <f t="shared" si="18"/>
        <v>616475.93000000005</v>
      </c>
      <c r="I267" s="412">
        <f t="shared" si="19"/>
        <v>3.293570922612103</v>
      </c>
    </row>
    <row r="268" spans="1:9" x14ac:dyDescent="0.25">
      <c r="A268" s="49">
        <f>'A) Base RI'!A270</f>
        <v>5861</v>
      </c>
      <c r="B268" s="525" t="str">
        <f>'A) Base RI'!B270</f>
        <v>Rolle</v>
      </c>
      <c r="C268" s="10">
        <f>'B) D RI'!Y270</f>
        <v>1726447.9</v>
      </c>
      <c r="D268" s="442">
        <f>'B) D RI'!Z270</f>
        <v>582154.1</v>
      </c>
      <c r="E268" s="10">
        <f t="shared" si="16"/>
        <v>2308602</v>
      </c>
      <c r="F268" s="442">
        <f>'B) D RI'!U270</f>
        <v>1938335.8673949579</v>
      </c>
      <c r="G268" s="265">
        <f t="shared" si="17"/>
        <v>1.1910226905632533</v>
      </c>
      <c r="H268" s="55">
        <f t="shared" si="18"/>
        <v>1037870.1799999999</v>
      </c>
      <c r="I268" s="412">
        <f t="shared" si="19"/>
        <v>0.53544393283856107</v>
      </c>
    </row>
    <row r="269" spans="1:9" x14ac:dyDescent="0.25">
      <c r="A269" s="49">
        <f>'A) Base RI'!A271</f>
        <v>5862</v>
      </c>
      <c r="B269" s="525" t="str">
        <f>'A) Base RI'!B271</f>
        <v>Tartegnin</v>
      </c>
      <c r="C269" s="10">
        <f>'B) D RI'!Y271</f>
        <v>-1975.7000000000003</v>
      </c>
      <c r="D269" s="442">
        <f>'B) D RI'!Z271</f>
        <v>11024.15</v>
      </c>
      <c r="E269" s="10">
        <f t="shared" si="16"/>
        <v>9048.4499999999989</v>
      </c>
      <c r="F269" s="442">
        <f>'B) D RI'!U271</f>
        <v>8096.4381012658214</v>
      </c>
      <c r="G269" s="265">
        <f t="shared" si="17"/>
        <v>1.1175840396513792</v>
      </c>
      <c r="H269" s="55">
        <f t="shared" si="18"/>
        <v>2319.3949999999995</v>
      </c>
      <c r="I269" s="412">
        <f t="shared" si="19"/>
        <v>0.2864710346686129</v>
      </c>
    </row>
    <row r="270" spans="1:9" x14ac:dyDescent="0.25">
      <c r="A270" s="49">
        <f>'A) Base RI'!A272</f>
        <v>5863</v>
      </c>
      <c r="B270" s="525" t="str">
        <f>'A) Base RI'!B272</f>
        <v>Vinzel</v>
      </c>
      <c r="C270" s="10">
        <f>'B) D RI'!Y272</f>
        <v>100625.9</v>
      </c>
      <c r="D270" s="442">
        <f>'B) D RI'!Z272</f>
        <v>23922.95</v>
      </c>
      <c r="E270" s="10">
        <f t="shared" si="16"/>
        <v>124548.84999999999</v>
      </c>
      <c r="F270" s="442">
        <f>'B) D RI'!U272</f>
        <v>21933.69492537314</v>
      </c>
      <c r="G270" s="265">
        <f t="shared" si="17"/>
        <v>5.678425382670957</v>
      </c>
      <c r="H270" s="55">
        <f t="shared" si="18"/>
        <v>57489.834999999999</v>
      </c>
      <c r="I270" s="412">
        <f t="shared" si="19"/>
        <v>2.6210738863471255</v>
      </c>
    </row>
    <row r="271" spans="1:9" x14ac:dyDescent="0.25">
      <c r="A271" s="49">
        <f>'A) Base RI'!A273</f>
        <v>5871</v>
      </c>
      <c r="B271" s="525" t="str">
        <f>'A) Base RI'!B273</f>
        <v>L'Abbaye</v>
      </c>
      <c r="C271" s="10">
        <f>'B) D RI'!Y273</f>
        <v>266679.7</v>
      </c>
      <c r="D271" s="442">
        <f>'B) D RI'!Z273</f>
        <v>757257.95</v>
      </c>
      <c r="E271" s="10">
        <f t="shared" si="16"/>
        <v>1023937.6499999999</v>
      </c>
      <c r="F271" s="442">
        <f>'B) D RI'!U273</f>
        <v>49513.521273852508</v>
      </c>
      <c r="G271" s="265">
        <f t="shared" si="17"/>
        <v>20.679960214034079</v>
      </c>
      <c r="H271" s="55">
        <f t="shared" si="18"/>
        <v>360517.23499999999</v>
      </c>
      <c r="I271" s="412">
        <f t="shared" si="19"/>
        <v>7.281187556950929</v>
      </c>
    </row>
    <row r="272" spans="1:9" x14ac:dyDescent="0.25">
      <c r="A272" s="49">
        <f>'A) Base RI'!A274</f>
        <v>5872</v>
      </c>
      <c r="B272" s="525" t="str">
        <f>'A) Base RI'!B274</f>
        <v>Le Chenit</v>
      </c>
      <c r="C272" s="10">
        <f>'B) D RI'!Y274</f>
        <v>3941071.3000000003</v>
      </c>
      <c r="D272" s="442">
        <f>'B) D RI'!Z274</f>
        <v>6124106.2999999998</v>
      </c>
      <c r="E272" s="10">
        <f t="shared" si="16"/>
        <v>10065177.6</v>
      </c>
      <c r="F272" s="442">
        <f>'B) D RI'!U274</f>
        <v>236042.78222554145</v>
      </c>
      <c r="G272" s="265">
        <f t="shared" si="17"/>
        <v>42.641327580957814</v>
      </c>
      <c r="H272" s="55">
        <f t="shared" si="18"/>
        <v>3807767.54</v>
      </c>
      <c r="I272" s="412">
        <f t="shared" si="19"/>
        <v>16.131683858740644</v>
      </c>
    </row>
    <row r="273" spans="1:9" x14ac:dyDescent="0.25">
      <c r="A273" s="49">
        <f>'A) Base RI'!A275</f>
        <v>5873</v>
      </c>
      <c r="B273" s="525" t="str">
        <f>'A) Base RI'!B275</f>
        <v>Le Lieu</v>
      </c>
      <c r="C273" s="10">
        <f>'B) D RI'!Y275</f>
        <v>103630.05</v>
      </c>
      <c r="D273" s="442">
        <f>'B) D RI'!Z275</f>
        <v>1061298.2</v>
      </c>
      <c r="E273" s="10">
        <f t="shared" si="16"/>
        <v>1164928.25</v>
      </c>
      <c r="F273" s="442">
        <f>'B) D RI'!U275</f>
        <v>30440.408392857149</v>
      </c>
      <c r="G273" s="265">
        <f t="shared" si="17"/>
        <v>38.269139985433007</v>
      </c>
      <c r="H273" s="55">
        <f t="shared" si="18"/>
        <v>370204.48499999999</v>
      </c>
      <c r="I273" s="412">
        <f t="shared" si="19"/>
        <v>12.161613609851193</v>
      </c>
    </row>
    <row r="274" spans="1:9" x14ac:dyDescent="0.25">
      <c r="A274" s="49">
        <f>'A) Base RI'!A276</f>
        <v>5881</v>
      </c>
      <c r="B274" s="525" t="str">
        <f>'A) Base RI'!B276</f>
        <v>Blonay</v>
      </c>
      <c r="C274" s="10">
        <f>'B) D RI'!Y276</f>
        <v>3628307.6799999997</v>
      </c>
      <c r="D274" s="442">
        <f>'B) D RI'!Z276</f>
        <v>98862.75</v>
      </c>
      <c r="E274" s="10">
        <f t="shared" si="16"/>
        <v>3727170.4299999997</v>
      </c>
      <c r="F274" s="442">
        <f>'B) D RI'!U276</f>
        <v>363266.43007299263</v>
      </c>
      <c r="G274" s="265">
        <f t="shared" si="17"/>
        <v>10.260156517218185</v>
      </c>
      <c r="H274" s="55">
        <f t="shared" si="18"/>
        <v>1843812.6649999998</v>
      </c>
      <c r="I274" s="412">
        <f t="shared" si="19"/>
        <v>5.0756483736455218</v>
      </c>
    </row>
    <row r="275" spans="1:9" x14ac:dyDescent="0.25">
      <c r="A275" s="49">
        <f>'A) Base RI'!A277</f>
        <v>5882</v>
      </c>
      <c r="B275" s="525" t="str">
        <f>'A) Base RI'!B277</f>
        <v>Chardonne</v>
      </c>
      <c r="C275" s="10">
        <f>'B) D RI'!Y277</f>
        <v>1235928.6499999999</v>
      </c>
      <c r="D275" s="442">
        <f>'B) D RI'!Z277</f>
        <v>11194.95</v>
      </c>
      <c r="E275" s="10">
        <f t="shared" si="16"/>
        <v>1247123.5999999999</v>
      </c>
      <c r="F275" s="442">
        <f>'B) D RI'!U277</f>
        <v>179032.37397058826</v>
      </c>
      <c r="G275" s="265">
        <f t="shared" si="17"/>
        <v>6.9659110938498721</v>
      </c>
      <c r="H275" s="55">
        <f t="shared" si="18"/>
        <v>621322.80999999994</v>
      </c>
      <c r="I275" s="412">
        <f t="shared" si="19"/>
        <v>3.4704494847511316</v>
      </c>
    </row>
    <row r="276" spans="1:9" x14ac:dyDescent="0.25">
      <c r="A276" s="49">
        <f>'A) Base RI'!A278</f>
        <v>5883</v>
      </c>
      <c r="B276" s="525" t="str">
        <f>'A) Base RI'!B278</f>
        <v>Corseaux</v>
      </c>
      <c r="C276" s="10">
        <f>'B) D RI'!Y278</f>
        <v>855951.4</v>
      </c>
      <c r="D276" s="442">
        <f>'B) D RI'!Z278</f>
        <v>0</v>
      </c>
      <c r="E276" s="10">
        <f t="shared" si="16"/>
        <v>855951.4</v>
      </c>
      <c r="F276" s="442">
        <f>'B) D RI'!U278</f>
        <v>167893.40074074076</v>
      </c>
      <c r="G276" s="265">
        <f t="shared" si="17"/>
        <v>5.0981837059918229</v>
      </c>
      <c r="H276" s="55">
        <f t="shared" si="18"/>
        <v>427975.7</v>
      </c>
      <c r="I276" s="412">
        <f t="shared" si="19"/>
        <v>2.5490918529959115</v>
      </c>
    </row>
    <row r="277" spans="1:9" x14ac:dyDescent="0.25">
      <c r="A277" s="49">
        <f>'A) Base RI'!A279</f>
        <v>5884</v>
      </c>
      <c r="B277" s="525" t="str">
        <f>'A) Base RI'!B279</f>
        <v>Corsier-sur-Vevey</v>
      </c>
      <c r="C277" s="10">
        <f>'B) D RI'!Y279</f>
        <v>526763.94999999995</v>
      </c>
      <c r="D277" s="442">
        <f>'B) D RI'!Z279</f>
        <v>471954.75</v>
      </c>
      <c r="E277" s="10">
        <f t="shared" si="16"/>
        <v>998718.7</v>
      </c>
      <c r="F277" s="442">
        <f>'B) D RI'!U279</f>
        <v>122170.7416919192</v>
      </c>
      <c r="G277" s="265">
        <f t="shared" si="17"/>
        <v>8.1747780701740531</v>
      </c>
      <c r="H277" s="55">
        <f t="shared" si="18"/>
        <v>404968.39999999997</v>
      </c>
      <c r="I277" s="412">
        <f t="shared" si="19"/>
        <v>3.3147740153793794</v>
      </c>
    </row>
    <row r="278" spans="1:9" x14ac:dyDescent="0.25">
      <c r="A278" s="49">
        <f>'A) Base RI'!A280</f>
        <v>5885</v>
      </c>
      <c r="B278" s="525" t="str">
        <f>'A) Base RI'!B280</f>
        <v>Jongny</v>
      </c>
      <c r="C278" s="10">
        <f>'B) D RI'!Y280</f>
        <v>677743.3</v>
      </c>
      <c r="D278" s="442">
        <f>'B) D RI'!Z280</f>
        <v>2144.65</v>
      </c>
      <c r="E278" s="10">
        <f t="shared" si="16"/>
        <v>679887.95000000007</v>
      </c>
      <c r="F278" s="442">
        <f>'B) D RI'!U280</f>
        <v>85101.213069544348</v>
      </c>
      <c r="G278" s="265">
        <f t="shared" si="17"/>
        <v>7.9891687260015738</v>
      </c>
      <c r="H278" s="55">
        <f t="shared" si="18"/>
        <v>339515.04500000004</v>
      </c>
      <c r="I278" s="412">
        <f t="shared" si="19"/>
        <v>3.9895441293245701</v>
      </c>
    </row>
    <row r="279" spans="1:9" x14ac:dyDescent="0.25">
      <c r="A279" s="49">
        <f>'A) Base RI'!A281</f>
        <v>5886</v>
      </c>
      <c r="B279" s="525" t="str">
        <f>'A) Base RI'!B281</f>
        <v>Montreux</v>
      </c>
      <c r="C279" s="10">
        <f>'B) D RI'!Y281</f>
        <v>21424070.649999999</v>
      </c>
      <c r="D279" s="442">
        <f>'B) D RI'!Z281</f>
        <v>1113954.95</v>
      </c>
      <c r="E279" s="10">
        <f t="shared" si="16"/>
        <v>22538025.599999998</v>
      </c>
      <c r="F279" s="442">
        <f>'B) D RI'!U281</f>
        <v>1097075.3945128203</v>
      </c>
      <c r="G279" s="265">
        <f t="shared" si="17"/>
        <v>20.543734471420251</v>
      </c>
      <c r="H279" s="55">
        <f t="shared" si="18"/>
        <v>11046221.809999999</v>
      </c>
      <c r="I279" s="412">
        <f t="shared" si="19"/>
        <v>10.068790044193188</v>
      </c>
    </row>
    <row r="280" spans="1:9" x14ac:dyDescent="0.25">
      <c r="A280" s="49">
        <f>'A) Base RI'!A282</f>
        <v>5888</v>
      </c>
      <c r="B280" s="525" t="str">
        <f>'A) Base RI'!B282</f>
        <v>Saint-Légier-La Chiésaz</v>
      </c>
      <c r="C280" s="10">
        <f>'B) D RI'!Y282</f>
        <v>1969772.3000000003</v>
      </c>
      <c r="D280" s="442">
        <f>'B) D RI'!Z282</f>
        <v>190374.5</v>
      </c>
      <c r="E280" s="10">
        <f t="shared" si="16"/>
        <v>2160146.8000000003</v>
      </c>
      <c r="F280" s="442">
        <f>'B) D RI'!U282</f>
        <v>325586.52158150851</v>
      </c>
      <c r="G280" s="265">
        <f t="shared" si="17"/>
        <v>6.634632138662476</v>
      </c>
      <c r="H280" s="55">
        <f t="shared" si="18"/>
        <v>1041998.5000000001</v>
      </c>
      <c r="I280" s="412">
        <f t="shared" si="19"/>
        <v>3.2003735748598623</v>
      </c>
    </row>
    <row r="281" spans="1:9" x14ac:dyDescent="0.25">
      <c r="A281" s="49">
        <f>'A) Base RI'!A283</f>
        <v>5889</v>
      </c>
      <c r="B281" s="525" t="str">
        <f>'A) Base RI'!B283</f>
        <v>La Tour-de-Peilz</v>
      </c>
      <c r="C281" s="10">
        <f>'B) D RI'!Y283</f>
        <v>3279709.2</v>
      </c>
      <c r="D281" s="442">
        <f>'B) D RI'!Z283</f>
        <v>213995.45</v>
      </c>
      <c r="E281" s="10">
        <f t="shared" si="16"/>
        <v>3493704.6500000004</v>
      </c>
      <c r="F281" s="442">
        <f>'B) D RI'!U283</f>
        <v>675962.70015625004</v>
      </c>
      <c r="G281" s="265">
        <f t="shared" si="17"/>
        <v>5.1684873280617758</v>
      </c>
      <c r="H281" s="55">
        <f t="shared" si="18"/>
        <v>1704053.2350000001</v>
      </c>
      <c r="I281" s="412">
        <f t="shared" si="19"/>
        <v>2.5209279071258002</v>
      </c>
    </row>
    <row r="282" spans="1:9" x14ac:dyDescent="0.25">
      <c r="A282" s="49">
        <f>'A) Base RI'!A284</f>
        <v>5890</v>
      </c>
      <c r="B282" s="525" t="str">
        <f>'A) Base RI'!B284</f>
        <v>Vevey</v>
      </c>
      <c r="C282" s="10">
        <f>'B) D RI'!Y284</f>
        <v>6225358</v>
      </c>
      <c r="D282" s="442">
        <f>'B) D RI'!Z284</f>
        <v>928887.1</v>
      </c>
      <c r="E282" s="10">
        <f t="shared" si="16"/>
        <v>7154245.0999999996</v>
      </c>
      <c r="F282" s="442">
        <f>'B) D RI'!U284</f>
        <v>862625.86017897108</v>
      </c>
      <c r="G282" s="265">
        <f t="shared" si="17"/>
        <v>8.2935666901009562</v>
      </c>
      <c r="H282" s="55">
        <f t="shared" si="18"/>
        <v>3391345.13</v>
      </c>
      <c r="I282" s="412">
        <f t="shared" si="19"/>
        <v>3.9314206616717811</v>
      </c>
    </row>
    <row r="283" spans="1:9" x14ac:dyDescent="0.25">
      <c r="A283" s="49">
        <f>'A) Base RI'!A285</f>
        <v>5891</v>
      </c>
      <c r="B283" s="525" t="str">
        <f>'A) Base RI'!B285</f>
        <v>Veytaux</v>
      </c>
      <c r="C283" s="10">
        <f>'B) D RI'!Y285</f>
        <v>314506.15000000002</v>
      </c>
      <c r="D283" s="442">
        <f>'B) D RI'!Z285</f>
        <v>413.25</v>
      </c>
      <c r="E283" s="10">
        <f t="shared" si="16"/>
        <v>314919.40000000002</v>
      </c>
      <c r="F283" s="442">
        <f>'B) D RI'!U285</f>
        <v>43950.38565947242</v>
      </c>
      <c r="G283" s="265">
        <f t="shared" si="17"/>
        <v>7.1653387171615623</v>
      </c>
      <c r="H283" s="55">
        <f t="shared" si="18"/>
        <v>157377.05000000002</v>
      </c>
      <c r="I283" s="412">
        <f t="shared" si="19"/>
        <v>3.5807888290072669</v>
      </c>
    </row>
    <row r="284" spans="1:9" x14ac:dyDescent="0.25">
      <c r="A284" s="49">
        <f>'A) Base RI'!A286</f>
        <v>5902</v>
      </c>
      <c r="B284" s="525" t="str">
        <f>'A) Base RI'!B286</f>
        <v>Belmont-sur-Yverdon</v>
      </c>
      <c r="C284" s="10">
        <f>'B) D RI'!Y286</f>
        <v>168540.3</v>
      </c>
      <c r="D284" s="442">
        <f>'B) D RI'!Z286</f>
        <v>0</v>
      </c>
      <c r="E284" s="10">
        <f t="shared" si="16"/>
        <v>168540.3</v>
      </c>
      <c r="F284" s="442">
        <f>'B) D RI'!U286</f>
        <v>11719.310285714289</v>
      </c>
      <c r="G284" s="265">
        <f t="shared" si="17"/>
        <v>14.38141800933872</v>
      </c>
      <c r="H284" s="55">
        <f t="shared" si="18"/>
        <v>84270.15</v>
      </c>
      <c r="I284" s="412">
        <f t="shared" si="19"/>
        <v>7.19070900466936</v>
      </c>
    </row>
    <row r="285" spans="1:9" x14ac:dyDescent="0.25">
      <c r="A285" s="49">
        <f>'A) Base RI'!A287</f>
        <v>5903</v>
      </c>
      <c r="B285" s="525" t="str">
        <f>'A) Base RI'!B287</f>
        <v>Bioley-Magnoux</v>
      </c>
      <c r="C285" s="10">
        <f>'B) D RI'!Y287</f>
        <v>7115.5</v>
      </c>
      <c r="D285" s="442">
        <f>'B) D RI'!Z287</f>
        <v>24639.1</v>
      </c>
      <c r="E285" s="10">
        <f t="shared" si="16"/>
        <v>31754.6</v>
      </c>
      <c r="F285" s="442">
        <f>'B) D RI'!U287</f>
        <v>5017.2132738095233</v>
      </c>
      <c r="G285" s="265">
        <f t="shared" si="17"/>
        <v>6.3291309870686492</v>
      </c>
      <c r="H285" s="55">
        <f t="shared" si="18"/>
        <v>10949.48</v>
      </c>
      <c r="I285" s="412">
        <f t="shared" si="19"/>
        <v>2.1823828094288209</v>
      </c>
    </row>
    <row r="286" spans="1:9" x14ac:dyDescent="0.25">
      <c r="A286" s="49">
        <f>'A) Base RI'!A288</f>
        <v>5904</v>
      </c>
      <c r="B286" s="525" t="str">
        <f>'A) Base RI'!B288</f>
        <v>Chamblon</v>
      </c>
      <c r="C286" s="10">
        <f>'B) D RI'!Y288</f>
        <v>72454.3</v>
      </c>
      <c r="D286" s="442">
        <f>'B) D RI'!Z288</f>
        <v>34103.599999999999</v>
      </c>
      <c r="E286" s="10">
        <f t="shared" si="16"/>
        <v>106557.9</v>
      </c>
      <c r="F286" s="442">
        <f>'B) D RI'!U288</f>
        <v>21694.056363636359</v>
      </c>
      <c r="G286" s="265">
        <f t="shared" si="17"/>
        <v>4.9118476606621462</v>
      </c>
      <c r="H286" s="55">
        <f t="shared" si="18"/>
        <v>46458.23</v>
      </c>
      <c r="I286" s="412">
        <f t="shared" si="19"/>
        <v>2.1415188206975171</v>
      </c>
    </row>
    <row r="287" spans="1:9" x14ac:dyDescent="0.25">
      <c r="A287" s="49">
        <f>'A) Base RI'!A289</f>
        <v>5905</v>
      </c>
      <c r="B287" s="525" t="str">
        <f>'A) Base RI'!B289</f>
        <v>Champvent</v>
      </c>
      <c r="C287" s="10">
        <f>'B) D RI'!Y289</f>
        <v>141894.70000000001</v>
      </c>
      <c r="D287" s="442">
        <f>'B) D RI'!Z289</f>
        <v>1903.55</v>
      </c>
      <c r="E287" s="10">
        <f t="shared" si="16"/>
        <v>143798.25</v>
      </c>
      <c r="F287" s="442">
        <f>'B) D RI'!U289</f>
        <v>21673.362816901412</v>
      </c>
      <c r="G287" s="265">
        <f t="shared" si="17"/>
        <v>6.6347918047984065</v>
      </c>
      <c r="H287" s="55">
        <f t="shared" si="18"/>
        <v>71518.415000000008</v>
      </c>
      <c r="I287" s="412">
        <f t="shared" si="19"/>
        <v>3.2998301003953214</v>
      </c>
    </row>
    <row r="288" spans="1:9" x14ac:dyDescent="0.25">
      <c r="A288" s="49">
        <f>'A) Base RI'!A290</f>
        <v>5907</v>
      </c>
      <c r="B288" s="525" t="str">
        <f>'A) Base RI'!B290</f>
        <v>Chavannes-le-Chêne</v>
      </c>
      <c r="C288" s="10">
        <f>'B) D RI'!Y290</f>
        <v>31732.800000000003</v>
      </c>
      <c r="D288" s="442">
        <f>'B) D RI'!Z290</f>
        <v>7607.85</v>
      </c>
      <c r="E288" s="10">
        <f t="shared" si="16"/>
        <v>39340.65</v>
      </c>
      <c r="F288" s="442">
        <f>'B) D RI'!U290</f>
        <v>9891.0456000000013</v>
      </c>
      <c r="G288" s="265">
        <f t="shared" si="17"/>
        <v>3.977400528817701</v>
      </c>
      <c r="H288" s="55">
        <f t="shared" si="18"/>
        <v>18148.755000000001</v>
      </c>
      <c r="I288" s="412">
        <f t="shared" si="19"/>
        <v>1.8348671853256848</v>
      </c>
    </row>
    <row r="289" spans="1:9" x14ac:dyDescent="0.25">
      <c r="A289" s="49">
        <f>'A) Base RI'!A291</f>
        <v>5908</v>
      </c>
      <c r="B289" s="525" t="str">
        <f>'A) Base RI'!B291</f>
        <v>Chêne-Pâquier</v>
      </c>
      <c r="C289" s="10">
        <f>'B) D RI'!Y291</f>
        <v>8757.5499999999993</v>
      </c>
      <c r="D289" s="442">
        <f>'B) D RI'!Z291</f>
        <v>4476.1000000000004</v>
      </c>
      <c r="E289" s="10">
        <f t="shared" si="16"/>
        <v>13233.65</v>
      </c>
      <c r="F289" s="442">
        <f>'B) D RI'!U291</f>
        <v>6502.4863291139245</v>
      </c>
      <c r="G289" s="265">
        <f t="shared" si="17"/>
        <v>2.0351676774387486</v>
      </c>
      <c r="H289" s="55">
        <f t="shared" si="18"/>
        <v>5721.6049999999996</v>
      </c>
      <c r="I289" s="412">
        <f t="shared" si="19"/>
        <v>0.87991034665960866</v>
      </c>
    </row>
    <row r="290" spans="1:9" x14ac:dyDescent="0.25">
      <c r="A290" s="49">
        <f>'A) Base RI'!A292</f>
        <v>5909</v>
      </c>
      <c r="B290" s="525" t="str">
        <f>'A) Base RI'!B292</f>
        <v>Cheseaux-Noréaz</v>
      </c>
      <c r="C290" s="10">
        <f>'B) D RI'!Y292</f>
        <v>90809.9</v>
      </c>
      <c r="D290" s="442">
        <f>'B) D RI'!Z292</f>
        <v>8854.75</v>
      </c>
      <c r="E290" s="10">
        <f t="shared" si="16"/>
        <v>99664.65</v>
      </c>
      <c r="F290" s="442">
        <f>'B) D RI'!U292</f>
        <v>39259.116417910453</v>
      </c>
      <c r="G290" s="265">
        <f t="shared" si="17"/>
        <v>2.5386371139655055</v>
      </c>
      <c r="H290" s="55">
        <f t="shared" si="18"/>
        <v>48061.375</v>
      </c>
      <c r="I290" s="412">
        <f t="shared" si="19"/>
        <v>1.2242092890830794</v>
      </c>
    </row>
    <row r="291" spans="1:9" x14ac:dyDescent="0.25">
      <c r="A291" s="49">
        <f>'A) Base RI'!A293</f>
        <v>5910</v>
      </c>
      <c r="B291" s="525" t="str">
        <f>'A) Base RI'!B293</f>
        <v>Cronay</v>
      </c>
      <c r="C291" s="10">
        <f>'B) D RI'!Y293</f>
        <v>-10306.250000000004</v>
      </c>
      <c r="D291" s="442">
        <f>'B) D RI'!Z293</f>
        <v>0</v>
      </c>
      <c r="E291" s="10">
        <f t="shared" si="16"/>
        <v>-10306.250000000004</v>
      </c>
      <c r="F291" s="442">
        <f>'B) D RI'!U293</f>
        <v>9976.0020779220758</v>
      </c>
      <c r="G291" s="265">
        <f t="shared" si="17"/>
        <v>-1.0331042354941766</v>
      </c>
      <c r="H291" s="55">
        <f t="shared" si="18"/>
        <v>-5153.1250000000018</v>
      </c>
      <c r="I291" s="412">
        <f t="shared" si="19"/>
        <v>-0.51655211774708831</v>
      </c>
    </row>
    <row r="292" spans="1:9" x14ac:dyDescent="0.25">
      <c r="A292" s="49">
        <f>'A) Base RI'!A294</f>
        <v>5911</v>
      </c>
      <c r="B292" s="525" t="str">
        <f>'A) Base RI'!B294</f>
        <v>Cuarny</v>
      </c>
      <c r="C292" s="10">
        <f>'B) D RI'!Y294</f>
        <v>1237.2</v>
      </c>
      <c r="D292" s="442">
        <f>'B) D RI'!Z294</f>
        <v>1274</v>
      </c>
      <c r="E292" s="10">
        <f t="shared" si="16"/>
        <v>2511.1999999999998</v>
      </c>
      <c r="F292" s="442">
        <f>'B) D RI'!U294</f>
        <v>6939.4670129870128</v>
      </c>
      <c r="G292" s="265">
        <f t="shared" si="17"/>
        <v>0.36187217192622451</v>
      </c>
      <c r="H292" s="55">
        <f t="shared" si="18"/>
        <v>1000.8</v>
      </c>
      <c r="I292" s="412">
        <f t="shared" si="19"/>
        <v>0.14421856867782951</v>
      </c>
    </row>
    <row r="293" spans="1:9" x14ac:dyDescent="0.25">
      <c r="A293" s="49">
        <f>'A) Base RI'!A295</f>
        <v>5912</v>
      </c>
      <c r="B293" s="525" t="str">
        <f>'A) Base RI'!B295</f>
        <v>Démoret</v>
      </c>
      <c r="C293" s="10">
        <f>'B) D RI'!Y295</f>
        <v>21055.3</v>
      </c>
      <c r="D293" s="442">
        <f>'B) D RI'!Z295</f>
        <v>2837.6</v>
      </c>
      <c r="E293" s="10">
        <f t="shared" si="16"/>
        <v>23892.899999999998</v>
      </c>
      <c r="F293" s="442">
        <f>'B) D RI'!U295</f>
        <v>4070.6311111111104</v>
      </c>
      <c r="G293" s="265">
        <f t="shared" si="17"/>
        <v>5.8695812388360205</v>
      </c>
      <c r="H293" s="55">
        <f t="shared" si="18"/>
        <v>11378.93</v>
      </c>
      <c r="I293" s="412">
        <f t="shared" si="19"/>
        <v>2.7953724347412146</v>
      </c>
    </row>
    <row r="294" spans="1:9" x14ac:dyDescent="0.25">
      <c r="A294" s="49">
        <f>'A) Base RI'!A296</f>
        <v>5913</v>
      </c>
      <c r="B294" s="525" t="str">
        <f>'A) Base RI'!B296</f>
        <v>Donneloye</v>
      </c>
      <c r="C294" s="10">
        <f>'B) D RI'!Y296</f>
        <v>73772.7</v>
      </c>
      <c r="D294" s="442">
        <f>'B) D RI'!Z296</f>
        <v>30586.9</v>
      </c>
      <c r="E294" s="10">
        <f t="shared" si="16"/>
        <v>104359.6</v>
      </c>
      <c r="F294" s="442">
        <f>'B) D RI'!U296</f>
        <v>19880.828493150682</v>
      </c>
      <c r="G294" s="265">
        <f t="shared" si="17"/>
        <v>5.2492580998801861</v>
      </c>
      <c r="H294" s="55">
        <f t="shared" si="18"/>
        <v>46062.42</v>
      </c>
      <c r="I294" s="412">
        <f t="shared" si="19"/>
        <v>2.316926581599422</v>
      </c>
    </row>
    <row r="295" spans="1:9" x14ac:dyDescent="0.25">
      <c r="A295" s="49">
        <f>'A) Base RI'!A297</f>
        <v>5914</v>
      </c>
      <c r="B295" s="525" t="str">
        <f>'A) Base RI'!B297</f>
        <v>Ependes</v>
      </c>
      <c r="C295" s="10">
        <f>'B) D RI'!Y297</f>
        <v>45711.1</v>
      </c>
      <c r="D295" s="442">
        <f>'B) D RI'!Z297</f>
        <v>4770.75</v>
      </c>
      <c r="E295" s="10">
        <f t="shared" si="16"/>
        <v>50481.85</v>
      </c>
      <c r="F295" s="442">
        <f>'B) D RI'!U297</f>
        <v>10662.074965986394</v>
      </c>
      <c r="G295" s="265">
        <f t="shared" si="17"/>
        <v>4.7347115979811258</v>
      </c>
      <c r="H295" s="55">
        <f t="shared" si="18"/>
        <v>24286.774999999998</v>
      </c>
      <c r="I295" s="412">
        <f t="shared" si="19"/>
        <v>2.2778657135199691</v>
      </c>
    </row>
    <row r="296" spans="1:9" x14ac:dyDescent="0.25">
      <c r="A296" s="49">
        <f>'A) Base RI'!A298</f>
        <v>5919</v>
      </c>
      <c r="B296" s="525" t="str">
        <f>'A) Base RI'!B298</f>
        <v>Mathod</v>
      </c>
      <c r="C296" s="10">
        <f>'B) D RI'!Y298</f>
        <v>266140.25</v>
      </c>
      <c r="D296" s="442">
        <f>'B) D RI'!Z298</f>
        <v>11500.6</v>
      </c>
      <c r="E296" s="10">
        <f t="shared" si="16"/>
        <v>277640.84999999998</v>
      </c>
      <c r="F296" s="442">
        <f>'B) D RI'!U298</f>
        <v>21565.598078703704</v>
      </c>
      <c r="G296" s="265">
        <f t="shared" si="17"/>
        <v>12.87424763211987</v>
      </c>
      <c r="H296" s="55">
        <f t="shared" si="18"/>
        <v>136520.30499999999</v>
      </c>
      <c r="I296" s="412">
        <f t="shared" si="19"/>
        <v>6.3304669085350103</v>
      </c>
    </row>
    <row r="297" spans="1:9" x14ac:dyDescent="0.25">
      <c r="A297" s="49">
        <f>'A) Base RI'!A299</f>
        <v>5921</v>
      </c>
      <c r="B297" s="525" t="str">
        <f>'A) Base RI'!B299</f>
        <v>Molondin</v>
      </c>
      <c r="C297" s="10">
        <f>'B) D RI'!Y299</f>
        <v>22963.55</v>
      </c>
      <c r="D297" s="442">
        <f>'B) D RI'!Z299</f>
        <v>1548.45</v>
      </c>
      <c r="E297" s="10">
        <f t="shared" si="16"/>
        <v>24512</v>
      </c>
      <c r="F297" s="442">
        <f>'B) D RI'!U299</f>
        <v>5675.8933333333334</v>
      </c>
      <c r="G297" s="265">
        <f t="shared" si="17"/>
        <v>4.3186153369102547</v>
      </c>
      <c r="H297" s="55">
        <f t="shared" si="18"/>
        <v>11946.31</v>
      </c>
      <c r="I297" s="412">
        <f t="shared" si="19"/>
        <v>2.1047453323059861</v>
      </c>
    </row>
    <row r="298" spans="1:9" x14ac:dyDescent="0.25">
      <c r="A298" s="49">
        <f>'A) Base RI'!A300</f>
        <v>5922</v>
      </c>
      <c r="B298" s="525" t="str">
        <f>'A) Base RI'!B300</f>
        <v>Montagny-près-Yverdon</v>
      </c>
      <c r="C298" s="10">
        <f>'B) D RI'!Y300</f>
        <v>125447.55</v>
      </c>
      <c r="D298" s="442">
        <f>'B) D RI'!Z300</f>
        <v>275454.95</v>
      </c>
      <c r="E298" s="10">
        <f t="shared" si="16"/>
        <v>400902.5</v>
      </c>
      <c r="F298" s="442">
        <f>'B) D RI'!U300</f>
        <v>33326.398149606292</v>
      </c>
      <c r="G298" s="265">
        <f t="shared" si="17"/>
        <v>12.029577819970207</v>
      </c>
      <c r="H298" s="55">
        <f t="shared" si="18"/>
        <v>145360.26</v>
      </c>
      <c r="I298" s="412">
        <f t="shared" si="19"/>
        <v>4.361715278904728</v>
      </c>
    </row>
    <row r="299" spans="1:9" x14ac:dyDescent="0.25">
      <c r="A299" s="49">
        <f>'A) Base RI'!A301</f>
        <v>5923</v>
      </c>
      <c r="B299" s="525" t="str">
        <f>'A) Base RI'!B301</f>
        <v>Oppens</v>
      </c>
      <c r="C299" s="10">
        <f>'B) D RI'!Y301</f>
        <v>20208.849999999999</v>
      </c>
      <c r="D299" s="442">
        <f>'B) D RI'!Z301</f>
        <v>19955.7</v>
      </c>
      <c r="E299" s="10">
        <f t="shared" si="16"/>
        <v>40164.550000000003</v>
      </c>
      <c r="F299" s="442">
        <f>'B) D RI'!U301</f>
        <v>4799.240617283951</v>
      </c>
      <c r="G299" s="265">
        <f t="shared" si="17"/>
        <v>8.3689385890242054</v>
      </c>
      <c r="H299" s="55">
        <f t="shared" si="18"/>
        <v>16091.134999999998</v>
      </c>
      <c r="I299" s="412">
        <f t="shared" si="19"/>
        <v>3.3528502284402033</v>
      </c>
    </row>
    <row r="300" spans="1:9" x14ac:dyDescent="0.25">
      <c r="A300" s="49">
        <f>'A) Base RI'!A302</f>
        <v>5924</v>
      </c>
      <c r="B300" s="525" t="str">
        <f>'A) Base RI'!B302</f>
        <v>Orges</v>
      </c>
      <c r="C300" s="10">
        <f>'B) D RI'!Y302</f>
        <v>169123.20000000001</v>
      </c>
      <c r="D300" s="442">
        <f>'B) D RI'!Z302</f>
        <v>16319.85</v>
      </c>
      <c r="E300" s="10">
        <f t="shared" si="16"/>
        <v>185443.05000000002</v>
      </c>
      <c r="F300" s="442">
        <f>'B) D RI'!U302</f>
        <v>12525.425270270271</v>
      </c>
      <c r="G300" s="265">
        <f t="shared" si="17"/>
        <v>14.805329639398229</v>
      </c>
      <c r="H300" s="55">
        <f t="shared" si="18"/>
        <v>89457.555000000008</v>
      </c>
      <c r="I300" s="412">
        <f t="shared" si="19"/>
        <v>7.1420772604289953</v>
      </c>
    </row>
    <row r="301" spans="1:9" x14ac:dyDescent="0.25">
      <c r="A301" s="49">
        <f>'A) Base RI'!A303</f>
        <v>5925</v>
      </c>
      <c r="B301" s="525" t="str">
        <f>'A) Base RI'!B303</f>
        <v>Orzens</v>
      </c>
      <c r="C301" s="10">
        <f>'B) D RI'!Y303</f>
        <v>132355.25</v>
      </c>
      <c r="D301" s="442">
        <f>'B) D RI'!Z303</f>
        <v>7684.4</v>
      </c>
      <c r="E301" s="10">
        <f t="shared" si="16"/>
        <v>140039.65</v>
      </c>
      <c r="F301" s="442">
        <f>'B) D RI'!U303</f>
        <v>5879.4616455696196</v>
      </c>
      <c r="G301" s="265">
        <f t="shared" si="17"/>
        <v>23.818447749467808</v>
      </c>
      <c r="H301" s="55">
        <f t="shared" si="18"/>
        <v>68482.945000000007</v>
      </c>
      <c r="I301" s="412">
        <f t="shared" si="19"/>
        <v>11.647825792282243</v>
      </c>
    </row>
    <row r="302" spans="1:9" x14ac:dyDescent="0.25">
      <c r="A302" s="49">
        <f>'A) Base RI'!A304</f>
        <v>5926</v>
      </c>
      <c r="B302" s="525" t="str">
        <f>'A) Base RI'!B304</f>
        <v>Pomy</v>
      </c>
      <c r="C302" s="10">
        <f>'B) D RI'!Y304</f>
        <v>170992.90000000002</v>
      </c>
      <c r="D302" s="442">
        <f>'B) D RI'!Z304</f>
        <v>11494.6</v>
      </c>
      <c r="E302" s="10">
        <f t="shared" si="16"/>
        <v>182487.50000000003</v>
      </c>
      <c r="F302" s="442">
        <f>'B) D RI'!U304</f>
        <v>27363.186197183099</v>
      </c>
      <c r="G302" s="265">
        <f t="shared" si="17"/>
        <v>6.6690881202564851</v>
      </c>
      <c r="H302" s="55">
        <f t="shared" si="18"/>
        <v>88944.830000000016</v>
      </c>
      <c r="I302" s="412">
        <f t="shared" si="19"/>
        <v>3.2505289902663614</v>
      </c>
    </row>
    <row r="303" spans="1:9" x14ac:dyDescent="0.25">
      <c r="A303" s="49">
        <f>'A) Base RI'!A305</f>
        <v>5928</v>
      </c>
      <c r="B303" s="525" t="str">
        <f>'A) Base RI'!B305</f>
        <v>Rovray</v>
      </c>
      <c r="C303" s="10">
        <f>'B) D RI'!Y305</f>
        <v>4958.7000000000007</v>
      </c>
      <c r="D303" s="442">
        <f>'B) D RI'!Z305</f>
        <v>5029.1499999999996</v>
      </c>
      <c r="E303" s="10">
        <f t="shared" si="16"/>
        <v>9987.85</v>
      </c>
      <c r="F303" s="442">
        <f>'B) D RI'!U305</f>
        <v>5563.4060139860139</v>
      </c>
      <c r="G303" s="265">
        <f t="shared" si="17"/>
        <v>1.7952761266913189</v>
      </c>
      <c r="H303" s="55">
        <f t="shared" si="18"/>
        <v>3988.0950000000003</v>
      </c>
      <c r="I303" s="412">
        <f t="shared" si="19"/>
        <v>0.71684414007789621</v>
      </c>
    </row>
    <row r="304" spans="1:9" x14ac:dyDescent="0.25">
      <c r="A304" s="49">
        <f>'A) Base RI'!A306</f>
        <v>5929</v>
      </c>
      <c r="B304" s="525" t="str">
        <f>'A) Base RI'!B306</f>
        <v>Suchy</v>
      </c>
      <c r="C304" s="10">
        <f>'B) D RI'!Y306</f>
        <v>89830.5</v>
      </c>
      <c r="D304" s="442">
        <f>'B) D RI'!Z306</f>
        <v>10330.75</v>
      </c>
      <c r="E304" s="10">
        <f t="shared" si="16"/>
        <v>100161.25</v>
      </c>
      <c r="F304" s="442">
        <f>'B) D RI'!U306</f>
        <v>19827.403178571429</v>
      </c>
      <c r="G304" s="265">
        <f t="shared" si="17"/>
        <v>5.051657501384236</v>
      </c>
      <c r="H304" s="55">
        <f t="shared" si="18"/>
        <v>48014.474999999999</v>
      </c>
      <c r="I304" s="412">
        <f t="shared" si="19"/>
        <v>2.4216219626729485</v>
      </c>
    </row>
    <row r="305" spans="1:9" x14ac:dyDescent="0.25">
      <c r="A305" s="49">
        <f>'A) Base RI'!A307</f>
        <v>5930</v>
      </c>
      <c r="B305" s="525" t="str">
        <f>'A) Base RI'!B307</f>
        <v>Suscévaz</v>
      </c>
      <c r="C305" s="10">
        <f>'B) D RI'!Y307</f>
        <v>2767.25</v>
      </c>
      <c r="D305" s="442">
        <f>'B) D RI'!Z307</f>
        <v>3787.4</v>
      </c>
      <c r="E305" s="10">
        <f t="shared" si="16"/>
        <v>6554.65</v>
      </c>
      <c r="F305" s="442">
        <f>'B) D RI'!U307</f>
        <v>5769.1548611111102</v>
      </c>
      <c r="G305" s="265">
        <f t="shared" si="17"/>
        <v>1.1361542821781017</v>
      </c>
      <c r="H305" s="55">
        <f t="shared" si="18"/>
        <v>2519.8450000000003</v>
      </c>
      <c r="I305" s="412">
        <f t="shared" si="19"/>
        <v>0.43677888021100736</v>
      </c>
    </row>
    <row r="306" spans="1:9" x14ac:dyDescent="0.25">
      <c r="A306" s="49">
        <f>'A) Base RI'!A308</f>
        <v>5931</v>
      </c>
      <c r="B306" s="525" t="str">
        <f>'A) Base RI'!B308</f>
        <v>Treycovagnes</v>
      </c>
      <c r="C306" s="10">
        <f>'B) D RI'!Y308</f>
        <v>81087.45</v>
      </c>
      <c r="D306" s="442">
        <f>'B) D RI'!Z308</f>
        <v>24166.85</v>
      </c>
      <c r="E306" s="10">
        <f t="shared" si="16"/>
        <v>105254.29999999999</v>
      </c>
      <c r="F306" s="442">
        <f>'B) D RI'!U308</f>
        <v>15383.603066666663</v>
      </c>
      <c r="G306" s="265">
        <f t="shared" si="17"/>
        <v>6.84197970682603</v>
      </c>
      <c r="H306" s="55">
        <f t="shared" si="18"/>
        <v>47793.78</v>
      </c>
      <c r="I306" s="412">
        <f t="shared" si="19"/>
        <v>3.1068001295197232</v>
      </c>
    </row>
    <row r="307" spans="1:9" x14ac:dyDescent="0.25">
      <c r="A307" s="49">
        <f>'A) Base RI'!A309</f>
        <v>5932</v>
      </c>
      <c r="B307" s="525" t="str">
        <f>'A) Base RI'!B309</f>
        <v>Ursins</v>
      </c>
      <c r="C307" s="10">
        <f>'B) D RI'!Y309</f>
        <v>0</v>
      </c>
      <c r="D307" s="442">
        <f>'B) D RI'!Z309</f>
        <v>0</v>
      </c>
      <c r="E307" s="10">
        <f t="shared" si="16"/>
        <v>0</v>
      </c>
      <c r="F307" s="442">
        <f>'B) D RI'!U309</f>
        <v>6819.4023999999999</v>
      </c>
      <c r="G307" s="265">
        <f t="shared" si="17"/>
        <v>0</v>
      </c>
      <c r="H307" s="55">
        <f t="shared" si="18"/>
        <v>0</v>
      </c>
      <c r="I307" s="412">
        <f t="shared" si="19"/>
        <v>0</v>
      </c>
    </row>
    <row r="308" spans="1:9" x14ac:dyDescent="0.25">
      <c r="A308" s="49">
        <f>'A) Base RI'!A310</f>
        <v>5933</v>
      </c>
      <c r="B308" s="525" t="str">
        <f>'A) Base RI'!B310</f>
        <v>Valeyres-sous-Montagny</v>
      </c>
      <c r="C308" s="10">
        <f>'B) D RI'!Y310</f>
        <v>62907.15</v>
      </c>
      <c r="D308" s="442">
        <f>'B) D RI'!Z310</f>
        <v>17913.95</v>
      </c>
      <c r="E308" s="10">
        <f t="shared" si="16"/>
        <v>80821.100000000006</v>
      </c>
      <c r="F308" s="442">
        <f>'B) D RI'!U310</f>
        <v>22572.377872340428</v>
      </c>
      <c r="G308" s="265">
        <f t="shared" si="17"/>
        <v>3.5805310569001221</v>
      </c>
      <c r="H308" s="55">
        <f t="shared" si="18"/>
        <v>36827.760000000002</v>
      </c>
      <c r="I308" s="412">
        <f t="shared" si="19"/>
        <v>1.6315410014966889</v>
      </c>
    </row>
    <row r="309" spans="1:9" x14ac:dyDescent="0.25">
      <c r="A309" s="49">
        <f>'A) Base RI'!A311</f>
        <v>5934</v>
      </c>
      <c r="B309" s="525" t="str">
        <f>'A) Base RI'!B311</f>
        <v>Valeyres-sous-Ursins</v>
      </c>
      <c r="C309" s="10">
        <f>'B) D RI'!Y311</f>
        <v>32359.850000000002</v>
      </c>
      <c r="D309" s="442">
        <f>'B) D RI'!Z311</f>
        <v>5644.55</v>
      </c>
      <c r="E309" s="10">
        <f t="shared" si="16"/>
        <v>38004.400000000001</v>
      </c>
      <c r="F309" s="442">
        <f>'B) D RI'!U311</f>
        <v>7577.3788607594925</v>
      </c>
      <c r="G309" s="265">
        <f t="shared" si="17"/>
        <v>5.0155074331588541</v>
      </c>
      <c r="H309" s="55">
        <f t="shared" si="18"/>
        <v>17873.29</v>
      </c>
      <c r="I309" s="412">
        <f t="shared" si="19"/>
        <v>2.3587694806391841</v>
      </c>
    </row>
    <row r="310" spans="1:9" x14ac:dyDescent="0.25">
      <c r="A310" s="49">
        <f>'A) Base RI'!A312</f>
        <v>5935</v>
      </c>
      <c r="B310" s="525" t="str">
        <f>'A) Base RI'!B312</f>
        <v>Villars-Epeney</v>
      </c>
      <c r="C310" s="10">
        <f>'B) D RI'!Y312</f>
        <v>28843.25</v>
      </c>
      <c r="D310" s="442">
        <f>'B) D RI'!Z312</f>
        <v>0</v>
      </c>
      <c r="E310" s="10">
        <f t="shared" si="16"/>
        <v>28843.25</v>
      </c>
      <c r="F310" s="442">
        <f>'B) D RI'!U312</f>
        <v>3928.2205000000004</v>
      </c>
      <c r="G310" s="265">
        <f t="shared" si="17"/>
        <v>7.3425740739350038</v>
      </c>
      <c r="H310" s="55">
        <f t="shared" si="18"/>
        <v>14421.625</v>
      </c>
      <c r="I310" s="412">
        <f t="shared" si="19"/>
        <v>3.6712870369675019</v>
      </c>
    </row>
    <row r="311" spans="1:9" x14ac:dyDescent="0.25">
      <c r="A311" s="49">
        <f>'A) Base RI'!A313</f>
        <v>5937</v>
      </c>
      <c r="B311" s="525" t="str">
        <f>'A) Base RI'!B313</f>
        <v>Vugelles-La Mothe</v>
      </c>
      <c r="C311" s="10">
        <f>'B) D RI'!Y313</f>
        <v>16073.75</v>
      </c>
      <c r="D311" s="442">
        <f>'B) D RI'!Z313</f>
        <v>0</v>
      </c>
      <c r="E311" s="10">
        <f t="shared" si="16"/>
        <v>16073.75</v>
      </c>
      <c r="F311" s="442">
        <f>'B) D RI'!U313</f>
        <v>3187.6957755102044</v>
      </c>
      <c r="G311" s="265">
        <f t="shared" si="17"/>
        <v>5.0424353928277013</v>
      </c>
      <c r="H311" s="55">
        <f t="shared" si="18"/>
        <v>8036.875</v>
      </c>
      <c r="I311" s="412">
        <f t="shared" si="19"/>
        <v>2.5212176964138506</v>
      </c>
    </row>
    <row r="312" spans="1:9" x14ac:dyDescent="0.25">
      <c r="A312" s="49">
        <f>'A) Base RI'!A314</f>
        <v>5938</v>
      </c>
      <c r="B312" s="525" t="str">
        <f>'A) Base RI'!B314</f>
        <v>Yverdon-les-Bains</v>
      </c>
      <c r="C312" s="10">
        <f>'B) D RI'!Y314</f>
        <v>3935181.25</v>
      </c>
      <c r="D312" s="442">
        <f>'B) D RI'!Z314</f>
        <v>4750911.95</v>
      </c>
      <c r="E312" s="10">
        <f t="shared" si="16"/>
        <v>8686093.1999999993</v>
      </c>
      <c r="F312" s="442">
        <f>'B) D RI'!U314</f>
        <v>796551.402</v>
      </c>
      <c r="G312" s="265">
        <f t="shared" si="17"/>
        <v>10.904623578830885</v>
      </c>
      <c r="H312" s="55">
        <f t="shared" si="18"/>
        <v>3392864.21</v>
      </c>
      <c r="I312" s="412">
        <f t="shared" si="19"/>
        <v>4.2594416399005972</v>
      </c>
    </row>
    <row r="313" spans="1:9" x14ac:dyDescent="0.25">
      <c r="A313" s="49">
        <f>'A) Base RI'!A315</f>
        <v>5939</v>
      </c>
      <c r="B313" s="525" t="str">
        <f>'A) Base RI'!B315</f>
        <v>Yvonand</v>
      </c>
      <c r="C313" s="422">
        <f>'B) D RI'!Y315</f>
        <v>617127.5</v>
      </c>
      <c r="D313" s="442">
        <f>'B) D RI'!Z315</f>
        <v>170935.7</v>
      </c>
      <c r="E313" s="10">
        <f t="shared" si="16"/>
        <v>788063.2</v>
      </c>
      <c r="F313" s="442">
        <f>'B) D RI'!U315</f>
        <v>92890.042937062928</v>
      </c>
      <c r="G313" s="265">
        <f t="shared" si="17"/>
        <v>8.4838285685145749</v>
      </c>
      <c r="H313" s="55">
        <f t="shared" si="18"/>
        <v>359844.46</v>
      </c>
      <c r="I313" s="412">
        <f t="shared" si="19"/>
        <v>3.873875483552208</v>
      </c>
    </row>
    <row r="314" spans="1:9" x14ac:dyDescent="0.25">
      <c r="A314" s="371"/>
      <c r="B314" s="118">
        <f>COUNTA(B5:B313)</f>
        <v>309</v>
      </c>
      <c r="C314" s="400">
        <f>SUM(C5:C313)</f>
        <v>276206006.46999997</v>
      </c>
      <c r="D314" s="11">
        <f>SUM(D5:D313)</f>
        <v>80161278.050000027</v>
      </c>
      <c r="E314" s="11">
        <f>SUM(E5:E313)</f>
        <v>356367284.52000004</v>
      </c>
      <c r="F314" s="11">
        <f>SUM(F5:F313)</f>
        <v>39272473.833379671</v>
      </c>
      <c r="G314" s="59">
        <f t="shared" ref="G314" si="20">E314/F314</f>
        <v>9.0742255257957645</v>
      </c>
      <c r="H314" s="267">
        <f>(C314*$C$4)+(D314*$D$4)</f>
        <v>162151386.64999998</v>
      </c>
      <c r="I314" s="413">
        <f t="shared" ref="I314" si="21">H314/F314</f>
        <v>4.1288813976414005</v>
      </c>
    </row>
    <row r="316" spans="1:9" x14ac:dyDescent="0.25">
      <c r="G316" s="13"/>
    </row>
    <row r="317" spans="1:9" x14ac:dyDescent="0.25">
      <c r="G317" s="13"/>
    </row>
    <row r="318" spans="1:9" x14ac:dyDescent="0.25">
      <c r="G318" s="13"/>
    </row>
    <row r="319" spans="1:9" x14ac:dyDescent="0.25">
      <c r="G319" s="13"/>
    </row>
    <row r="320" spans="1:9" x14ac:dyDescent="0.25">
      <c r="G320" s="13"/>
    </row>
    <row r="321" spans="7:7" x14ac:dyDescent="0.25">
      <c r="G321" s="13"/>
    </row>
    <row r="322" spans="7:7" x14ac:dyDescent="0.25">
      <c r="G322" s="13"/>
    </row>
    <row r="323" spans="7:7" x14ac:dyDescent="0.25">
      <c r="G323" s="13"/>
    </row>
    <row r="324" spans="7:7" x14ac:dyDescent="0.25">
      <c r="G324" s="13"/>
    </row>
    <row r="325" spans="7:7" x14ac:dyDescent="0.25">
      <c r="G325" s="13"/>
    </row>
    <row r="326" spans="7:7" x14ac:dyDescent="0.25">
      <c r="G326" s="13"/>
    </row>
    <row r="327" spans="7:7" x14ac:dyDescent="0.25">
      <c r="G327" s="13"/>
    </row>
    <row r="328" spans="7:7" x14ac:dyDescent="0.25">
      <c r="G328" s="13"/>
    </row>
    <row r="329" spans="7:7" x14ac:dyDescent="0.25">
      <c r="G329" s="13"/>
    </row>
    <row r="330" spans="7:7" x14ac:dyDescent="0.25">
      <c r="G330" s="13"/>
    </row>
    <row r="331" spans="7:7" x14ac:dyDescent="0.25">
      <c r="G331" s="13"/>
    </row>
    <row r="332" spans="7:7" x14ac:dyDescent="0.25">
      <c r="G332" s="13"/>
    </row>
  </sheetData>
  <mergeCells count="7">
    <mergeCell ref="A3:A4"/>
    <mergeCell ref="B3:B4"/>
    <mergeCell ref="I3:I4"/>
    <mergeCell ref="H3:H4"/>
    <mergeCell ref="G3:G4"/>
    <mergeCell ref="F3:F4"/>
    <mergeCell ref="E3:E4"/>
  </mergeCells>
  <phoneticPr fontId="21" type="noConversion"/>
  <printOptions horizontalCentered="1" verticalCentered="1"/>
  <pageMargins left="0" right="0" top="0" bottom="0" header="0.51181102362204722" footer="0.51181102362204722"/>
  <pageSetup paperSize="8" orientation="landscape"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7">
    <tabColor rgb="FF00B050"/>
  </sheetPr>
  <dimension ref="A1:V320"/>
  <sheetViews>
    <sheetView workbookViewId="0">
      <selection activeCell="B131" sqref="B131"/>
    </sheetView>
  </sheetViews>
  <sheetFormatPr baseColWidth="10" defaultColWidth="11" defaultRowHeight="15" x14ac:dyDescent="0.25"/>
  <cols>
    <col min="1" max="1" width="7.25" style="13" customWidth="1"/>
    <col min="2" max="2" width="18" style="13" customWidth="1"/>
    <col min="3" max="3" width="10.875" style="13" bestFit="1" customWidth="1"/>
    <col min="4" max="4" width="8.375" style="13" customWidth="1"/>
    <col min="5" max="5" width="7.625" style="13" bestFit="1" customWidth="1"/>
    <col min="6" max="6" width="8.75" style="58" bestFit="1" customWidth="1"/>
    <col min="7" max="7" width="5.75" style="13" bestFit="1" customWidth="1"/>
    <col min="8" max="8" width="5.75" style="13" customWidth="1"/>
    <col min="9" max="10" width="5.75" style="13" bestFit="1" customWidth="1"/>
    <col min="11" max="11" width="6.5" style="13" bestFit="1" customWidth="1"/>
    <col min="12" max="12" width="7.625" style="13" bestFit="1" customWidth="1"/>
    <col min="13" max="13" width="13" style="12" bestFit="1" customWidth="1"/>
    <col min="14" max="17" width="11" style="370"/>
    <col min="18" max="18" width="11.25" style="370" bestFit="1" customWidth="1"/>
    <col min="19" max="21" width="11" style="13"/>
    <col min="22" max="22" width="11.25" style="13" bestFit="1" customWidth="1"/>
    <col min="23" max="16384" width="11" style="13"/>
  </cols>
  <sheetData>
    <row r="1" spans="1:22" ht="21" x14ac:dyDescent="0.25">
      <c r="A1" s="51" t="s">
        <v>219</v>
      </c>
      <c r="B1" s="42"/>
      <c r="C1" s="56"/>
      <c r="D1" s="43"/>
      <c r="E1" s="43"/>
      <c r="F1" s="57"/>
    </row>
    <row r="2" spans="1:22" x14ac:dyDescent="0.25">
      <c r="G2" s="66">
        <f>$E$314*G4</f>
        <v>48.169353407800408</v>
      </c>
      <c r="H2" s="66">
        <f t="shared" ref="H2:K2" si="0">$E$314*H4</f>
        <v>57.803224089360484</v>
      </c>
      <c r="I2" s="66">
        <f t="shared" si="0"/>
        <v>72.254030111700615</v>
      </c>
      <c r="J2" s="66">
        <f t="shared" si="0"/>
        <v>96.338706815600816</v>
      </c>
      <c r="K2" s="66">
        <f t="shared" si="0"/>
        <v>144.50806022340123</v>
      </c>
    </row>
    <row r="3" spans="1:22" ht="60" customHeight="1" x14ac:dyDescent="0.25">
      <c r="A3" s="572" t="s">
        <v>46</v>
      </c>
      <c r="B3" s="572" t="s">
        <v>96</v>
      </c>
      <c r="C3" s="579" t="s">
        <v>304</v>
      </c>
      <c r="D3" s="580"/>
      <c r="E3" s="581"/>
      <c r="F3" s="578" t="s">
        <v>290</v>
      </c>
      <c r="G3" s="63">
        <f>Paramètres!B16</f>
        <v>0.2</v>
      </c>
      <c r="H3" s="63">
        <f>Paramètres!C16</f>
        <v>0.3</v>
      </c>
      <c r="I3" s="63">
        <f>Paramètres!D16</f>
        <v>0.4</v>
      </c>
      <c r="J3" s="63">
        <f>Paramètres!E16</f>
        <v>0.5</v>
      </c>
      <c r="K3" s="63">
        <f>Paramètres!F16</f>
        <v>0.6</v>
      </c>
      <c r="L3" s="578" t="s">
        <v>293</v>
      </c>
      <c r="M3" s="578" t="s">
        <v>305</v>
      </c>
    </row>
    <row r="4" spans="1:22" ht="45" x14ac:dyDescent="0.25">
      <c r="A4" s="573"/>
      <c r="B4" s="573"/>
      <c r="C4" s="64" t="s">
        <v>369</v>
      </c>
      <c r="D4" s="64" t="s">
        <v>67</v>
      </c>
      <c r="E4" s="64" t="s">
        <v>68</v>
      </c>
      <c r="F4" s="578"/>
      <c r="G4" s="65">
        <f>Paramètres!B17</f>
        <v>1</v>
      </c>
      <c r="H4" s="65">
        <f>Paramètres!C17</f>
        <v>1.2</v>
      </c>
      <c r="I4" s="65">
        <f>Paramètres!D17</f>
        <v>1.5</v>
      </c>
      <c r="J4" s="65">
        <f>Paramètres!E17</f>
        <v>2</v>
      </c>
      <c r="K4" s="65">
        <f>Paramètres!F17</f>
        <v>3</v>
      </c>
      <c r="L4" s="582"/>
      <c r="M4" s="578"/>
    </row>
    <row r="5" spans="1:22" x14ac:dyDescent="0.25">
      <c r="A5" s="104">
        <f>'A) Base RI'!A7</f>
        <v>5401</v>
      </c>
      <c r="B5" s="297" t="str">
        <f>'A) Base RI'!B7</f>
        <v>Aigle</v>
      </c>
      <c r="C5" s="294">
        <f>'B) D RI'!U7</f>
        <v>284723.80196969694</v>
      </c>
      <c r="D5" s="32">
        <f>'B) D RI'!AA7</f>
        <v>10518</v>
      </c>
      <c r="E5" s="200">
        <f>C5/D5</f>
        <v>27.07014660293753</v>
      </c>
      <c r="F5" s="365">
        <f t="shared" ref="F5" si="1">E5/$E$314</f>
        <v>0.56197861685546036</v>
      </c>
      <c r="G5" s="375">
        <f>IF(E5-$G$2&lt;0,0,E5-$G$2)</f>
        <v>0</v>
      </c>
      <c r="H5" s="367">
        <f>IF(E5-$H$2&lt;0,0,E5-$H$2)</f>
        <v>0</v>
      </c>
      <c r="I5" s="375">
        <f>IF(E5-$I$2&lt;0,0,E5-$I$2)</f>
        <v>0</v>
      </c>
      <c r="J5" s="367">
        <f>IF(E5-$J$2&lt;0,0,E5-$J$2)</f>
        <v>0</v>
      </c>
      <c r="K5" s="366">
        <f>IF(E5-$K$2&lt;0,0,E5-$K$2)</f>
        <v>0</v>
      </c>
      <c r="L5" s="374">
        <f>(G5-H5)*$G$3+(H5-I5)*$H$3+(I5-J5)*$I$3+(J5-K5)*$J$3+(K5*$K$3)</f>
        <v>0</v>
      </c>
      <c r="M5" s="113">
        <f>L5*D5*'B) D RI'!S7</f>
        <v>0</v>
      </c>
    </row>
    <row r="6" spans="1:22" x14ac:dyDescent="0.25">
      <c r="A6" s="296">
        <f>'A) Base RI'!A8</f>
        <v>5402</v>
      </c>
      <c r="B6" s="32" t="str">
        <f>'A) Base RI'!B8</f>
        <v>Bex</v>
      </c>
      <c r="C6" s="294">
        <f>'B) D RI'!U8</f>
        <v>179259.20338028169</v>
      </c>
      <c r="D6" s="32">
        <f>'B) D RI'!AA8</f>
        <v>7828</v>
      </c>
      <c r="E6" s="200">
        <f t="shared" ref="E6:E69" si="2">C6/D6</f>
        <v>22.899744938717639</v>
      </c>
      <c r="F6" s="365">
        <f t="shared" ref="F6:F69" si="3">E6/$E$314</f>
        <v>0.47540071266576978</v>
      </c>
      <c r="G6" s="376">
        <f t="shared" ref="G6:G69" si="4">IF(E6-$G$2&lt;0,0,E6-$G$2)</f>
        <v>0</v>
      </c>
      <c r="H6" s="373">
        <f t="shared" ref="H6:H69" si="5">IF(E6-$H$2&lt;0,0,E6-$H$2)</f>
        <v>0</v>
      </c>
      <c r="I6" s="376">
        <f t="shared" ref="I6:I69" si="6">IF(E6-$I$2&lt;0,0,E6-$I$2)</f>
        <v>0</v>
      </c>
      <c r="J6" s="373">
        <f t="shared" ref="J6:J69" si="7">IF(E6-$J$2&lt;0,0,E6-$J$2)</f>
        <v>0</v>
      </c>
      <c r="K6" s="368">
        <f t="shared" ref="K6:K69" si="8">IF(E6-$K$2&lt;0,0,E6-$K$2)</f>
        <v>0</v>
      </c>
      <c r="L6" s="372">
        <f t="shared" ref="L6:L69" si="9">(G6-H6)*$G$3+(H6-I6)*$H$3+(I6-J6)*$I$3+(J6-K6)*$J$3+(K6*$K$3)</f>
        <v>0</v>
      </c>
      <c r="M6" s="113">
        <f>L6*D6*'B) D RI'!S8</f>
        <v>0</v>
      </c>
    </row>
    <row r="7" spans="1:22" x14ac:dyDescent="0.25">
      <c r="A7" s="296">
        <f>'A) Base RI'!A9</f>
        <v>5403</v>
      </c>
      <c r="B7" s="32" t="str">
        <f>'A) Base RI'!B9</f>
        <v>Chessel</v>
      </c>
      <c r="C7" s="294">
        <f>'B) D RI'!U9</f>
        <v>10797.740270270273</v>
      </c>
      <c r="D7" s="32">
        <f>'B) D RI'!AA9</f>
        <v>444</v>
      </c>
      <c r="E7" s="200">
        <f t="shared" si="2"/>
        <v>24.319234842951065</v>
      </c>
      <c r="F7" s="365">
        <f t="shared" si="3"/>
        <v>0.50486944753161</v>
      </c>
      <c r="G7" s="376">
        <f t="shared" si="4"/>
        <v>0</v>
      </c>
      <c r="H7" s="373">
        <f t="shared" si="5"/>
        <v>0</v>
      </c>
      <c r="I7" s="376">
        <f t="shared" si="6"/>
        <v>0</v>
      </c>
      <c r="J7" s="373">
        <f t="shared" si="7"/>
        <v>0</v>
      </c>
      <c r="K7" s="368">
        <f t="shared" si="8"/>
        <v>0</v>
      </c>
      <c r="L7" s="372">
        <f t="shared" si="9"/>
        <v>0</v>
      </c>
      <c r="M7" s="113">
        <f>L7*D7*'B) D RI'!S9</f>
        <v>0</v>
      </c>
    </row>
    <row r="8" spans="1:22" x14ac:dyDescent="0.25">
      <c r="A8" s="296">
        <f>'A) Base RI'!A10</f>
        <v>5404</v>
      </c>
      <c r="B8" s="32" t="str">
        <f>'A) Base RI'!B10</f>
        <v>Corbeyrier</v>
      </c>
      <c r="C8" s="294">
        <f>'B) D RI'!U10</f>
        <v>11267.87027027027</v>
      </c>
      <c r="D8" s="32">
        <f>'B) D RI'!AA10</f>
        <v>445</v>
      </c>
      <c r="E8" s="200">
        <f t="shared" si="2"/>
        <v>25.321056787124203</v>
      </c>
      <c r="F8" s="365">
        <f t="shared" si="3"/>
        <v>0.52566735892750815</v>
      </c>
      <c r="G8" s="376">
        <f t="shared" si="4"/>
        <v>0</v>
      </c>
      <c r="H8" s="373">
        <f t="shared" si="5"/>
        <v>0</v>
      </c>
      <c r="I8" s="376">
        <f t="shared" si="6"/>
        <v>0</v>
      </c>
      <c r="J8" s="373">
        <f t="shared" si="7"/>
        <v>0</v>
      </c>
      <c r="K8" s="368">
        <f t="shared" si="8"/>
        <v>0</v>
      </c>
      <c r="L8" s="372">
        <f t="shared" si="9"/>
        <v>0</v>
      </c>
      <c r="M8" s="113">
        <f>L8*D8*'B) D RI'!S10</f>
        <v>0</v>
      </c>
    </row>
    <row r="9" spans="1:22" x14ac:dyDescent="0.25">
      <c r="A9" s="296">
        <f>'A) Base RI'!A11</f>
        <v>5405</v>
      </c>
      <c r="B9" s="32" t="str">
        <f>'A) Base RI'!B11</f>
        <v>Gryon</v>
      </c>
      <c r="C9" s="294">
        <f>'B) D RI'!U11</f>
        <v>68185.794013605453</v>
      </c>
      <c r="D9" s="32">
        <f>'B) D RI'!AA11</f>
        <v>1378</v>
      </c>
      <c r="E9" s="200">
        <f t="shared" si="2"/>
        <v>49.481708282732548</v>
      </c>
      <c r="F9" s="365">
        <f t="shared" si="3"/>
        <v>1.0272446022644683</v>
      </c>
      <c r="G9" s="376">
        <f t="shared" si="4"/>
        <v>1.3123548749321401</v>
      </c>
      <c r="H9" s="373">
        <f t="shared" si="5"/>
        <v>0</v>
      </c>
      <c r="I9" s="376">
        <f t="shared" si="6"/>
        <v>0</v>
      </c>
      <c r="J9" s="373">
        <f t="shared" si="7"/>
        <v>0</v>
      </c>
      <c r="K9" s="368">
        <f t="shared" si="8"/>
        <v>0</v>
      </c>
      <c r="L9" s="372">
        <f t="shared" si="9"/>
        <v>0.26247097498642802</v>
      </c>
      <c r="M9" s="113">
        <f>L9*D9*'B) D RI'!S11</f>
        <v>26583.84775955039</v>
      </c>
    </row>
    <row r="10" spans="1:22" x14ac:dyDescent="0.25">
      <c r="A10" s="296">
        <f>'A) Base RI'!A12</f>
        <v>5406</v>
      </c>
      <c r="B10" s="32" t="str">
        <f>'A) Base RI'!B12</f>
        <v>Lavey-Morcles</v>
      </c>
      <c r="C10" s="294">
        <f>'B) D RI'!U12</f>
        <v>21842.545067240455</v>
      </c>
      <c r="D10" s="32">
        <f>'B) D RI'!AA12</f>
        <v>944</v>
      </c>
      <c r="E10" s="200">
        <f t="shared" si="2"/>
        <v>23.13828926614455</v>
      </c>
      <c r="F10" s="365">
        <f t="shared" si="3"/>
        <v>0.48035291381755607</v>
      </c>
      <c r="G10" s="376">
        <f t="shared" si="4"/>
        <v>0</v>
      </c>
      <c r="H10" s="373">
        <f t="shared" si="5"/>
        <v>0</v>
      </c>
      <c r="I10" s="376">
        <f t="shared" si="6"/>
        <v>0</v>
      </c>
      <c r="J10" s="373">
        <f t="shared" si="7"/>
        <v>0</v>
      </c>
      <c r="K10" s="368">
        <f t="shared" si="8"/>
        <v>0</v>
      </c>
      <c r="L10" s="372">
        <f t="shared" si="9"/>
        <v>0</v>
      </c>
      <c r="M10" s="113">
        <f>L10*D10*'B) D RI'!S12</f>
        <v>0</v>
      </c>
    </row>
    <row r="11" spans="1:22" x14ac:dyDescent="0.25">
      <c r="A11" s="296">
        <f>'A) Base RI'!A13</f>
        <v>5407</v>
      </c>
      <c r="B11" s="32" t="str">
        <f>'A) Base RI'!B13</f>
        <v>Leysin</v>
      </c>
      <c r="C11" s="294">
        <f>'B) D RI'!U13</f>
        <v>90822.200982905983</v>
      </c>
      <c r="D11" s="32">
        <f>'B) D RI'!AA13</f>
        <v>3645</v>
      </c>
      <c r="E11" s="200">
        <f t="shared" si="2"/>
        <v>24.916927567326745</v>
      </c>
      <c r="F11" s="365">
        <f t="shared" si="3"/>
        <v>0.51727760089243313</v>
      </c>
      <c r="G11" s="376">
        <f t="shared" si="4"/>
        <v>0</v>
      </c>
      <c r="H11" s="373">
        <f t="shared" si="5"/>
        <v>0</v>
      </c>
      <c r="I11" s="376">
        <f t="shared" si="6"/>
        <v>0</v>
      </c>
      <c r="J11" s="373">
        <f t="shared" si="7"/>
        <v>0</v>
      </c>
      <c r="K11" s="368">
        <f t="shared" si="8"/>
        <v>0</v>
      </c>
      <c r="L11" s="372">
        <f t="shared" si="9"/>
        <v>0</v>
      </c>
      <c r="M11" s="113">
        <f>L11*D11*'B) D RI'!S13</f>
        <v>0</v>
      </c>
    </row>
    <row r="12" spans="1:22" x14ac:dyDescent="0.25">
      <c r="A12" s="296">
        <f>'A) Base RI'!A14</f>
        <v>5408</v>
      </c>
      <c r="B12" s="32" t="str">
        <f>'A) Base RI'!B14</f>
        <v>Noville</v>
      </c>
      <c r="C12" s="294">
        <f>'B) D RI'!U14</f>
        <v>43840.045520169842</v>
      </c>
      <c r="D12" s="32">
        <f>'B) D RI'!AA14</f>
        <v>1170</v>
      </c>
      <c r="E12" s="200">
        <f t="shared" si="2"/>
        <v>37.470124376213541</v>
      </c>
      <c r="F12" s="365">
        <f t="shared" si="3"/>
        <v>0.77788306724801781</v>
      </c>
      <c r="G12" s="376">
        <f t="shared" si="4"/>
        <v>0</v>
      </c>
      <c r="H12" s="373">
        <f t="shared" si="5"/>
        <v>0</v>
      </c>
      <c r="I12" s="376">
        <f t="shared" si="6"/>
        <v>0</v>
      </c>
      <c r="J12" s="373">
        <f t="shared" si="7"/>
        <v>0</v>
      </c>
      <c r="K12" s="368">
        <f t="shared" si="8"/>
        <v>0</v>
      </c>
      <c r="L12" s="372">
        <f t="shared" si="9"/>
        <v>0</v>
      </c>
      <c r="M12" s="113">
        <f>L12*D12*'B) D RI'!S14</f>
        <v>0</v>
      </c>
    </row>
    <row r="13" spans="1:22" x14ac:dyDescent="0.25">
      <c r="A13" s="296">
        <f>'A) Base RI'!A15</f>
        <v>5409</v>
      </c>
      <c r="B13" s="32" t="str">
        <f>'A) Base RI'!B15</f>
        <v>Ollon</v>
      </c>
      <c r="C13" s="294">
        <f>'B) D RI'!U15</f>
        <v>389186.78990950214</v>
      </c>
      <c r="D13" s="32">
        <f>'B) D RI'!AA15</f>
        <v>7634</v>
      </c>
      <c r="E13" s="200">
        <f t="shared" si="2"/>
        <v>50.980716519452727</v>
      </c>
      <c r="F13" s="365">
        <f t="shared" si="3"/>
        <v>1.0583641446845133</v>
      </c>
      <c r="G13" s="376">
        <f t="shared" si="4"/>
        <v>2.8113631116523194</v>
      </c>
      <c r="H13" s="373">
        <f t="shared" si="5"/>
        <v>0</v>
      </c>
      <c r="I13" s="376">
        <f t="shared" si="6"/>
        <v>0</v>
      </c>
      <c r="J13" s="373">
        <f t="shared" si="7"/>
        <v>0</v>
      </c>
      <c r="K13" s="368">
        <f t="shared" si="8"/>
        <v>0</v>
      </c>
      <c r="L13" s="372">
        <f t="shared" si="9"/>
        <v>0.56227262233046393</v>
      </c>
      <c r="M13" s="113">
        <f>L13*D13*'B) D RI'!S15</f>
        <v>291882.46552321181</v>
      </c>
    </row>
    <row r="14" spans="1:22" x14ac:dyDescent="0.25">
      <c r="A14" s="296">
        <f>'A) Base RI'!A16</f>
        <v>5410</v>
      </c>
      <c r="B14" s="32" t="str">
        <f>'A) Base RI'!B16</f>
        <v>Ormont-Dessous</v>
      </c>
      <c r="C14" s="294">
        <f>'B) D RI'!U16</f>
        <v>39522.545108225109</v>
      </c>
      <c r="D14" s="32">
        <f>'B) D RI'!AA16</f>
        <v>1180</v>
      </c>
      <c r="E14" s="200">
        <f t="shared" si="2"/>
        <v>33.493682295106026</v>
      </c>
      <c r="F14" s="365">
        <f t="shared" si="3"/>
        <v>0.69533178100917081</v>
      </c>
      <c r="G14" s="376">
        <f t="shared" si="4"/>
        <v>0</v>
      </c>
      <c r="H14" s="373">
        <f t="shared" si="5"/>
        <v>0</v>
      </c>
      <c r="I14" s="376">
        <f t="shared" si="6"/>
        <v>0</v>
      </c>
      <c r="J14" s="373">
        <f t="shared" si="7"/>
        <v>0</v>
      </c>
      <c r="K14" s="368">
        <f t="shared" si="8"/>
        <v>0</v>
      </c>
      <c r="L14" s="372">
        <f t="shared" si="9"/>
        <v>0</v>
      </c>
      <c r="M14" s="113">
        <f>L14*D14*'B) D RI'!S16</f>
        <v>0</v>
      </c>
      <c r="V14" s="15"/>
    </row>
    <row r="15" spans="1:22" x14ac:dyDescent="0.25">
      <c r="A15" s="296">
        <f>'A) Base RI'!A17</f>
        <v>5411</v>
      </c>
      <c r="B15" s="32" t="str">
        <f>'A) Base RI'!B17</f>
        <v>Ormont-Dessus</v>
      </c>
      <c r="C15" s="294">
        <f>'B) D RI'!U17</f>
        <v>68049.385526315804</v>
      </c>
      <c r="D15" s="32">
        <f>'B) D RI'!AA17</f>
        <v>1466</v>
      </c>
      <c r="E15" s="200">
        <f t="shared" si="2"/>
        <v>46.418407589574215</v>
      </c>
      <c r="F15" s="365">
        <f t="shared" si="3"/>
        <v>0.96365021129923145</v>
      </c>
      <c r="G15" s="376">
        <f t="shared" si="4"/>
        <v>0</v>
      </c>
      <c r="H15" s="373">
        <f t="shared" si="5"/>
        <v>0</v>
      </c>
      <c r="I15" s="376">
        <f t="shared" si="6"/>
        <v>0</v>
      </c>
      <c r="J15" s="373">
        <f t="shared" si="7"/>
        <v>0</v>
      </c>
      <c r="K15" s="368">
        <f t="shared" si="8"/>
        <v>0</v>
      </c>
      <c r="L15" s="372">
        <f t="shared" si="9"/>
        <v>0</v>
      </c>
      <c r="M15" s="113">
        <f>L15*D15*'B) D RI'!S17</f>
        <v>0</v>
      </c>
      <c r="V15" s="15"/>
    </row>
    <row r="16" spans="1:22" x14ac:dyDescent="0.25">
      <c r="A16" s="296">
        <f>'A) Base RI'!A18</f>
        <v>5412</v>
      </c>
      <c r="B16" s="32" t="str">
        <f>'A) Base RI'!B18</f>
        <v>Rennaz</v>
      </c>
      <c r="C16" s="294">
        <f>'B) D RI'!U18</f>
        <v>24274.281449275361</v>
      </c>
      <c r="D16" s="32">
        <f>'B) D RI'!AA18</f>
        <v>889</v>
      </c>
      <c r="E16" s="200">
        <f t="shared" si="2"/>
        <v>27.305153486249001</v>
      </c>
      <c r="F16" s="365">
        <f t="shared" si="3"/>
        <v>0.5668573803572643</v>
      </c>
      <c r="G16" s="376">
        <f t="shared" si="4"/>
        <v>0</v>
      </c>
      <c r="H16" s="373">
        <f t="shared" si="5"/>
        <v>0</v>
      </c>
      <c r="I16" s="376">
        <f t="shared" si="6"/>
        <v>0</v>
      </c>
      <c r="J16" s="373">
        <f t="shared" si="7"/>
        <v>0</v>
      </c>
      <c r="K16" s="368">
        <f t="shared" si="8"/>
        <v>0</v>
      </c>
      <c r="L16" s="372">
        <f t="shared" si="9"/>
        <v>0</v>
      </c>
      <c r="M16" s="113">
        <f>L16*D16*'B) D RI'!S18</f>
        <v>0</v>
      </c>
      <c r="V16" s="15"/>
    </row>
    <row r="17" spans="1:22" x14ac:dyDescent="0.25">
      <c r="A17" s="296">
        <f>'A) Base RI'!A19</f>
        <v>5413</v>
      </c>
      <c r="B17" s="32" t="str">
        <f>'A) Base RI'!B19</f>
        <v>Roche</v>
      </c>
      <c r="C17" s="294">
        <f>'B) D RI'!U19</f>
        <v>48007.468357843129</v>
      </c>
      <c r="D17" s="32">
        <f>'B) D RI'!AA19</f>
        <v>1868</v>
      </c>
      <c r="E17" s="200">
        <f t="shared" si="2"/>
        <v>25.69992952775328</v>
      </c>
      <c r="F17" s="365">
        <f t="shared" si="3"/>
        <v>0.53353279024068256</v>
      </c>
      <c r="G17" s="376">
        <f t="shared" si="4"/>
        <v>0</v>
      </c>
      <c r="H17" s="373">
        <f t="shared" si="5"/>
        <v>0</v>
      </c>
      <c r="I17" s="376">
        <f t="shared" si="6"/>
        <v>0</v>
      </c>
      <c r="J17" s="373">
        <f t="shared" si="7"/>
        <v>0</v>
      </c>
      <c r="K17" s="368">
        <f t="shared" si="8"/>
        <v>0</v>
      </c>
      <c r="L17" s="372">
        <f t="shared" si="9"/>
        <v>0</v>
      </c>
      <c r="M17" s="113">
        <f>L17*D17*'B) D RI'!S19</f>
        <v>0</v>
      </c>
      <c r="V17" s="15"/>
    </row>
    <row r="18" spans="1:22" x14ac:dyDescent="0.25">
      <c r="A18" s="296">
        <f>'A) Base RI'!A20</f>
        <v>5414</v>
      </c>
      <c r="B18" s="32" t="str">
        <f>'A) Base RI'!B20</f>
        <v>Villeneuve</v>
      </c>
      <c r="C18" s="294">
        <f>'B) D RI'!U20</f>
        <v>159468.65911111108</v>
      </c>
      <c r="D18" s="32">
        <f>'B) D RI'!AA20</f>
        <v>5837</v>
      </c>
      <c r="E18" s="200">
        <f t="shared" si="2"/>
        <v>27.320311651723671</v>
      </c>
      <c r="F18" s="365">
        <f t="shared" si="3"/>
        <v>0.56717206520151253</v>
      </c>
      <c r="G18" s="376">
        <f t="shared" si="4"/>
        <v>0</v>
      </c>
      <c r="H18" s="373">
        <f t="shared" si="5"/>
        <v>0</v>
      </c>
      <c r="I18" s="376">
        <f t="shared" si="6"/>
        <v>0</v>
      </c>
      <c r="J18" s="373">
        <f t="shared" si="7"/>
        <v>0</v>
      </c>
      <c r="K18" s="368">
        <f t="shared" si="8"/>
        <v>0</v>
      </c>
      <c r="L18" s="372">
        <f t="shared" si="9"/>
        <v>0</v>
      </c>
      <c r="M18" s="113">
        <f>L18*D18*'B) D RI'!S20</f>
        <v>0</v>
      </c>
      <c r="V18" s="15"/>
    </row>
    <row r="19" spans="1:22" x14ac:dyDescent="0.25">
      <c r="A19" s="296">
        <f>'A) Base RI'!A21</f>
        <v>5415</v>
      </c>
      <c r="B19" s="32" t="str">
        <f>'A) Base RI'!B21</f>
        <v>Yvorne</v>
      </c>
      <c r="C19" s="294">
        <f>'B) D RI'!U21</f>
        <v>38155.020093240091</v>
      </c>
      <c r="D19" s="32">
        <f>'B) D RI'!AA21</f>
        <v>1070</v>
      </c>
      <c r="E19" s="200">
        <f t="shared" si="2"/>
        <v>35.658897283401956</v>
      </c>
      <c r="F19" s="365">
        <f t="shared" si="3"/>
        <v>0.74028183400168823</v>
      </c>
      <c r="G19" s="376">
        <f t="shared" si="4"/>
        <v>0</v>
      </c>
      <c r="H19" s="373">
        <f t="shared" si="5"/>
        <v>0</v>
      </c>
      <c r="I19" s="376">
        <f t="shared" si="6"/>
        <v>0</v>
      </c>
      <c r="J19" s="373">
        <f t="shared" si="7"/>
        <v>0</v>
      </c>
      <c r="K19" s="368">
        <f t="shared" si="8"/>
        <v>0</v>
      </c>
      <c r="L19" s="372">
        <f t="shared" si="9"/>
        <v>0</v>
      </c>
      <c r="M19" s="113">
        <f>L19*D19*'B) D RI'!S21</f>
        <v>0</v>
      </c>
      <c r="V19" s="15"/>
    </row>
    <row r="20" spans="1:22" x14ac:dyDescent="0.25">
      <c r="A20" s="296">
        <f>'A) Base RI'!A22</f>
        <v>5421</v>
      </c>
      <c r="B20" s="32" t="str">
        <f>'A) Base RI'!B22</f>
        <v>Apples</v>
      </c>
      <c r="C20" s="294">
        <f>'B) D RI'!U22</f>
        <v>66313.601621621623</v>
      </c>
      <c r="D20" s="32">
        <f>'B) D RI'!AA22</f>
        <v>1457</v>
      </c>
      <c r="E20" s="200">
        <f t="shared" si="2"/>
        <v>45.513796583130834</v>
      </c>
      <c r="F20" s="365">
        <f t="shared" si="3"/>
        <v>0.94487040749358409</v>
      </c>
      <c r="G20" s="376">
        <f t="shared" si="4"/>
        <v>0</v>
      </c>
      <c r="H20" s="373">
        <f t="shared" si="5"/>
        <v>0</v>
      </c>
      <c r="I20" s="376">
        <f t="shared" si="6"/>
        <v>0</v>
      </c>
      <c r="J20" s="373">
        <f t="shared" si="7"/>
        <v>0</v>
      </c>
      <c r="K20" s="368">
        <f t="shared" si="8"/>
        <v>0</v>
      </c>
      <c r="L20" s="372">
        <f t="shared" si="9"/>
        <v>0</v>
      </c>
      <c r="M20" s="113">
        <f>L20*D20*'B) D RI'!S22</f>
        <v>0</v>
      </c>
      <c r="V20" s="15"/>
    </row>
    <row r="21" spans="1:22" x14ac:dyDescent="0.25">
      <c r="A21" s="296">
        <f>'A) Base RI'!A23</f>
        <v>5422</v>
      </c>
      <c r="B21" s="32" t="str">
        <f>'A) Base RI'!B23</f>
        <v>Aubonne</v>
      </c>
      <c r="C21" s="294">
        <f>'B) D RI'!U23</f>
        <v>242388.1994160584</v>
      </c>
      <c r="D21" s="32">
        <f>'B) D RI'!AA23</f>
        <v>3241</v>
      </c>
      <c r="E21" s="200">
        <f t="shared" si="2"/>
        <v>74.788089915476206</v>
      </c>
      <c r="F21" s="365">
        <f t="shared" si="3"/>
        <v>1.5526073037003905</v>
      </c>
      <c r="G21" s="376">
        <f t="shared" si="4"/>
        <v>26.618736507675798</v>
      </c>
      <c r="H21" s="373">
        <f t="shared" si="5"/>
        <v>16.984865826115723</v>
      </c>
      <c r="I21" s="376">
        <f t="shared" si="6"/>
        <v>2.534059803775591</v>
      </c>
      <c r="J21" s="373">
        <f t="shared" si="7"/>
        <v>0</v>
      </c>
      <c r="K21" s="368">
        <f t="shared" si="8"/>
        <v>0</v>
      </c>
      <c r="L21" s="372">
        <f t="shared" si="9"/>
        <v>7.2756398645242903</v>
      </c>
      <c r="M21" s="113">
        <f>L21*D21*'B) D RI'!S23</f>
        <v>1615253.8928632408</v>
      </c>
      <c r="V21" s="15"/>
    </row>
    <row r="22" spans="1:22" x14ac:dyDescent="0.25">
      <c r="A22" s="296">
        <f>'A) Base RI'!A24</f>
        <v>5423</v>
      </c>
      <c r="B22" s="32" t="str">
        <f>'A) Base RI'!B24</f>
        <v>Ballens</v>
      </c>
      <c r="C22" s="294">
        <f>'B) D RI'!U24</f>
        <v>17114.745479452053</v>
      </c>
      <c r="D22" s="32">
        <f>'B) D RI'!AA24</f>
        <v>562</v>
      </c>
      <c r="E22" s="200">
        <f t="shared" si="2"/>
        <v>30.453283771266996</v>
      </c>
      <c r="F22" s="365">
        <f t="shared" si="3"/>
        <v>0.63221284108695297</v>
      </c>
      <c r="G22" s="376">
        <f t="shared" si="4"/>
        <v>0</v>
      </c>
      <c r="H22" s="373">
        <f t="shared" si="5"/>
        <v>0</v>
      </c>
      <c r="I22" s="376">
        <f t="shared" si="6"/>
        <v>0</v>
      </c>
      <c r="J22" s="373">
        <f t="shared" si="7"/>
        <v>0</v>
      </c>
      <c r="K22" s="368">
        <f t="shared" si="8"/>
        <v>0</v>
      </c>
      <c r="L22" s="372">
        <f t="shared" si="9"/>
        <v>0</v>
      </c>
      <c r="M22" s="113">
        <f>L22*D22*'B) D RI'!S24</f>
        <v>0</v>
      </c>
    </row>
    <row r="23" spans="1:22" x14ac:dyDescent="0.25">
      <c r="A23" s="296">
        <f>'A) Base RI'!A25</f>
        <v>5424</v>
      </c>
      <c r="B23" s="32" t="str">
        <f>'A) Base RI'!B25</f>
        <v>Berolle</v>
      </c>
      <c r="C23" s="294">
        <f>'B) D RI'!U25</f>
        <v>9114.9769536423846</v>
      </c>
      <c r="D23" s="32">
        <f>'B) D RI'!AA25</f>
        <v>313</v>
      </c>
      <c r="E23" s="200">
        <f t="shared" si="2"/>
        <v>29.121332120263208</v>
      </c>
      <c r="F23" s="365">
        <f t="shared" si="3"/>
        <v>0.60456140803308733</v>
      </c>
      <c r="G23" s="376">
        <f t="shared" si="4"/>
        <v>0</v>
      </c>
      <c r="H23" s="373">
        <f t="shared" si="5"/>
        <v>0</v>
      </c>
      <c r="I23" s="376">
        <f t="shared" si="6"/>
        <v>0</v>
      </c>
      <c r="J23" s="373">
        <f t="shared" si="7"/>
        <v>0</v>
      </c>
      <c r="K23" s="368">
        <f t="shared" si="8"/>
        <v>0</v>
      </c>
      <c r="L23" s="372">
        <f t="shared" si="9"/>
        <v>0</v>
      </c>
      <c r="M23" s="113">
        <f>L23*D23*'B) D RI'!S25</f>
        <v>0</v>
      </c>
    </row>
    <row r="24" spans="1:22" x14ac:dyDescent="0.25">
      <c r="A24" s="296">
        <f>'A) Base RI'!A26</f>
        <v>5425</v>
      </c>
      <c r="B24" s="32" t="str">
        <f>'A) Base RI'!B26</f>
        <v>Bière</v>
      </c>
      <c r="C24" s="294">
        <f>'B) D RI'!U26</f>
        <v>40211.969135432286</v>
      </c>
      <c r="D24" s="32">
        <f>'B) D RI'!AA26</f>
        <v>1627</v>
      </c>
      <c r="E24" s="200">
        <f t="shared" si="2"/>
        <v>24.715408196332074</v>
      </c>
      <c r="F24" s="365">
        <f t="shared" si="3"/>
        <v>0.5130940410823478</v>
      </c>
      <c r="G24" s="376">
        <f t="shared" si="4"/>
        <v>0</v>
      </c>
      <c r="H24" s="373">
        <f t="shared" si="5"/>
        <v>0</v>
      </c>
      <c r="I24" s="376">
        <f t="shared" si="6"/>
        <v>0</v>
      </c>
      <c r="J24" s="373">
        <f t="shared" si="7"/>
        <v>0</v>
      </c>
      <c r="K24" s="368">
        <f t="shared" si="8"/>
        <v>0</v>
      </c>
      <c r="L24" s="372">
        <f t="shared" si="9"/>
        <v>0</v>
      </c>
      <c r="M24" s="113">
        <f>L24*D24*'B) D RI'!S26</f>
        <v>0</v>
      </c>
    </row>
    <row r="25" spans="1:22" x14ac:dyDescent="0.25">
      <c r="A25" s="296">
        <f>'A) Base RI'!A27</f>
        <v>5426</v>
      </c>
      <c r="B25" s="32" t="str">
        <f>'A) Base RI'!B27</f>
        <v>Bougy-Villars</v>
      </c>
      <c r="C25" s="294">
        <f>'B) D RI'!U27</f>
        <v>55602.775012919898</v>
      </c>
      <c r="D25" s="32">
        <f>'B) D RI'!AA27</f>
        <v>477</v>
      </c>
      <c r="E25" s="200">
        <f t="shared" si="2"/>
        <v>116.56766250088029</v>
      </c>
      <c r="F25" s="365">
        <f t="shared" si="3"/>
        <v>2.419954893602613</v>
      </c>
      <c r="G25" s="376">
        <f t="shared" si="4"/>
        <v>68.398309093079888</v>
      </c>
      <c r="H25" s="373">
        <f t="shared" si="5"/>
        <v>58.764438411519805</v>
      </c>
      <c r="I25" s="376">
        <f t="shared" si="6"/>
        <v>44.313632389179674</v>
      </c>
      <c r="J25" s="373">
        <f t="shared" si="7"/>
        <v>20.228955685279473</v>
      </c>
      <c r="K25" s="368">
        <f t="shared" si="8"/>
        <v>0</v>
      </c>
      <c r="L25" s="372">
        <f t="shared" si="9"/>
        <v>26.010364467213876</v>
      </c>
      <c r="M25" s="113">
        <f>L25*D25*'B) D RI'!S27</f>
        <v>800247.87838053564</v>
      </c>
    </row>
    <row r="26" spans="1:22" x14ac:dyDescent="0.25">
      <c r="A26" s="296">
        <f>'A) Base RI'!A28</f>
        <v>5427</v>
      </c>
      <c r="B26" s="32" t="str">
        <f>'A) Base RI'!B28</f>
        <v>Féchy</v>
      </c>
      <c r="C26" s="294">
        <f>'B) D RI'!U28</f>
        <v>77020.028293269235</v>
      </c>
      <c r="D26" s="32">
        <f>'B) D RI'!AA28</f>
        <v>869</v>
      </c>
      <c r="E26" s="200">
        <f t="shared" si="2"/>
        <v>88.630642454855277</v>
      </c>
      <c r="F26" s="365">
        <f t="shared" si="3"/>
        <v>1.8399799080654191</v>
      </c>
      <c r="G26" s="376">
        <f t="shared" si="4"/>
        <v>40.461289047054869</v>
      </c>
      <c r="H26" s="373">
        <f t="shared" si="5"/>
        <v>30.827418365494793</v>
      </c>
      <c r="I26" s="376">
        <f t="shared" si="6"/>
        <v>16.376612343154662</v>
      </c>
      <c r="J26" s="373">
        <f t="shared" si="7"/>
        <v>0</v>
      </c>
      <c r="K26" s="368">
        <f t="shared" si="8"/>
        <v>0</v>
      </c>
      <c r="L26" s="372">
        <f t="shared" si="9"/>
        <v>12.812660880275919</v>
      </c>
      <c r="M26" s="113">
        <f>L26*D26*'B) D RI'!S28</f>
        <v>712588.94751742552</v>
      </c>
    </row>
    <row r="27" spans="1:22" x14ac:dyDescent="0.25">
      <c r="A27" s="296">
        <f>'A) Base RI'!A29</f>
        <v>5428</v>
      </c>
      <c r="B27" s="32" t="str">
        <f>'A) Base RI'!B29</f>
        <v>Gimel</v>
      </c>
      <c r="C27" s="294">
        <f>'B) D RI'!U29</f>
        <v>70193.222975391502</v>
      </c>
      <c r="D27" s="32">
        <f>'B) D RI'!AA29</f>
        <v>2307</v>
      </c>
      <c r="E27" s="200">
        <f t="shared" si="2"/>
        <v>30.426191146680321</v>
      </c>
      <c r="F27" s="365">
        <f t="shared" si="3"/>
        <v>0.63165039582518434</v>
      </c>
      <c r="G27" s="376">
        <f t="shared" si="4"/>
        <v>0</v>
      </c>
      <c r="H27" s="373">
        <f t="shared" si="5"/>
        <v>0</v>
      </c>
      <c r="I27" s="376">
        <f t="shared" si="6"/>
        <v>0</v>
      </c>
      <c r="J27" s="373">
        <f t="shared" si="7"/>
        <v>0</v>
      </c>
      <c r="K27" s="368">
        <f t="shared" si="8"/>
        <v>0</v>
      </c>
      <c r="L27" s="372">
        <f t="shared" si="9"/>
        <v>0</v>
      </c>
      <c r="M27" s="113">
        <f>L27*D27*'B) D RI'!S29</f>
        <v>0</v>
      </c>
    </row>
    <row r="28" spans="1:22" x14ac:dyDescent="0.25">
      <c r="A28" s="296">
        <f>'A) Base RI'!A30</f>
        <v>5429</v>
      </c>
      <c r="B28" s="32" t="str">
        <f>'A) Base RI'!B30</f>
        <v>Longirod</v>
      </c>
      <c r="C28" s="294">
        <f>'B) D RI'!U30</f>
        <v>16140.77393548387</v>
      </c>
      <c r="D28" s="32">
        <f>'B) D RI'!AA30</f>
        <v>494</v>
      </c>
      <c r="E28" s="200">
        <f t="shared" si="2"/>
        <v>32.673631448347919</v>
      </c>
      <c r="F28" s="365">
        <f t="shared" si="3"/>
        <v>0.67830745353241229</v>
      </c>
      <c r="G28" s="376">
        <f t="shared" si="4"/>
        <v>0</v>
      </c>
      <c r="H28" s="373">
        <f t="shared" si="5"/>
        <v>0</v>
      </c>
      <c r="I28" s="376">
        <f t="shared" si="6"/>
        <v>0</v>
      </c>
      <c r="J28" s="373">
        <f t="shared" si="7"/>
        <v>0</v>
      </c>
      <c r="K28" s="368">
        <f t="shared" si="8"/>
        <v>0</v>
      </c>
      <c r="L28" s="372">
        <f t="shared" si="9"/>
        <v>0</v>
      </c>
      <c r="M28" s="113">
        <f>L28*D28*'B) D RI'!S30</f>
        <v>0</v>
      </c>
    </row>
    <row r="29" spans="1:22" x14ac:dyDescent="0.25">
      <c r="A29" s="296">
        <f>'A) Base RI'!A31</f>
        <v>5430</v>
      </c>
      <c r="B29" s="32" t="str">
        <f>'A) Base RI'!B31</f>
        <v>Marchissy</v>
      </c>
      <c r="C29" s="294">
        <f>'B) D RI'!U31</f>
        <v>14848.450709677421</v>
      </c>
      <c r="D29" s="32">
        <f>'B) D RI'!AA31</f>
        <v>481</v>
      </c>
      <c r="E29" s="200">
        <f t="shared" si="2"/>
        <v>30.869959895379253</v>
      </c>
      <c r="F29" s="365">
        <f t="shared" si="3"/>
        <v>0.64086307395565456</v>
      </c>
      <c r="G29" s="376">
        <f t="shared" si="4"/>
        <v>0</v>
      </c>
      <c r="H29" s="373">
        <f t="shared" si="5"/>
        <v>0</v>
      </c>
      <c r="I29" s="376">
        <f t="shared" si="6"/>
        <v>0</v>
      </c>
      <c r="J29" s="373">
        <f t="shared" si="7"/>
        <v>0</v>
      </c>
      <c r="K29" s="368">
        <f t="shared" si="8"/>
        <v>0</v>
      </c>
      <c r="L29" s="372">
        <f t="shared" si="9"/>
        <v>0</v>
      </c>
      <c r="M29" s="113">
        <f>L29*D29*'B) D RI'!S31</f>
        <v>0</v>
      </c>
    </row>
    <row r="30" spans="1:22" x14ac:dyDescent="0.25">
      <c r="A30" s="296">
        <f>'A) Base RI'!A32</f>
        <v>5431</v>
      </c>
      <c r="B30" s="32" t="str">
        <f>'A) Base RI'!B32</f>
        <v>Mollens</v>
      </c>
      <c r="C30" s="294">
        <f>'B) D RI'!U32</f>
        <v>9333.4747297297308</v>
      </c>
      <c r="D30" s="32">
        <f>'B) D RI'!AA32</f>
        <v>330</v>
      </c>
      <c r="E30" s="200">
        <f t="shared" si="2"/>
        <v>28.28325675675676</v>
      </c>
      <c r="F30" s="365">
        <f t="shared" si="3"/>
        <v>0.58716289000833155</v>
      </c>
      <c r="G30" s="376">
        <f t="shared" si="4"/>
        <v>0</v>
      </c>
      <c r="H30" s="373">
        <f t="shared" si="5"/>
        <v>0</v>
      </c>
      <c r="I30" s="376">
        <f t="shared" si="6"/>
        <v>0</v>
      </c>
      <c r="J30" s="373">
        <f t="shared" si="7"/>
        <v>0</v>
      </c>
      <c r="K30" s="368">
        <f t="shared" si="8"/>
        <v>0</v>
      </c>
      <c r="L30" s="372">
        <f t="shared" si="9"/>
        <v>0</v>
      </c>
      <c r="M30" s="113">
        <f>L30*D30*'B) D RI'!S32</f>
        <v>0</v>
      </c>
    </row>
    <row r="31" spans="1:22" x14ac:dyDescent="0.25">
      <c r="A31" s="296">
        <f>'A) Base RI'!A33</f>
        <v>5432</v>
      </c>
      <c r="B31" s="32" t="str">
        <f>'A) Base RI'!B33</f>
        <v>Montherod</v>
      </c>
      <c r="C31" s="294">
        <f>'B) D RI'!U33</f>
        <v>16429.509999999998</v>
      </c>
      <c r="D31" s="32">
        <f>'B) D RI'!AA33</f>
        <v>523</v>
      </c>
      <c r="E31" s="200">
        <f t="shared" si="2"/>
        <v>31.413977055449326</v>
      </c>
      <c r="F31" s="365">
        <f t="shared" si="3"/>
        <v>0.65215691789548158</v>
      </c>
      <c r="G31" s="376">
        <f t="shared" si="4"/>
        <v>0</v>
      </c>
      <c r="H31" s="373">
        <f t="shared" si="5"/>
        <v>0</v>
      </c>
      <c r="I31" s="376">
        <f t="shared" si="6"/>
        <v>0</v>
      </c>
      <c r="J31" s="373">
        <f t="shared" si="7"/>
        <v>0</v>
      </c>
      <c r="K31" s="368">
        <f t="shared" si="8"/>
        <v>0</v>
      </c>
      <c r="L31" s="372">
        <f t="shared" si="9"/>
        <v>0</v>
      </c>
      <c r="M31" s="113">
        <f>L31*D31*'B) D RI'!S33</f>
        <v>0</v>
      </c>
    </row>
    <row r="32" spans="1:22" x14ac:dyDescent="0.25">
      <c r="A32" s="296">
        <f>'A) Base RI'!A34</f>
        <v>5434</v>
      </c>
      <c r="B32" s="32" t="str">
        <f>'A) Base RI'!B34</f>
        <v>Saint-George</v>
      </c>
      <c r="C32" s="294">
        <f>'B) D RI'!U34</f>
        <v>40796.774220623498</v>
      </c>
      <c r="D32" s="32">
        <f>'B) D RI'!AA34</f>
        <v>1074</v>
      </c>
      <c r="E32" s="200">
        <f t="shared" si="2"/>
        <v>37.985823296669921</v>
      </c>
      <c r="F32" s="365">
        <f t="shared" si="3"/>
        <v>0.78858902205065939</v>
      </c>
      <c r="G32" s="376">
        <f t="shared" si="4"/>
        <v>0</v>
      </c>
      <c r="H32" s="373">
        <f t="shared" si="5"/>
        <v>0</v>
      </c>
      <c r="I32" s="376">
        <f t="shared" si="6"/>
        <v>0</v>
      </c>
      <c r="J32" s="373">
        <f t="shared" si="7"/>
        <v>0</v>
      </c>
      <c r="K32" s="368">
        <f t="shared" si="8"/>
        <v>0</v>
      </c>
      <c r="L32" s="372">
        <f t="shared" si="9"/>
        <v>0</v>
      </c>
      <c r="M32" s="113">
        <f>L32*D32*'B) D RI'!S34</f>
        <v>0</v>
      </c>
    </row>
    <row r="33" spans="1:13" x14ac:dyDescent="0.25">
      <c r="A33" s="296">
        <f>'A) Base RI'!A35</f>
        <v>5435</v>
      </c>
      <c r="B33" s="32" t="str">
        <f>'A) Base RI'!B35</f>
        <v>Saint-Livres</v>
      </c>
      <c r="C33" s="294">
        <f>'B) D RI'!U35</f>
        <v>26346.510144927532</v>
      </c>
      <c r="D33" s="32">
        <f>'B) D RI'!AA35</f>
        <v>683</v>
      </c>
      <c r="E33" s="200">
        <f t="shared" si="2"/>
        <v>38.574685424491264</v>
      </c>
      <c r="F33" s="365">
        <f t="shared" si="3"/>
        <v>0.80081385145279094</v>
      </c>
      <c r="G33" s="376">
        <f t="shared" si="4"/>
        <v>0</v>
      </c>
      <c r="H33" s="373">
        <f t="shared" si="5"/>
        <v>0</v>
      </c>
      <c r="I33" s="376">
        <f t="shared" si="6"/>
        <v>0</v>
      </c>
      <c r="J33" s="373">
        <f t="shared" si="7"/>
        <v>0</v>
      </c>
      <c r="K33" s="368">
        <f t="shared" si="8"/>
        <v>0</v>
      </c>
      <c r="L33" s="372">
        <f t="shared" si="9"/>
        <v>0</v>
      </c>
      <c r="M33" s="113">
        <f>L33*D33*'B) D RI'!S35</f>
        <v>0</v>
      </c>
    </row>
    <row r="34" spans="1:13" x14ac:dyDescent="0.25">
      <c r="A34" s="296">
        <f>'A) Base RI'!A36</f>
        <v>5436</v>
      </c>
      <c r="B34" s="32" t="str">
        <f>'A) Base RI'!B36</f>
        <v>Saint-Oyens</v>
      </c>
      <c r="C34" s="294">
        <f>'B) D RI'!U36</f>
        <v>16755.63848765432</v>
      </c>
      <c r="D34" s="32">
        <f>'B) D RI'!AA36</f>
        <v>461</v>
      </c>
      <c r="E34" s="200">
        <f t="shared" si="2"/>
        <v>36.346287391874881</v>
      </c>
      <c r="F34" s="365">
        <f t="shared" si="3"/>
        <v>0.75455211292059954</v>
      </c>
      <c r="G34" s="376">
        <f t="shared" si="4"/>
        <v>0</v>
      </c>
      <c r="H34" s="373">
        <f t="shared" si="5"/>
        <v>0</v>
      </c>
      <c r="I34" s="376">
        <f t="shared" si="6"/>
        <v>0</v>
      </c>
      <c r="J34" s="373">
        <f t="shared" si="7"/>
        <v>0</v>
      </c>
      <c r="K34" s="368">
        <f t="shared" si="8"/>
        <v>0</v>
      </c>
      <c r="L34" s="372">
        <f t="shared" si="9"/>
        <v>0</v>
      </c>
      <c r="M34" s="113">
        <f>L34*D34*'B) D RI'!S36</f>
        <v>0</v>
      </c>
    </row>
    <row r="35" spans="1:13" x14ac:dyDescent="0.25">
      <c r="A35" s="296">
        <f>'A) Base RI'!A37</f>
        <v>5437</v>
      </c>
      <c r="B35" s="32" t="str">
        <f>'A) Base RI'!B37</f>
        <v>Saubraz</v>
      </c>
      <c r="C35" s="294">
        <f>'B) D RI'!U37</f>
        <v>13391.905875</v>
      </c>
      <c r="D35" s="32">
        <f>'B) D RI'!AA37</f>
        <v>423</v>
      </c>
      <c r="E35" s="200">
        <f t="shared" si="2"/>
        <v>31.659351950354612</v>
      </c>
      <c r="F35" s="365">
        <f t="shared" si="3"/>
        <v>0.65725092222698978</v>
      </c>
      <c r="G35" s="376">
        <f t="shared" si="4"/>
        <v>0</v>
      </c>
      <c r="H35" s="373">
        <f t="shared" si="5"/>
        <v>0</v>
      </c>
      <c r="I35" s="376">
        <f t="shared" si="6"/>
        <v>0</v>
      </c>
      <c r="J35" s="373">
        <f t="shared" si="7"/>
        <v>0</v>
      </c>
      <c r="K35" s="368">
        <f t="shared" si="8"/>
        <v>0</v>
      </c>
      <c r="L35" s="372">
        <f t="shared" si="9"/>
        <v>0</v>
      </c>
      <c r="M35" s="113">
        <f>L35*D35*'B) D RI'!S37</f>
        <v>0</v>
      </c>
    </row>
    <row r="36" spans="1:13" x14ac:dyDescent="0.25">
      <c r="A36" s="296">
        <f>'A) Base RI'!A38</f>
        <v>5451</v>
      </c>
      <c r="B36" s="32" t="str">
        <f>'A) Base RI'!B38</f>
        <v>Avenches</v>
      </c>
      <c r="C36" s="294">
        <f>'B) D RI'!U38</f>
        <v>129500.81187969925</v>
      </c>
      <c r="D36" s="32">
        <f>'B) D RI'!AA38</f>
        <v>4482</v>
      </c>
      <c r="E36" s="200">
        <f t="shared" si="2"/>
        <v>28.893532324787873</v>
      </c>
      <c r="F36" s="365">
        <f t="shared" si="3"/>
        <v>0.59983226430664394</v>
      </c>
      <c r="G36" s="376">
        <f t="shared" si="4"/>
        <v>0</v>
      </c>
      <c r="H36" s="373">
        <f t="shared" si="5"/>
        <v>0</v>
      </c>
      <c r="I36" s="376">
        <f t="shared" si="6"/>
        <v>0</v>
      </c>
      <c r="J36" s="373">
        <f t="shared" si="7"/>
        <v>0</v>
      </c>
      <c r="K36" s="368">
        <f t="shared" si="8"/>
        <v>0</v>
      </c>
      <c r="L36" s="372">
        <f t="shared" si="9"/>
        <v>0</v>
      </c>
      <c r="M36" s="113">
        <f>L36*D36*'B) D RI'!S38</f>
        <v>0</v>
      </c>
    </row>
    <row r="37" spans="1:13" x14ac:dyDescent="0.25">
      <c r="A37" s="296">
        <f>'A) Base RI'!A39</f>
        <v>5456</v>
      </c>
      <c r="B37" s="32" t="str">
        <f>'A) Base RI'!B39</f>
        <v>Cudrefin</v>
      </c>
      <c r="C37" s="294">
        <f>'B) D RI'!U39</f>
        <v>64226.933276836171</v>
      </c>
      <c r="D37" s="32">
        <f>'B) D RI'!AA39</f>
        <v>1780</v>
      </c>
      <c r="E37" s="200">
        <f t="shared" si="2"/>
        <v>36.082546784739421</v>
      </c>
      <c r="F37" s="365">
        <f t="shared" si="3"/>
        <v>0.74907683479297682</v>
      </c>
      <c r="G37" s="376">
        <f t="shared" si="4"/>
        <v>0</v>
      </c>
      <c r="H37" s="373">
        <f t="shared" si="5"/>
        <v>0</v>
      </c>
      <c r="I37" s="376">
        <f t="shared" si="6"/>
        <v>0</v>
      </c>
      <c r="J37" s="373">
        <f t="shared" si="7"/>
        <v>0</v>
      </c>
      <c r="K37" s="368">
        <f t="shared" si="8"/>
        <v>0</v>
      </c>
      <c r="L37" s="372">
        <f t="shared" si="9"/>
        <v>0</v>
      </c>
      <c r="M37" s="113">
        <f>L37*D37*'B) D RI'!S39</f>
        <v>0</v>
      </c>
    </row>
    <row r="38" spans="1:13" x14ac:dyDescent="0.25">
      <c r="A38" s="296">
        <f>'A) Base RI'!A40</f>
        <v>5458</v>
      </c>
      <c r="B38" s="32" t="str">
        <f>'A) Base RI'!B40</f>
        <v>Faoug</v>
      </c>
      <c r="C38" s="294">
        <f>'B) D RI'!U40</f>
        <v>32198.404090909091</v>
      </c>
      <c r="D38" s="32">
        <f>'B) D RI'!AA40</f>
        <v>881</v>
      </c>
      <c r="E38" s="200">
        <f t="shared" si="2"/>
        <v>36.547564234857084</v>
      </c>
      <c r="F38" s="365">
        <f t="shared" si="3"/>
        <v>0.75873063782788241</v>
      </c>
      <c r="G38" s="376">
        <f t="shared" si="4"/>
        <v>0</v>
      </c>
      <c r="H38" s="373">
        <f t="shared" si="5"/>
        <v>0</v>
      </c>
      <c r="I38" s="376">
        <f t="shared" si="6"/>
        <v>0</v>
      </c>
      <c r="J38" s="373">
        <f t="shared" si="7"/>
        <v>0</v>
      </c>
      <c r="K38" s="368">
        <f t="shared" si="8"/>
        <v>0</v>
      </c>
      <c r="L38" s="372">
        <f t="shared" si="9"/>
        <v>0</v>
      </c>
      <c r="M38" s="113">
        <f>L38*D38*'B) D RI'!S40</f>
        <v>0</v>
      </c>
    </row>
    <row r="39" spans="1:13" x14ac:dyDescent="0.25">
      <c r="A39" s="296">
        <f>'A) Base RI'!A41</f>
        <v>5464</v>
      </c>
      <c r="B39" s="32" t="str">
        <f>'A) Base RI'!B41</f>
        <v>Vully-les-Lacs</v>
      </c>
      <c r="C39" s="294">
        <f>'B) D RI'!U41</f>
        <v>111597.31895522389</v>
      </c>
      <c r="D39" s="32">
        <f>'B) D RI'!AA41</f>
        <v>3360</v>
      </c>
      <c r="E39" s="200">
        <f t="shared" si="2"/>
        <v>33.213487784292823</v>
      </c>
      <c r="F39" s="365">
        <f t="shared" si="3"/>
        <v>0.68951491839860002</v>
      </c>
      <c r="G39" s="376">
        <f t="shared" si="4"/>
        <v>0</v>
      </c>
      <c r="H39" s="373">
        <f t="shared" si="5"/>
        <v>0</v>
      </c>
      <c r="I39" s="376">
        <f t="shared" si="6"/>
        <v>0</v>
      </c>
      <c r="J39" s="373">
        <f t="shared" si="7"/>
        <v>0</v>
      </c>
      <c r="K39" s="368">
        <f t="shared" si="8"/>
        <v>0</v>
      </c>
      <c r="L39" s="372">
        <f t="shared" si="9"/>
        <v>0</v>
      </c>
      <c r="M39" s="113">
        <f>L39*D39*'B) D RI'!S41</f>
        <v>0</v>
      </c>
    </row>
    <row r="40" spans="1:13" x14ac:dyDescent="0.25">
      <c r="A40" s="296">
        <f>'A) Base RI'!A42</f>
        <v>5471</v>
      </c>
      <c r="B40" s="32" t="str">
        <f>'A) Base RI'!B42</f>
        <v>Bettens</v>
      </c>
      <c r="C40" s="294">
        <f>'B) D RI'!U42</f>
        <v>20385.282730158731</v>
      </c>
      <c r="D40" s="32">
        <f>'B) D RI'!AA42</f>
        <v>636</v>
      </c>
      <c r="E40" s="200">
        <f t="shared" si="2"/>
        <v>32.052331336727562</v>
      </c>
      <c r="F40" s="365">
        <f t="shared" si="3"/>
        <v>0.66540920874260889</v>
      </c>
      <c r="G40" s="376">
        <f t="shared" si="4"/>
        <v>0</v>
      </c>
      <c r="H40" s="373">
        <f t="shared" si="5"/>
        <v>0</v>
      </c>
      <c r="I40" s="376">
        <f t="shared" si="6"/>
        <v>0</v>
      </c>
      <c r="J40" s="373">
        <f t="shared" si="7"/>
        <v>0</v>
      </c>
      <c r="K40" s="368">
        <f t="shared" si="8"/>
        <v>0</v>
      </c>
      <c r="L40" s="372">
        <f t="shared" si="9"/>
        <v>0</v>
      </c>
      <c r="M40" s="113">
        <f>L40*D40*'B) D RI'!S42</f>
        <v>0</v>
      </c>
    </row>
    <row r="41" spans="1:13" x14ac:dyDescent="0.25">
      <c r="A41" s="296">
        <f>'A) Base RI'!A43</f>
        <v>5472</v>
      </c>
      <c r="B41" s="32" t="str">
        <f>'A) Base RI'!B43</f>
        <v>Bournens</v>
      </c>
      <c r="C41" s="294">
        <f>'B) D RI'!U43</f>
        <v>20143.161388888886</v>
      </c>
      <c r="D41" s="32">
        <f>'B) D RI'!AA43</f>
        <v>490</v>
      </c>
      <c r="E41" s="200">
        <f t="shared" si="2"/>
        <v>41.108492630385484</v>
      </c>
      <c r="F41" s="365">
        <f t="shared" si="3"/>
        <v>0.8534159111990175</v>
      </c>
      <c r="G41" s="376">
        <f t="shared" si="4"/>
        <v>0</v>
      </c>
      <c r="H41" s="373">
        <f t="shared" si="5"/>
        <v>0</v>
      </c>
      <c r="I41" s="376">
        <f t="shared" si="6"/>
        <v>0</v>
      </c>
      <c r="J41" s="373">
        <f t="shared" si="7"/>
        <v>0</v>
      </c>
      <c r="K41" s="368">
        <f t="shared" si="8"/>
        <v>0</v>
      </c>
      <c r="L41" s="372">
        <f t="shared" si="9"/>
        <v>0</v>
      </c>
      <c r="M41" s="113">
        <f>L41*D41*'B) D RI'!S43</f>
        <v>0</v>
      </c>
    </row>
    <row r="42" spans="1:13" x14ac:dyDescent="0.25">
      <c r="A42" s="296">
        <f>'A) Base RI'!A44</f>
        <v>5473</v>
      </c>
      <c r="B42" s="32" t="str">
        <f>'A) Base RI'!B44</f>
        <v>Boussens</v>
      </c>
      <c r="C42" s="294">
        <f>'B) D RI'!U44</f>
        <v>37775.140592592586</v>
      </c>
      <c r="D42" s="32">
        <f>'B) D RI'!AA44</f>
        <v>999</v>
      </c>
      <c r="E42" s="200">
        <f t="shared" si="2"/>
        <v>37.812953546138722</v>
      </c>
      <c r="F42" s="365">
        <f t="shared" si="3"/>
        <v>0.78500023087325477</v>
      </c>
      <c r="G42" s="376">
        <f t="shared" si="4"/>
        <v>0</v>
      </c>
      <c r="H42" s="373">
        <f t="shared" si="5"/>
        <v>0</v>
      </c>
      <c r="I42" s="376">
        <f t="shared" si="6"/>
        <v>0</v>
      </c>
      <c r="J42" s="373">
        <f t="shared" si="7"/>
        <v>0</v>
      </c>
      <c r="K42" s="368">
        <f t="shared" si="8"/>
        <v>0</v>
      </c>
      <c r="L42" s="372">
        <f t="shared" si="9"/>
        <v>0</v>
      </c>
      <c r="M42" s="113">
        <f>L42*D42*'B) D RI'!S44</f>
        <v>0</v>
      </c>
    </row>
    <row r="43" spans="1:13" x14ac:dyDescent="0.25">
      <c r="A43" s="296">
        <f>'A) Base RI'!A45</f>
        <v>5474</v>
      </c>
      <c r="B43" s="32" t="str">
        <f>'A) Base RI'!B45</f>
        <v>La Chaux (Cossonay)</v>
      </c>
      <c r="C43" s="294">
        <f>'B) D RI'!U45</f>
        <v>13182.521580086577</v>
      </c>
      <c r="D43" s="32">
        <f>'B) D RI'!AA45</f>
        <v>391</v>
      </c>
      <c r="E43" s="200">
        <f t="shared" si="2"/>
        <v>33.714888951628076</v>
      </c>
      <c r="F43" s="365">
        <f t="shared" si="3"/>
        <v>0.69992405059288965</v>
      </c>
      <c r="G43" s="376">
        <f t="shared" si="4"/>
        <v>0</v>
      </c>
      <c r="H43" s="373">
        <f t="shared" si="5"/>
        <v>0</v>
      </c>
      <c r="I43" s="376">
        <f t="shared" si="6"/>
        <v>0</v>
      </c>
      <c r="J43" s="373">
        <f t="shared" si="7"/>
        <v>0</v>
      </c>
      <c r="K43" s="368">
        <f t="shared" si="8"/>
        <v>0</v>
      </c>
      <c r="L43" s="372">
        <f t="shared" si="9"/>
        <v>0</v>
      </c>
      <c r="M43" s="113">
        <f>L43*D43*'B) D RI'!S45</f>
        <v>0</v>
      </c>
    </row>
    <row r="44" spans="1:13" x14ac:dyDescent="0.25">
      <c r="A44" s="296">
        <f>'A) Base RI'!A46</f>
        <v>5475</v>
      </c>
      <c r="B44" s="32" t="str">
        <f>'A) Base RI'!B46</f>
        <v>Chavannes-le-Veyron</v>
      </c>
      <c r="C44" s="294">
        <f>'B) D RI'!U46</f>
        <v>3874.6645454545451</v>
      </c>
      <c r="D44" s="32">
        <f>'B) D RI'!AA46</f>
        <v>152</v>
      </c>
      <c r="E44" s="200">
        <f t="shared" si="2"/>
        <v>25.491214114832534</v>
      </c>
      <c r="F44" s="365">
        <f t="shared" si="3"/>
        <v>0.52919983996929798</v>
      </c>
      <c r="G44" s="376">
        <f t="shared" si="4"/>
        <v>0</v>
      </c>
      <c r="H44" s="373">
        <f t="shared" si="5"/>
        <v>0</v>
      </c>
      <c r="I44" s="376">
        <f t="shared" si="6"/>
        <v>0</v>
      </c>
      <c r="J44" s="373">
        <f t="shared" si="7"/>
        <v>0</v>
      </c>
      <c r="K44" s="368">
        <f t="shared" si="8"/>
        <v>0</v>
      </c>
      <c r="L44" s="372">
        <f t="shared" si="9"/>
        <v>0</v>
      </c>
      <c r="M44" s="113">
        <f>L44*D44*'B) D RI'!S46</f>
        <v>0</v>
      </c>
    </row>
    <row r="45" spans="1:13" x14ac:dyDescent="0.25">
      <c r="A45" s="296">
        <f>'A) Base RI'!A47</f>
        <v>5476</v>
      </c>
      <c r="B45" s="32" t="str">
        <f>'A) Base RI'!B47</f>
        <v>Chevilly</v>
      </c>
      <c r="C45" s="294">
        <f>'B) D RI'!U47</f>
        <v>11839.396756756756</v>
      </c>
      <c r="D45" s="32">
        <f>'B) D RI'!AA47</f>
        <v>317</v>
      </c>
      <c r="E45" s="200">
        <f t="shared" si="2"/>
        <v>37.348254753175887</v>
      </c>
      <c r="F45" s="365">
        <f t="shared" si="3"/>
        <v>0.7753530431888217</v>
      </c>
      <c r="G45" s="376">
        <f t="shared" si="4"/>
        <v>0</v>
      </c>
      <c r="H45" s="373">
        <f t="shared" si="5"/>
        <v>0</v>
      </c>
      <c r="I45" s="376">
        <f t="shared" si="6"/>
        <v>0</v>
      </c>
      <c r="J45" s="373">
        <f t="shared" si="7"/>
        <v>0</v>
      </c>
      <c r="K45" s="368">
        <f t="shared" si="8"/>
        <v>0</v>
      </c>
      <c r="L45" s="372">
        <f t="shared" si="9"/>
        <v>0</v>
      </c>
      <c r="M45" s="113">
        <f>L45*D45*'B) D RI'!S47</f>
        <v>0</v>
      </c>
    </row>
    <row r="46" spans="1:13" x14ac:dyDescent="0.25">
      <c r="A46" s="296">
        <f>'A) Base RI'!A48</f>
        <v>5477</v>
      </c>
      <c r="B46" s="32" t="str">
        <f>'A) Base RI'!B48</f>
        <v>Cossonay</v>
      </c>
      <c r="C46" s="294">
        <f>'B) D RI'!U48</f>
        <v>119154.03251798562</v>
      </c>
      <c r="D46" s="32">
        <f>'B) D RI'!AA48</f>
        <v>4222</v>
      </c>
      <c r="E46" s="200">
        <f t="shared" si="2"/>
        <v>28.22217728990659</v>
      </c>
      <c r="F46" s="365">
        <f t="shared" si="3"/>
        <v>0.58589487492137216</v>
      </c>
      <c r="G46" s="376">
        <f t="shared" si="4"/>
        <v>0</v>
      </c>
      <c r="H46" s="373">
        <f t="shared" si="5"/>
        <v>0</v>
      </c>
      <c r="I46" s="376">
        <f t="shared" si="6"/>
        <v>0</v>
      </c>
      <c r="J46" s="373">
        <f t="shared" si="7"/>
        <v>0</v>
      </c>
      <c r="K46" s="368">
        <f t="shared" si="8"/>
        <v>0</v>
      </c>
      <c r="L46" s="372">
        <f t="shared" si="9"/>
        <v>0</v>
      </c>
      <c r="M46" s="113">
        <f>L46*D46*'B) D RI'!S48</f>
        <v>0</v>
      </c>
    </row>
    <row r="47" spans="1:13" x14ac:dyDescent="0.25">
      <c r="A47" s="296">
        <f>'A) Base RI'!A49</f>
        <v>5478</v>
      </c>
      <c r="B47" s="32" t="str">
        <f>'A) Base RI'!B49</f>
        <v>Cottens</v>
      </c>
      <c r="C47" s="294">
        <f>'B) D RI'!U49</f>
        <v>16291.497837837833</v>
      </c>
      <c r="D47" s="32">
        <f>'B) D RI'!AA49</f>
        <v>491</v>
      </c>
      <c r="E47" s="200">
        <f t="shared" si="2"/>
        <v>33.180239995596402</v>
      </c>
      <c r="F47" s="365">
        <f t="shared" si="3"/>
        <v>0.68882469139025826</v>
      </c>
      <c r="G47" s="376">
        <f t="shared" si="4"/>
        <v>0</v>
      </c>
      <c r="H47" s="373">
        <f t="shared" si="5"/>
        <v>0</v>
      </c>
      <c r="I47" s="376">
        <f t="shared" si="6"/>
        <v>0</v>
      </c>
      <c r="J47" s="373">
        <f t="shared" si="7"/>
        <v>0</v>
      </c>
      <c r="K47" s="368">
        <f t="shared" si="8"/>
        <v>0</v>
      </c>
      <c r="L47" s="372">
        <f t="shared" si="9"/>
        <v>0</v>
      </c>
      <c r="M47" s="113">
        <f>L47*D47*'B) D RI'!S49</f>
        <v>0</v>
      </c>
    </row>
    <row r="48" spans="1:13" x14ac:dyDescent="0.25">
      <c r="A48" s="296">
        <f>'A) Base RI'!A50</f>
        <v>5479</v>
      </c>
      <c r="B48" s="32" t="str">
        <f>'A) Base RI'!B50</f>
        <v>Cuarnens</v>
      </c>
      <c r="C48" s="294">
        <f>'B) D RI'!U50</f>
        <v>18068.978311688308</v>
      </c>
      <c r="D48" s="32">
        <f>'B) D RI'!AA50</f>
        <v>527</v>
      </c>
      <c r="E48" s="200">
        <f t="shared" si="2"/>
        <v>34.286486359939865</v>
      </c>
      <c r="F48" s="365">
        <f t="shared" si="3"/>
        <v>0.71179046290431647</v>
      </c>
      <c r="G48" s="376">
        <f t="shared" si="4"/>
        <v>0</v>
      </c>
      <c r="H48" s="373">
        <f t="shared" si="5"/>
        <v>0</v>
      </c>
      <c r="I48" s="376">
        <f t="shared" si="6"/>
        <v>0</v>
      </c>
      <c r="J48" s="373">
        <f t="shared" si="7"/>
        <v>0</v>
      </c>
      <c r="K48" s="368">
        <f t="shared" si="8"/>
        <v>0</v>
      </c>
      <c r="L48" s="372">
        <f t="shared" si="9"/>
        <v>0</v>
      </c>
      <c r="M48" s="113">
        <f>L48*D48*'B) D RI'!S50</f>
        <v>0</v>
      </c>
    </row>
    <row r="49" spans="1:13" x14ac:dyDescent="0.25">
      <c r="A49" s="296">
        <f>'A) Base RI'!A51</f>
        <v>5480</v>
      </c>
      <c r="B49" s="32" t="str">
        <f>'A) Base RI'!B51</f>
        <v>Daillens</v>
      </c>
      <c r="C49" s="294">
        <f>'B) D RI'!U51</f>
        <v>40977.441060606063</v>
      </c>
      <c r="D49" s="32">
        <f>'B) D RI'!AA51</f>
        <v>1048</v>
      </c>
      <c r="E49" s="200">
        <f t="shared" si="2"/>
        <v>39.100611699051584</v>
      </c>
      <c r="F49" s="365">
        <f t="shared" si="3"/>
        <v>0.81173212702331488</v>
      </c>
      <c r="G49" s="376">
        <f t="shared" si="4"/>
        <v>0</v>
      </c>
      <c r="H49" s="373">
        <f t="shared" si="5"/>
        <v>0</v>
      </c>
      <c r="I49" s="376">
        <f t="shared" si="6"/>
        <v>0</v>
      </c>
      <c r="J49" s="373">
        <f t="shared" si="7"/>
        <v>0</v>
      </c>
      <c r="K49" s="368">
        <f t="shared" si="8"/>
        <v>0</v>
      </c>
      <c r="L49" s="372">
        <f t="shared" si="9"/>
        <v>0</v>
      </c>
      <c r="M49" s="113">
        <f>L49*D49*'B) D RI'!S51</f>
        <v>0</v>
      </c>
    </row>
    <row r="50" spans="1:13" x14ac:dyDescent="0.25">
      <c r="A50" s="296">
        <f>'A) Base RI'!A52</f>
        <v>5481</v>
      </c>
      <c r="B50" s="32" t="str">
        <f>'A) Base RI'!B52</f>
        <v>Dizy</v>
      </c>
      <c r="C50" s="294">
        <f>'B) D RI'!U52</f>
        <v>8124.1672000000008</v>
      </c>
      <c r="D50" s="32">
        <f>'B) D RI'!AA52</f>
        <v>224</v>
      </c>
      <c r="E50" s="200">
        <f t="shared" si="2"/>
        <v>36.268603571428578</v>
      </c>
      <c r="F50" s="365">
        <f t="shared" si="3"/>
        <v>0.75293938999719567</v>
      </c>
      <c r="G50" s="376">
        <f t="shared" si="4"/>
        <v>0</v>
      </c>
      <c r="H50" s="373">
        <f t="shared" si="5"/>
        <v>0</v>
      </c>
      <c r="I50" s="376">
        <f t="shared" si="6"/>
        <v>0</v>
      </c>
      <c r="J50" s="373">
        <f t="shared" si="7"/>
        <v>0</v>
      </c>
      <c r="K50" s="368">
        <f t="shared" si="8"/>
        <v>0</v>
      </c>
      <c r="L50" s="372">
        <f t="shared" si="9"/>
        <v>0</v>
      </c>
      <c r="M50" s="113">
        <f>L50*D50*'B) D RI'!S52</f>
        <v>0</v>
      </c>
    </row>
    <row r="51" spans="1:13" x14ac:dyDescent="0.25">
      <c r="A51" s="296">
        <f>'A) Base RI'!A53</f>
        <v>5482</v>
      </c>
      <c r="B51" s="32" t="str">
        <f>'A) Base RI'!B53</f>
        <v>Eclépens</v>
      </c>
      <c r="C51" s="294">
        <f>'B) D RI'!U53</f>
        <v>70911.930217391302</v>
      </c>
      <c r="D51" s="32">
        <f>'B) D RI'!AA53</f>
        <v>1220</v>
      </c>
      <c r="E51" s="200">
        <f t="shared" si="2"/>
        <v>58.124532965074835</v>
      </c>
      <c r="F51" s="365">
        <f t="shared" si="3"/>
        <v>1.2066704004306255</v>
      </c>
      <c r="G51" s="376">
        <f t="shared" si="4"/>
        <v>9.9551795572744268</v>
      </c>
      <c r="H51" s="373">
        <f t="shared" si="5"/>
        <v>0.32130887571435096</v>
      </c>
      <c r="I51" s="376">
        <f t="shared" si="6"/>
        <v>0</v>
      </c>
      <c r="J51" s="373">
        <f t="shared" si="7"/>
        <v>0</v>
      </c>
      <c r="K51" s="368">
        <f t="shared" si="8"/>
        <v>0</v>
      </c>
      <c r="L51" s="372">
        <f t="shared" si="9"/>
        <v>2.0231667990263205</v>
      </c>
      <c r="M51" s="113">
        <f>L51*D51*'B) D RI'!S53</f>
        <v>113540.1207613571</v>
      </c>
    </row>
    <row r="52" spans="1:13" x14ac:dyDescent="0.25">
      <c r="A52" s="296">
        <f>'A) Base RI'!A54</f>
        <v>5483</v>
      </c>
      <c r="B52" s="32" t="str">
        <f>'A) Base RI'!B54</f>
        <v>Ferreyres</v>
      </c>
      <c r="C52" s="294">
        <f>'B) D RI'!U54</f>
        <v>10820.315000000001</v>
      </c>
      <c r="D52" s="32">
        <f>'B) D RI'!AA54</f>
        <v>319</v>
      </c>
      <c r="E52" s="200">
        <f t="shared" si="2"/>
        <v>33.919482758620688</v>
      </c>
      <c r="F52" s="365">
        <f t="shared" si="3"/>
        <v>0.70417143596384391</v>
      </c>
      <c r="G52" s="376">
        <f t="shared" si="4"/>
        <v>0</v>
      </c>
      <c r="H52" s="373">
        <f t="shared" si="5"/>
        <v>0</v>
      </c>
      <c r="I52" s="376">
        <f t="shared" si="6"/>
        <v>0</v>
      </c>
      <c r="J52" s="373">
        <f t="shared" si="7"/>
        <v>0</v>
      </c>
      <c r="K52" s="368">
        <f t="shared" si="8"/>
        <v>0</v>
      </c>
      <c r="L52" s="372">
        <f t="shared" si="9"/>
        <v>0</v>
      </c>
      <c r="M52" s="113">
        <f>L52*D52*'B) D RI'!S54</f>
        <v>0</v>
      </c>
    </row>
    <row r="53" spans="1:13" x14ac:dyDescent="0.25">
      <c r="A53" s="296">
        <f>'A) Base RI'!A55</f>
        <v>5484</v>
      </c>
      <c r="B53" s="32" t="str">
        <f>'A) Base RI'!B55</f>
        <v>Gollion</v>
      </c>
      <c r="C53" s="294">
        <f>'B) D RI'!U55</f>
        <v>34996.98554054054</v>
      </c>
      <c r="D53" s="32">
        <f>'B) D RI'!AA55</f>
        <v>996</v>
      </c>
      <c r="E53" s="200">
        <f t="shared" si="2"/>
        <v>35.137535683273633</v>
      </c>
      <c r="F53" s="365">
        <f t="shared" si="3"/>
        <v>0.72945832147258094</v>
      </c>
      <c r="G53" s="376">
        <f t="shared" si="4"/>
        <v>0</v>
      </c>
      <c r="H53" s="373">
        <f t="shared" si="5"/>
        <v>0</v>
      </c>
      <c r="I53" s="376">
        <f t="shared" si="6"/>
        <v>0</v>
      </c>
      <c r="J53" s="373">
        <f t="shared" si="7"/>
        <v>0</v>
      </c>
      <c r="K53" s="368">
        <f t="shared" si="8"/>
        <v>0</v>
      </c>
      <c r="L53" s="372">
        <f t="shared" si="9"/>
        <v>0</v>
      </c>
      <c r="M53" s="113">
        <f>L53*D53*'B) D RI'!S55</f>
        <v>0</v>
      </c>
    </row>
    <row r="54" spans="1:13" x14ac:dyDescent="0.25">
      <c r="A54" s="296">
        <f>'A) Base RI'!A56</f>
        <v>5485</v>
      </c>
      <c r="B54" s="32" t="str">
        <f>'A) Base RI'!B56</f>
        <v>Grancy</v>
      </c>
      <c r="C54" s="294">
        <f>'B) D RI'!U56</f>
        <v>14542.352714285715</v>
      </c>
      <c r="D54" s="32">
        <f>'B) D RI'!AA56</f>
        <v>406</v>
      </c>
      <c r="E54" s="200">
        <f t="shared" si="2"/>
        <v>35.818602744546098</v>
      </c>
      <c r="F54" s="365">
        <f t="shared" si="3"/>
        <v>0.74359733337723677</v>
      </c>
      <c r="G54" s="376">
        <f t="shared" si="4"/>
        <v>0</v>
      </c>
      <c r="H54" s="373">
        <f t="shared" si="5"/>
        <v>0</v>
      </c>
      <c r="I54" s="376">
        <f t="shared" si="6"/>
        <v>0</v>
      </c>
      <c r="J54" s="373">
        <f t="shared" si="7"/>
        <v>0</v>
      </c>
      <c r="K54" s="368">
        <f t="shared" si="8"/>
        <v>0</v>
      </c>
      <c r="L54" s="372">
        <f t="shared" si="9"/>
        <v>0</v>
      </c>
      <c r="M54" s="113">
        <f>L54*D54*'B) D RI'!S56</f>
        <v>0</v>
      </c>
    </row>
    <row r="55" spans="1:13" x14ac:dyDescent="0.25">
      <c r="A55" s="296">
        <f>'A) Base RI'!A57</f>
        <v>5486</v>
      </c>
      <c r="B55" s="32" t="str">
        <f>'A) Base RI'!B57</f>
        <v>L'Isle</v>
      </c>
      <c r="C55" s="294">
        <f>'B) D RI'!U57</f>
        <v>37459.560399999995</v>
      </c>
      <c r="D55" s="32">
        <f>'B) D RI'!AA57</f>
        <v>1065</v>
      </c>
      <c r="E55" s="200">
        <f t="shared" si="2"/>
        <v>35.173296150234734</v>
      </c>
      <c r="F55" s="365">
        <f t="shared" si="3"/>
        <v>0.73020071190199676</v>
      </c>
      <c r="G55" s="376">
        <f t="shared" si="4"/>
        <v>0</v>
      </c>
      <c r="H55" s="373">
        <f t="shared" si="5"/>
        <v>0</v>
      </c>
      <c r="I55" s="376">
        <f t="shared" si="6"/>
        <v>0</v>
      </c>
      <c r="J55" s="373">
        <f t="shared" si="7"/>
        <v>0</v>
      </c>
      <c r="K55" s="368">
        <f t="shared" si="8"/>
        <v>0</v>
      </c>
      <c r="L55" s="372">
        <f t="shared" si="9"/>
        <v>0</v>
      </c>
      <c r="M55" s="113">
        <f>L55*D55*'B) D RI'!S57</f>
        <v>0</v>
      </c>
    </row>
    <row r="56" spans="1:13" x14ac:dyDescent="0.25">
      <c r="A56" s="296">
        <f>'A) Base RI'!A58</f>
        <v>5487</v>
      </c>
      <c r="B56" s="32" t="str">
        <f>'A) Base RI'!B58</f>
        <v>Lussery-Villars</v>
      </c>
      <c r="C56" s="294">
        <f>'B) D RI'!U58</f>
        <v>12889.865466666668</v>
      </c>
      <c r="D56" s="32">
        <f>'B) D RI'!AA58</f>
        <v>459</v>
      </c>
      <c r="E56" s="200">
        <f t="shared" si="2"/>
        <v>28.082495570079885</v>
      </c>
      <c r="F56" s="365">
        <f t="shared" si="3"/>
        <v>0.58299507017115759</v>
      </c>
      <c r="G56" s="376">
        <f t="shared" si="4"/>
        <v>0</v>
      </c>
      <c r="H56" s="373">
        <f t="shared" si="5"/>
        <v>0</v>
      </c>
      <c r="I56" s="376">
        <f t="shared" si="6"/>
        <v>0</v>
      </c>
      <c r="J56" s="373">
        <f t="shared" si="7"/>
        <v>0</v>
      </c>
      <c r="K56" s="368">
        <f t="shared" si="8"/>
        <v>0</v>
      </c>
      <c r="L56" s="372">
        <f t="shared" si="9"/>
        <v>0</v>
      </c>
      <c r="M56" s="113">
        <f>L56*D56*'B) D RI'!S58</f>
        <v>0</v>
      </c>
    </row>
    <row r="57" spans="1:13" x14ac:dyDescent="0.25">
      <c r="A57" s="296">
        <f>'A) Base RI'!A59</f>
        <v>5488</v>
      </c>
      <c r="B57" s="32" t="str">
        <f>'A) Base RI'!B59</f>
        <v>Mauraz</v>
      </c>
      <c r="C57" s="294">
        <f>'B) D RI'!U59</f>
        <v>1632.1631168831173</v>
      </c>
      <c r="D57" s="32">
        <f>'B) D RI'!AA59</f>
        <v>58</v>
      </c>
      <c r="E57" s="200">
        <f t="shared" si="2"/>
        <v>28.140743394536504</v>
      </c>
      <c r="F57" s="365">
        <f t="shared" si="3"/>
        <v>0.58420430011376223</v>
      </c>
      <c r="G57" s="376">
        <f t="shared" si="4"/>
        <v>0</v>
      </c>
      <c r="H57" s="373">
        <f t="shared" si="5"/>
        <v>0</v>
      </c>
      <c r="I57" s="376">
        <f t="shared" si="6"/>
        <v>0</v>
      </c>
      <c r="J57" s="373">
        <f t="shared" si="7"/>
        <v>0</v>
      </c>
      <c r="K57" s="368">
        <f t="shared" si="8"/>
        <v>0</v>
      </c>
      <c r="L57" s="372">
        <f t="shared" si="9"/>
        <v>0</v>
      </c>
      <c r="M57" s="113">
        <f>L57*D57*'B) D RI'!S59</f>
        <v>0</v>
      </c>
    </row>
    <row r="58" spans="1:13" x14ac:dyDescent="0.25">
      <c r="A58" s="296">
        <f>'A) Base RI'!A60</f>
        <v>5489</v>
      </c>
      <c r="B58" s="32" t="str">
        <f>'A) Base RI'!B60</f>
        <v>Mex</v>
      </c>
      <c r="C58" s="294">
        <f>'B) D RI'!U60</f>
        <v>58521.207563025193</v>
      </c>
      <c r="D58" s="32">
        <f>'B) D RI'!AA60</f>
        <v>791</v>
      </c>
      <c r="E58" s="200">
        <f t="shared" si="2"/>
        <v>73.983827513306181</v>
      </c>
      <c r="F58" s="365">
        <f t="shared" si="3"/>
        <v>1.5359107457175345</v>
      </c>
      <c r="G58" s="376">
        <f t="shared" si="4"/>
        <v>25.814474105505774</v>
      </c>
      <c r="H58" s="373">
        <f t="shared" si="5"/>
        <v>16.180603423945698</v>
      </c>
      <c r="I58" s="376">
        <f t="shared" si="6"/>
        <v>1.7297974016055662</v>
      </c>
      <c r="J58" s="373">
        <f t="shared" si="7"/>
        <v>0</v>
      </c>
      <c r="K58" s="368">
        <f t="shared" si="8"/>
        <v>0</v>
      </c>
      <c r="L58" s="372">
        <f t="shared" si="9"/>
        <v>6.9539349036562808</v>
      </c>
      <c r="M58" s="113">
        <f>L58*D58*'B) D RI'!S60</f>
        <v>327283.46927313105</v>
      </c>
    </row>
    <row r="59" spans="1:13" x14ac:dyDescent="0.25">
      <c r="A59" s="296">
        <f>'A) Base RI'!A61</f>
        <v>5490</v>
      </c>
      <c r="B59" s="32" t="str">
        <f>'A) Base RI'!B61</f>
        <v>Moiry</v>
      </c>
      <c r="C59" s="294">
        <f>'B) D RI'!U61</f>
        <v>8655.909290322581</v>
      </c>
      <c r="D59" s="32">
        <f>'B) D RI'!AA61</f>
        <v>311</v>
      </c>
      <c r="E59" s="200">
        <f t="shared" si="2"/>
        <v>27.832505756664247</v>
      </c>
      <c r="F59" s="365">
        <f t="shared" si="3"/>
        <v>0.57780525972676089</v>
      </c>
      <c r="G59" s="376">
        <f t="shared" si="4"/>
        <v>0</v>
      </c>
      <c r="H59" s="373">
        <f t="shared" si="5"/>
        <v>0</v>
      </c>
      <c r="I59" s="376">
        <f t="shared" si="6"/>
        <v>0</v>
      </c>
      <c r="J59" s="373">
        <f t="shared" si="7"/>
        <v>0</v>
      </c>
      <c r="K59" s="368">
        <f t="shared" si="8"/>
        <v>0</v>
      </c>
      <c r="L59" s="372">
        <f t="shared" si="9"/>
        <v>0</v>
      </c>
      <c r="M59" s="113">
        <f>L59*D59*'B) D RI'!S61</f>
        <v>0</v>
      </c>
    </row>
    <row r="60" spans="1:13" x14ac:dyDescent="0.25">
      <c r="A60" s="296">
        <f>'A) Base RI'!A62</f>
        <v>5491</v>
      </c>
      <c r="B60" s="32" t="str">
        <f>'A) Base RI'!B62</f>
        <v>Mont-la-Ville</v>
      </c>
      <c r="C60" s="294">
        <f>'B) D RI'!U62</f>
        <v>14323.284736842104</v>
      </c>
      <c r="D60" s="32">
        <f>'B) D RI'!AA62</f>
        <v>490</v>
      </c>
      <c r="E60" s="200">
        <f t="shared" si="2"/>
        <v>29.231193340494091</v>
      </c>
      <c r="F60" s="365">
        <f t="shared" si="3"/>
        <v>0.60684213659717667</v>
      </c>
      <c r="G60" s="376">
        <f t="shared" si="4"/>
        <v>0</v>
      </c>
      <c r="H60" s="373">
        <f t="shared" si="5"/>
        <v>0</v>
      </c>
      <c r="I60" s="376">
        <f t="shared" si="6"/>
        <v>0</v>
      </c>
      <c r="J60" s="373">
        <f t="shared" si="7"/>
        <v>0</v>
      </c>
      <c r="K60" s="368">
        <f t="shared" si="8"/>
        <v>0</v>
      </c>
      <c r="L60" s="372">
        <f t="shared" si="9"/>
        <v>0</v>
      </c>
      <c r="M60" s="113">
        <f>L60*D60*'B) D RI'!S62</f>
        <v>0</v>
      </c>
    </row>
    <row r="61" spans="1:13" x14ac:dyDescent="0.25">
      <c r="A61" s="296">
        <f>'A) Base RI'!A63</f>
        <v>5492</v>
      </c>
      <c r="B61" s="32" t="str">
        <f>'A) Base RI'!B63</f>
        <v>Montricher</v>
      </c>
      <c r="C61" s="294">
        <f>'B) D RI'!U63</f>
        <v>157154.96692708335</v>
      </c>
      <c r="D61" s="32">
        <f>'B) D RI'!AA63</f>
        <v>964</v>
      </c>
      <c r="E61" s="200">
        <f t="shared" si="2"/>
        <v>163.02382461315702</v>
      </c>
      <c r="F61" s="365">
        <f t="shared" si="3"/>
        <v>3.384388892103281</v>
      </c>
      <c r="G61" s="376">
        <f t="shared" si="4"/>
        <v>114.85447120535662</v>
      </c>
      <c r="H61" s="373">
        <f t="shared" si="5"/>
        <v>105.22060052379653</v>
      </c>
      <c r="I61" s="376">
        <f t="shared" si="6"/>
        <v>90.769794501456403</v>
      </c>
      <c r="J61" s="373">
        <f t="shared" si="7"/>
        <v>66.685117797556202</v>
      </c>
      <c r="K61" s="368">
        <f t="shared" si="8"/>
        <v>18.515764389755788</v>
      </c>
      <c r="L61" s="372">
        <f t="shared" si="9"/>
        <v>51.090021962327818</v>
      </c>
      <c r="M61" s="113">
        <f>L61*D61*'B) D RI'!S63</f>
        <v>3152049.994987777</v>
      </c>
    </row>
    <row r="62" spans="1:13" x14ac:dyDescent="0.25">
      <c r="A62" s="296">
        <f>'A) Base RI'!A64</f>
        <v>5493</v>
      </c>
      <c r="B62" s="32" t="str">
        <f>'A) Base RI'!B64</f>
        <v>Orny</v>
      </c>
      <c r="C62" s="294">
        <f>'B) D RI'!U64</f>
        <v>12885.017723919913</v>
      </c>
      <c r="D62" s="32">
        <f>'B) D RI'!AA64</f>
        <v>462</v>
      </c>
      <c r="E62" s="200">
        <f t="shared" si="2"/>
        <v>27.889648753073406</v>
      </c>
      <c r="F62" s="365">
        <f t="shared" si="3"/>
        <v>0.57899155334223429</v>
      </c>
      <c r="G62" s="376">
        <f t="shared" si="4"/>
        <v>0</v>
      </c>
      <c r="H62" s="373">
        <f t="shared" si="5"/>
        <v>0</v>
      </c>
      <c r="I62" s="376">
        <f t="shared" si="6"/>
        <v>0</v>
      </c>
      <c r="J62" s="373">
        <f t="shared" si="7"/>
        <v>0</v>
      </c>
      <c r="K62" s="368">
        <f t="shared" si="8"/>
        <v>0</v>
      </c>
      <c r="L62" s="372">
        <f t="shared" si="9"/>
        <v>0</v>
      </c>
      <c r="M62" s="113">
        <f>L62*D62*'B) D RI'!S64</f>
        <v>0</v>
      </c>
    </row>
    <row r="63" spans="1:13" x14ac:dyDescent="0.25">
      <c r="A63" s="296">
        <f>'A) Base RI'!A65</f>
        <v>5494</v>
      </c>
      <c r="B63" s="32" t="str">
        <f>'A) Base RI'!B65</f>
        <v>Pampigny</v>
      </c>
      <c r="C63" s="294">
        <f>'B) D RI'!U65</f>
        <v>36607.87342465754</v>
      </c>
      <c r="D63" s="32">
        <f>'B) D RI'!AA65</f>
        <v>1128</v>
      </c>
      <c r="E63" s="200">
        <f t="shared" si="2"/>
        <v>32.453788497036825</v>
      </c>
      <c r="F63" s="365">
        <f t="shared" si="3"/>
        <v>0.67374349458843574</v>
      </c>
      <c r="G63" s="376">
        <f t="shared" si="4"/>
        <v>0</v>
      </c>
      <c r="H63" s="373">
        <f t="shared" si="5"/>
        <v>0</v>
      </c>
      <c r="I63" s="376">
        <f t="shared" si="6"/>
        <v>0</v>
      </c>
      <c r="J63" s="373">
        <f t="shared" si="7"/>
        <v>0</v>
      </c>
      <c r="K63" s="368">
        <f t="shared" si="8"/>
        <v>0</v>
      </c>
      <c r="L63" s="372">
        <f t="shared" si="9"/>
        <v>0</v>
      </c>
      <c r="M63" s="113">
        <f>L63*D63*'B) D RI'!S65</f>
        <v>0</v>
      </c>
    </row>
    <row r="64" spans="1:13" x14ac:dyDescent="0.25">
      <c r="A64" s="296">
        <f>'A) Base RI'!A66</f>
        <v>5495</v>
      </c>
      <c r="B64" s="32" t="str">
        <f>'A) Base RI'!B66</f>
        <v>Penthalaz</v>
      </c>
      <c r="C64" s="294">
        <f>'B) D RI'!U66</f>
        <v>93361.472702702697</v>
      </c>
      <c r="D64" s="32">
        <f>'B) D RI'!AA66</f>
        <v>3207</v>
      </c>
      <c r="E64" s="200">
        <f t="shared" si="2"/>
        <v>29.111778204771653</v>
      </c>
      <c r="F64" s="365">
        <f t="shared" si="3"/>
        <v>0.60436306790984196</v>
      </c>
      <c r="G64" s="376">
        <f t="shared" si="4"/>
        <v>0</v>
      </c>
      <c r="H64" s="373">
        <f t="shared" si="5"/>
        <v>0</v>
      </c>
      <c r="I64" s="376">
        <f t="shared" si="6"/>
        <v>0</v>
      </c>
      <c r="J64" s="373">
        <f t="shared" si="7"/>
        <v>0</v>
      </c>
      <c r="K64" s="368">
        <f t="shared" si="8"/>
        <v>0</v>
      </c>
      <c r="L64" s="372">
        <f t="shared" si="9"/>
        <v>0</v>
      </c>
      <c r="M64" s="113">
        <f>L64*D64*'B) D RI'!S66</f>
        <v>0</v>
      </c>
    </row>
    <row r="65" spans="1:13" x14ac:dyDescent="0.25">
      <c r="A65" s="296">
        <f>'A) Base RI'!A67</f>
        <v>5496</v>
      </c>
      <c r="B65" s="32" t="str">
        <f>'A) Base RI'!B67</f>
        <v>Penthaz</v>
      </c>
      <c r="C65" s="294">
        <f>'B) D RI'!U67</f>
        <v>60131.11913669065</v>
      </c>
      <c r="D65" s="32">
        <f>'B) D RI'!AA67</f>
        <v>1855</v>
      </c>
      <c r="E65" s="200">
        <f t="shared" si="2"/>
        <v>32.415697647811669</v>
      </c>
      <c r="F65" s="365">
        <f t="shared" si="3"/>
        <v>0.67295272521890159</v>
      </c>
      <c r="G65" s="376">
        <f t="shared" si="4"/>
        <v>0</v>
      </c>
      <c r="H65" s="373">
        <f t="shared" si="5"/>
        <v>0</v>
      </c>
      <c r="I65" s="376">
        <f t="shared" si="6"/>
        <v>0</v>
      </c>
      <c r="J65" s="373">
        <f t="shared" si="7"/>
        <v>0</v>
      </c>
      <c r="K65" s="368">
        <f t="shared" si="8"/>
        <v>0</v>
      </c>
      <c r="L65" s="372">
        <f t="shared" si="9"/>
        <v>0</v>
      </c>
      <c r="M65" s="113">
        <f>L65*D65*'B) D RI'!S67</f>
        <v>0</v>
      </c>
    </row>
    <row r="66" spans="1:13" x14ac:dyDescent="0.25">
      <c r="A66" s="296">
        <f>'A) Base RI'!A68</f>
        <v>5497</v>
      </c>
      <c r="B66" s="32" t="str">
        <f>'A) Base RI'!B68</f>
        <v>Pompaples</v>
      </c>
      <c r="C66" s="294">
        <f>'B) D RI'!U68</f>
        <v>20396.986060606061</v>
      </c>
      <c r="D66" s="32">
        <f>'B) D RI'!AA68</f>
        <v>847</v>
      </c>
      <c r="E66" s="200">
        <f t="shared" si="2"/>
        <v>24.08144753318307</v>
      </c>
      <c r="F66" s="365">
        <f t="shared" si="3"/>
        <v>0.49993296213279437</v>
      </c>
      <c r="G66" s="376">
        <f t="shared" si="4"/>
        <v>0</v>
      </c>
      <c r="H66" s="373">
        <f t="shared" si="5"/>
        <v>0</v>
      </c>
      <c r="I66" s="376">
        <f t="shared" si="6"/>
        <v>0</v>
      </c>
      <c r="J66" s="373">
        <f t="shared" si="7"/>
        <v>0</v>
      </c>
      <c r="K66" s="368">
        <f t="shared" si="8"/>
        <v>0</v>
      </c>
      <c r="L66" s="372">
        <f t="shared" si="9"/>
        <v>0</v>
      </c>
      <c r="M66" s="113">
        <f>L66*D66*'B) D RI'!S68</f>
        <v>0</v>
      </c>
    </row>
    <row r="67" spans="1:13" x14ac:dyDescent="0.25">
      <c r="A67" s="296">
        <f>'A) Base RI'!A69</f>
        <v>5498</v>
      </c>
      <c r="B67" s="32" t="str">
        <f>'A) Base RI'!B69</f>
        <v>La Sarraz</v>
      </c>
      <c r="C67" s="294">
        <f>'B) D RI'!U69</f>
        <v>77508.241969696974</v>
      </c>
      <c r="D67" s="32">
        <f>'B) D RI'!AA69</f>
        <v>2598</v>
      </c>
      <c r="E67" s="200">
        <f t="shared" si="2"/>
        <v>29.833811381715542</v>
      </c>
      <c r="F67" s="365">
        <f t="shared" si="3"/>
        <v>0.6193525399675458</v>
      </c>
      <c r="G67" s="376">
        <f t="shared" si="4"/>
        <v>0</v>
      </c>
      <c r="H67" s="373">
        <f t="shared" si="5"/>
        <v>0</v>
      </c>
      <c r="I67" s="376">
        <f t="shared" si="6"/>
        <v>0</v>
      </c>
      <c r="J67" s="373">
        <f t="shared" si="7"/>
        <v>0</v>
      </c>
      <c r="K67" s="368">
        <f t="shared" si="8"/>
        <v>0</v>
      </c>
      <c r="L67" s="372">
        <f t="shared" si="9"/>
        <v>0</v>
      </c>
      <c r="M67" s="113">
        <f>L67*D67*'B) D RI'!S69</f>
        <v>0</v>
      </c>
    </row>
    <row r="68" spans="1:13" x14ac:dyDescent="0.25">
      <c r="A68" s="296">
        <f>'A) Base RI'!A70</f>
        <v>5499</v>
      </c>
      <c r="B68" s="32" t="str">
        <f>'A) Base RI'!B70</f>
        <v>Senarclens</v>
      </c>
      <c r="C68" s="294">
        <f>'B) D RI'!U70</f>
        <v>19654.447445255475</v>
      </c>
      <c r="D68" s="32">
        <f>'B) D RI'!AA70</f>
        <v>496</v>
      </c>
      <c r="E68" s="200">
        <f t="shared" si="2"/>
        <v>39.62590210736991</v>
      </c>
      <c r="F68" s="365">
        <f t="shared" si="3"/>
        <v>0.82263720195490531</v>
      </c>
      <c r="G68" s="376">
        <f t="shared" si="4"/>
        <v>0</v>
      </c>
      <c r="H68" s="373">
        <f t="shared" si="5"/>
        <v>0</v>
      </c>
      <c r="I68" s="376">
        <f t="shared" si="6"/>
        <v>0</v>
      </c>
      <c r="J68" s="373">
        <f t="shared" si="7"/>
        <v>0</v>
      </c>
      <c r="K68" s="368">
        <f t="shared" si="8"/>
        <v>0</v>
      </c>
      <c r="L68" s="372">
        <f t="shared" si="9"/>
        <v>0</v>
      </c>
      <c r="M68" s="113">
        <f>L68*D68*'B) D RI'!S70</f>
        <v>0</v>
      </c>
    </row>
    <row r="69" spans="1:13" x14ac:dyDescent="0.25">
      <c r="A69" s="296">
        <f>'A) Base RI'!A71</f>
        <v>5500</v>
      </c>
      <c r="B69" s="32" t="str">
        <f>'A) Base RI'!B71</f>
        <v>Sévery</v>
      </c>
      <c r="C69" s="294">
        <f>'B) D RI'!U71</f>
        <v>7516.1401369863015</v>
      </c>
      <c r="D69" s="32">
        <f>'B) D RI'!AA71</f>
        <v>214</v>
      </c>
      <c r="E69" s="200">
        <f t="shared" si="2"/>
        <v>35.122150172833187</v>
      </c>
      <c r="F69" s="365">
        <f t="shared" si="3"/>
        <v>0.7291389169269108</v>
      </c>
      <c r="G69" s="376">
        <f t="shared" si="4"/>
        <v>0</v>
      </c>
      <c r="H69" s="373">
        <f t="shared" si="5"/>
        <v>0</v>
      </c>
      <c r="I69" s="376">
        <f t="shared" si="6"/>
        <v>0</v>
      </c>
      <c r="J69" s="373">
        <f t="shared" si="7"/>
        <v>0</v>
      </c>
      <c r="K69" s="368">
        <f t="shared" si="8"/>
        <v>0</v>
      </c>
      <c r="L69" s="372">
        <f t="shared" si="9"/>
        <v>0</v>
      </c>
      <c r="M69" s="113">
        <f>L69*D69*'B) D RI'!S71</f>
        <v>0</v>
      </c>
    </row>
    <row r="70" spans="1:13" x14ac:dyDescent="0.25">
      <c r="A70" s="296">
        <f>'A) Base RI'!A72</f>
        <v>5501</v>
      </c>
      <c r="B70" s="32" t="str">
        <f>'A) Base RI'!B72</f>
        <v>Sullens</v>
      </c>
      <c r="C70" s="294">
        <f>'B) D RI'!U72</f>
        <v>41921.141459854021</v>
      </c>
      <c r="D70" s="32">
        <f>'B) D RI'!AA72</f>
        <v>1041</v>
      </c>
      <c r="E70" s="200">
        <f t="shared" ref="E70:E133" si="10">C70/D70</f>
        <v>40.270068645392911</v>
      </c>
      <c r="F70" s="365">
        <f t="shared" ref="F70:F133" si="11">E70/$E$314</f>
        <v>0.83601015576164428</v>
      </c>
      <c r="G70" s="376">
        <f t="shared" ref="G70:G133" si="12">IF(E70-$G$2&lt;0,0,E70-$G$2)</f>
        <v>0</v>
      </c>
      <c r="H70" s="373">
        <f t="shared" ref="H70:H133" si="13">IF(E70-$H$2&lt;0,0,E70-$H$2)</f>
        <v>0</v>
      </c>
      <c r="I70" s="376">
        <f t="shared" ref="I70:I133" si="14">IF(E70-$I$2&lt;0,0,E70-$I$2)</f>
        <v>0</v>
      </c>
      <c r="J70" s="373">
        <f t="shared" ref="J70:J133" si="15">IF(E70-$J$2&lt;0,0,E70-$J$2)</f>
        <v>0</v>
      </c>
      <c r="K70" s="368">
        <f t="shared" ref="K70:K133" si="16">IF(E70-$K$2&lt;0,0,E70-$K$2)</f>
        <v>0</v>
      </c>
      <c r="L70" s="372">
        <f t="shared" ref="L70:L133" si="17">(G70-H70)*$G$3+(H70-I70)*$H$3+(I70-J70)*$I$3+(J70-K70)*$J$3+(K70*$K$3)</f>
        <v>0</v>
      </c>
      <c r="M70" s="113">
        <f>L70*D70*'B) D RI'!S72</f>
        <v>0</v>
      </c>
    </row>
    <row r="71" spans="1:13" x14ac:dyDescent="0.25">
      <c r="A71" s="296">
        <f>'A) Base RI'!A73</f>
        <v>5503</v>
      </c>
      <c r="B71" s="32" t="str">
        <f>'A) Base RI'!B73</f>
        <v>Vufflens-la-Ville</v>
      </c>
      <c r="C71" s="294">
        <f>'B) D RI'!U73</f>
        <v>66677.882338308453</v>
      </c>
      <c r="D71" s="32">
        <f>'B) D RI'!AA73</f>
        <v>1349</v>
      </c>
      <c r="E71" s="200">
        <f t="shared" si="10"/>
        <v>49.427637018760898</v>
      </c>
      <c r="F71" s="365">
        <f t="shared" si="11"/>
        <v>1.0261220780837121</v>
      </c>
      <c r="G71" s="376">
        <f t="shared" si="12"/>
        <v>1.2582836109604898</v>
      </c>
      <c r="H71" s="373">
        <f t="shared" si="13"/>
        <v>0</v>
      </c>
      <c r="I71" s="376">
        <f t="shared" si="14"/>
        <v>0</v>
      </c>
      <c r="J71" s="373">
        <f t="shared" si="15"/>
        <v>0</v>
      </c>
      <c r="K71" s="368">
        <f t="shared" si="16"/>
        <v>0</v>
      </c>
      <c r="L71" s="372">
        <f t="shared" si="17"/>
        <v>0.25165672219209795</v>
      </c>
      <c r="M71" s="113">
        <f>L71*D71*'B) D RI'!S73</f>
        <v>22745.489521888387</v>
      </c>
    </row>
    <row r="72" spans="1:13" x14ac:dyDescent="0.25">
      <c r="A72" s="296">
        <f>'A) Base RI'!A74</f>
        <v>5511</v>
      </c>
      <c r="B72" s="32" t="str">
        <f>'A) Base RI'!B74</f>
        <v>Assens</v>
      </c>
      <c r="C72" s="294">
        <f>'B) D RI'!U74</f>
        <v>44474.742571428564</v>
      </c>
      <c r="D72" s="32">
        <f>'B) D RI'!AA74</f>
        <v>1141</v>
      </c>
      <c r="E72" s="200">
        <f t="shared" si="10"/>
        <v>38.978740202829592</v>
      </c>
      <c r="F72" s="365">
        <f t="shared" si="11"/>
        <v>0.80920206407664763</v>
      </c>
      <c r="G72" s="376">
        <f t="shared" si="12"/>
        <v>0</v>
      </c>
      <c r="H72" s="373">
        <f t="shared" si="13"/>
        <v>0</v>
      </c>
      <c r="I72" s="376">
        <f t="shared" si="14"/>
        <v>0</v>
      </c>
      <c r="J72" s="373">
        <f t="shared" si="15"/>
        <v>0</v>
      </c>
      <c r="K72" s="368">
        <f t="shared" si="16"/>
        <v>0</v>
      </c>
      <c r="L72" s="372">
        <f t="shared" si="17"/>
        <v>0</v>
      </c>
      <c r="M72" s="113">
        <f>L72*D72*'B) D RI'!S74</f>
        <v>0</v>
      </c>
    </row>
    <row r="73" spans="1:13" x14ac:dyDescent="0.25">
      <c r="A73" s="296">
        <f>'A) Base RI'!A75</f>
        <v>5512</v>
      </c>
      <c r="B73" s="32" t="str">
        <f>'A) Base RI'!B75</f>
        <v>Bercher</v>
      </c>
      <c r="C73" s="294">
        <f>'B) D RI'!U75</f>
        <v>40313.482784810127</v>
      </c>
      <c r="D73" s="32">
        <f>'B) D RI'!AA75</f>
        <v>1323</v>
      </c>
      <c r="E73" s="200">
        <f t="shared" si="10"/>
        <v>30.471264387611583</v>
      </c>
      <c r="F73" s="365">
        <f t="shared" si="11"/>
        <v>0.63258612025871941</v>
      </c>
      <c r="G73" s="376">
        <f t="shared" si="12"/>
        <v>0</v>
      </c>
      <c r="H73" s="373">
        <f t="shared" si="13"/>
        <v>0</v>
      </c>
      <c r="I73" s="376">
        <f t="shared" si="14"/>
        <v>0</v>
      </c>
      <c r="J73" s="373">
        <f t="shared" si="15"/>
        <v>0</v>
      </c>
      <c r="K73" s="368">
        <f t="shared" si="16"/>
        <v>0</v>
      </c>
      <c r="L73" s="372">
        <f t="shared" si="17"/>
        <v>0</v>
      </c>
      <c r="M73" s="113">
        <f>L73*D73*'B) D RI'!S75</f>
        <v>0</v>
      </c>
    </row>
    <row r="74" spans="1:13" x14ac:dyDescent="0.25">
      <c r="A74" s="296">
        <f>'A) Base RI'!A76</f>
        <v>5513</v>
      </c>
      <c r="B74" s="32" t="str">
        <f>'A) Base RI'!B76</f>
        <v>Bioley-Orjulaz</v>
      </c>
      <c r="C74" s="294">
        <f>'B) D RI'!U76</f>
        <v>22644.962352941177</v>
      </c>
      <c r="D74" s="32">
        <f>'B) D RI'!AA76</f>
        <v>525</v>
      </c>
      <c r="E74" s="200">
        <f t="shared" si="10"/>
        <v>43.133261624649862</v>
      </c>
      <c r="F74" s="365">
        <f t="shared" si="11"/>
        <v>0.89545029304181989</v>
      </c>
      <c r="G74" s="376">
        <f t="shared" si="12"/>
        <v>0</v>
      </c>
      <c r="H74" s="373">
        <f t="shared" si="13"/>
        <v>0</v>
      </c>
      <c r="I74" s="376">
        <f t="shared" si="14"/>
        <v>0</v>
      </c>
      <c r="J74" s="373">
        <f t="shared" si="15"/>
        <v>0</v>
      </c>
      <c r="K74" s="368">
        <f t="shared" si="16"/>
        <v>0</v>
      </c>
      <c r="L74" s="372">
        <f t="shared" si="17"/>
        <v>0</v>
      </c>
      <c r="M74" s="113">
        <f>L74*D74*'B) D RI'!S76</f>
        <v>0</v>
      </c>
    </row>
    <row r="75" spans="1:13" x14ac:dyDescent="0.25">
      <c r="A75" s="296">
        <f>'A) Base RI'!A77</f>
        <v>5514</v>
      </c>
      <c r="B75" s="32" t="str">
        <f>'A) Base RI'!B77</f>
        <v>Bottens</v>
      </c>
      <c r="C75" s="294">
        <f>'B) D RI'!U77</f>
        <v>44190.368827586208</v>
      </c>
      <c r="D75" s="32">
        <f>'B) D RI'!AA77</f>
        <v>1330</v>
      </c>
      <c r="E75" s="200">
        <f t="shared" si="10"/>
        <v>33.225841223749029</v>
      </c>
      <c r="F75" s="365">
        <f t="shared" si="11"/>
        <v>0.68977137688480017</v>
      </c>
      <c r="G75" s="376">
        <f t="shared" si="12"/>
        <v>0</v>
      </c>
      <c r="H75" s="373">
        <f t="shared" si="13"/>
        <v>0</v>
      </c>
      <c r="I75" s="376">
        <f t="shared" si="14"/>
        <v>0</v>
      </c>
      <c r="J75" s="373">
        <f t="shared" si="15"/>
        <v>0</v>
      </c>
      <c r="K75" s="368">
        <f t="shared" si="16"/>
        <v>0</v>
      </c>
      <c r="L75" s="372">
        <f t="shared" si="17"/>
        <v>0</v>
      </c>
      <c r="M75" s="113">
        <f>L75*D75*'B) D RI'!S77</f>
        <v>0</v>
      </c>
    </row>
    <row r="76" spans="1:13" x14ac:dyDescent="0.25">
      <c r="A76" s="296">
        <f>'A) Base RI'!A78</f>
        <v>5515</v>
      </c>
      <c r="B76" s="32" t="str">
        <f>'A) Base RI'!B78</f>
        <v>Bretigny-sur-Morrens</v>
      </c>
      <c r="C76" s="294">
        <f>'B) D RI'!U78</f>
        <v>29586.483086419765</v>
      </c>
      <c r="D76" s="32">
        <f>'B) D RI'!AA78</f>
        <v>859</v>
      </c>
      <c r="E76" s="200">
        <f t="shared" si="10"/>
        <v>34.442937236809968</v>
      </c>
      <c r="F76" s="365">
        <f t="shared" si="11"/>
        <v>0.71503839682498993</v>
      </c>
      <c r="G76" s="376">
        <f t="shared" si="12"/>
        <v>0</v>
      </c>
      <c r="H76" s="373">
        <f t="shared" si="13"/>
        <v>0</v>
      </c>
      <c r="I76" s="376">
        <f t="shared" si="14"/>
        <v>0</v>
      </c>
      <c r="J76" s="373">
        <f t="shared" si="15"/>
        <v>0</v>
      </c>
      <c r="K76" s="368">
        <f t="shared" si="16"/>
        <v>0</v>
      </c>
      <c r="L76" s="372">
        <f t="shared" si="17"/>
        <v>0</v>
      </c>
      <c r="M76" s="113">
        <f>L76*D76*'B) D RI'!S78</f>
        <v>0</v>
      </c>
    </row>
    <row r="77" spans="1:13" x14ac:dyDescent="0.25">
      <c r="A77" s="296">
        <f>'A) Base RI'!A79</f>
        <v>5516</v>
      </c>
      <c r="B77" s="32" t="str">
        <f>'A) Base RI'!B79</f>
        <v>Cugy</v>
      </c>
      <c r="C77" s="294">
        <f>'B) D RI'!U79</f>
        <v>107062.26318376069</v>
      </c>
      <c r="D77" s="32">
        <f>'B) D RI'!AA79</f>
        <v>2760</v>
      </c>
      <c r="E77" s="200">
        <f t="shared" si="10"/>
        <v>38.790675066579958</v>
      </c>
      <c r="F77" s="365">
        <f t="shared" si="11"/>
        <v>0.80529781535947098</v>
      </c>
      <c r="G77" s="376">
        <f t="shared" si="12"/>
        <v>0</v>
      </c>
      <c r="H77" s="373">
        <f t="shared" si="13"/>
        <v>0</v>
      </c>
      <c r="I77" s="376">
        <f t="shared" si="14"/>
        <v>0</v>
      </c>
      <c r="J77" s="373">
        <f t="shared" si="15"/>
        <v>0</v>
      </c>
      <c r="K77" s="368">
        <f t="shared" si="16"/>
        <v>0</v>
      </c>
      <c r="L77" s="372">
        <f t="shared" si="17"/>
        <v>0</v>
      </c>
      <c r="M77" s="113">
        <f>L77*D77*'B) D RI'!S79</f>
        <v>0</v>
      </c>
    </row>
    <row r="78" spans="1:13" x14ac:dyDescent="0.25">
      <c r="A78" s="296">
        <f>'A) Base RI'!A80</f>
        <v>5518</v>
      </c>
      <c r="B78" s="32" t="str">
        <f>'A) Base RI'!B80</f>
        <v>Echallens</v>
      </c>
      <c r="C78" s="294">
        <f>'B) D RI'!U80</f>
        <v>178756.07310344829</v>
      </c>
      <c r="D78" s="32">
        <f>'B) D RI'!AA80</f>
        <v>5731</v>
      </c>
      <c r="E78" s="200">
        <f t="shared" si="10"/>
        <v>31.191078887357929</v>
      </c>
      <c r="F78" s="365">
        <f t="shared" si="11"/>
        <v>0.64752953238327948</v>
      </c>
      <c r="G78" s="376">
        <f t="shared" si="12"/>
        <v>0</v>
      </c>
      <c r="H78" s="373">
        <f t="shared" si="13"/>
        <v>0</v>
      </c>
      <c r="I78" s="376">
        <f t="shared" si="14"/>
        <v>0</v>
      </c>
      <c r="J78" s="373">
        <f t="shared" si="15"/>
        <v>0</v>
      </c>
      <c r="K78" s="368">
        <f t="shared" si="16"/>
        <v>0</v>
      </c>
      <c r="L78" s="372">
        <f t="shared" si="17"/>
        <v>0</v>
      </c>
      <c r="M78" s="113">
        <f>L78*D78*'B) D RI'!S80</f>
        <v>0</v>
      </c>
    </row>
    <row r="79" spans="1:13" x14ac:dyDescent="0.25">
      <c r="A79" s="296">
        <f>'A) Base RI'!A81</f>
        <v>5520</v>
      </c>
      <c r="B79" s="32" t="str">
        <f>'A) Base RI'!B81</f>
        <v>Essertines-sur-Yverdon</v>
      </c>
      <c r="C79" s="294">
        <f>'B) D RI'!U81</f>
        <v>29733.806712328769</v>
      </c>
      <c r="D79" s="32">
        <f>'B) D RI'!AA81</f>
        <v>1036</v>
      </c>
      <c r="E79" s="200">
        <f t="shared" si="10"/>
        <v>28.700585629660974</v>
      </c>
      <c r="F79" s="365">
        <f t="shared" si="11"/>
        <v>0.59582667399918399</v>
      </c>
      <c r="G79" s="376">
        <f t="shared" si="12"/>
        <v>0</v>
      </c>
      <c r="H79" s="373">
        <f t="shared" si="13"/>
        <v>0</v>
      </c>
      <c r="I79" s="376">
        <f t="shared" si="14"/>
        <v>0</v>
      </c>
      <c r="J79" s="373">
        <f t="shared" si="15"/>
        <v>0</v>
      </c>
      <c r="K79" s="368">
        <f t="shared" si="16"/>
        <v>0</v>
      </c>
      <c r="L79" s="372">
        <f t="shared" si="17"/>
        <v>0</v>
      </c>
      <c r="M79" s="113">
        <f>L79*D79*'B) D RI'!S81</f>
        <v>0</v>
      </c>
    </row>
    <row r="80" spans="1:13" x14ac:dyDescent="0.25">
      <c r="A80" s="296">
        <f>'A) Base RI'!A82</f>
        <v>5521</v>
      </c>
      <c r="B80" s="32" t="str">
        <f>'A) Base RI'!B82</f>
        <v>Etagnières</v>
      </c>
      <c r="C80" s="294">
        <f>'B) D RI'!U82</f>
        <v>46797.314657534247</v>
      </c>
      <c r="D80" s="32">
        <f>'B) D RI'!AA82</f>
        <v>1148</v>
      </c>
      <c r="E80" s="200">
        <f t="shared" si="10"/>
        <v>40.764211374158755</v>
      </c>
      <c r="F80" s="365">
        <f t="shared" si="11"/>
        <v>0.84626860213484856</v>
      </c>
      <c r="G80" s="376">
        <f t="shared" si="12"/>
        <v>0</v>
      </c>
      <c r="H80" s="373">
        <f t="shared" si="13"/>
        <v>0</v>
      </c>
      <c r="I80" s="376">
        <f t="shared" si="14"/>
        <v>0</v>
      </c>
      <c r="J80" s="373">
        <f t="shared" si="15"/>
        <v>0</v>
      </c>
      <c r="K80" s="368">
        <f t="shared" si="16"/>
        <v>0</v>
      </c>
      <c r="L80" s="372">
        <f t="shared" si="17"/>
        <v>0</v>
      </c>
      <c r="M80" s="113">
        <f>L80*D80*'B) D RI'!S82</f>
        <v>0</v>
      </c>
    </row>
    <row r="81" spans="1:13" x14ac:dyDescent="0.25">
      <c r="A81" s="296">
        <f>'A) Base RI'!A83</f>
        <v>5522</v>
      </c>
      <c r="B81" s="32" t="str">
        <f>'A) Base RI'!B83</f>
        <v>Fey</v>
      </c>
      <c r="C81" s="294">
        <f>'B) D RI'!U83</f>
        <v>23726.940933333331</v>
      </c>
      <c r="D81" s="32">
        <f>'B) D RI'!AA83</f>
        <v>749</v>
      </c>
      <c r="E81" s="200">
        <f t="shared" si="10"/>
        <v>31.678158789497104</v>
      </c>
      <c r="F81" s="365">
        <f t="shared" si="11"/>
        <v>0.65764135385647993</v>
      </c>
      <c r="G81" s="376">
        <f t="shared" si="12"/>
        <v>0</v>
      </c>
      <c r="H81" s="373">
        <f t="shared" si="13"/>
        <v>0</v>
      </c>
      <c r="I81" s="376">
        <f t="shared" si="14"/>
        <v>0</v>
      </c>
      <c r="J81" s="373">
        <f t="shared" si="15"/>
        <v>0</v>
      </c>
      <c r="K81" s="368">
        <f t="shared" si="16"/>
        <v>0</v>
      </c>
      <c r="L81" s="372">
        <f t="shared" si="17"/>
        <v>0</v>
      </c>
      <c r="M81" s="113">
        <f>L81*D81*'B) D RI'!S83</f>
        <v>0</v>
      </c>
    </row>
    <row r="82" spans="1:13" x14ac:dyDescent="0.25">
      <c r="A82" s="296">
        <f>'A) Base RI'!A84</f>
        <v>5523</v>
      </c>
      <c r="B82" s="32" t="str">
        <f>'A) Base RI'!B84</f>
        <v>Froideville</v>
      </c>
      <c r="C82" s="294">
        <f>'B) D RI'!U84</f>
        <v>85868.846805555557</v>
      </c>
      <c r="D82" s="32">
        <f>'B) D RI'!AA84</f>
        <v>2694</v>
      </c>
      <c r="E82" s="200">
        <f t="shared" si="10"/>
        <v>31.874107945640517</v>
      </c>
      <c r="F82" s="365">
        <f t="shared" si="11"/>
        <v>0.66170927551788383</v>
      </c>
      <c r="G82" s="376">
        <f t="shared" si="12"/>
        <v>0</v>
      </c>
      <c r="H82" s="373">
        <f t="shared" si="13"/>
        <v>0</v>
      </c>
      <c r="I82" s="376">
        <f t="shared" si="14"/>
        <v>0</v>
      </c>
      <c r="J82" s="373">
        <f t="shared" si="15"/>
        <v>0</v>
      </c>
      <c r="K82" s="368">
        <f t="shared" si="16"/>
        <v>0</v>
      </c>
      <c r="L82" s="372">
        <f t="shared" si="17"/>
        <v>0</v>
      </c>
      <c r="M82" s="113">
        <f>L82*D82*'B) D RI'!S84</f>
        <v>0</v>
      </c>
    </row>
    <row r="83" spans="1:13" x14ac:dyDescent="0.25">
      <c r="A83" s="296">
        <f>'A) Base RI'!A85</f>
        <v>5527</v>
      </c>
      <c r="B83" s="32" t="str">
        <f>'A) Base RI'!B85</f>
        <v>Morrens</v>
      </c>
      <c r="C83" s="294">
        <f>'B) D RI'!U85</f>
        <v>40564.204594594594</v>
      </c>
      <c r="D83" s="32">
        <f>'B) D RI'!AA85</f>
        <v>1153</v>
      </c>
      <c r="E83" s="200">
        <f t="shared" si="10"/>
        <v>35.181443707367386</v>
      </c>
      <c r="F83" s="365">
        <f t="shared" si="11"/>
        <v>0.73036985590240877</v>
      </c>
      <c r="G83" s="376">
        <f t="shared" si="12"/>
        <v>0</v>
      </c>
      <c r="H83" s="373">
        <f t="shared" si="13"/>
        <v>0</v>
      </c>
      <c r="I83" s="376">
        <f t="shared" si="14"/>
        <v>0</v>
      </c>
      <c r="J83" s="373">
        <f t="shared" si="15"/>
        <v>0</v>
      </c>
      <c r="K83" s="368">
        <f t="shared" si="16"/>
        <v>0</v>
      </c>
      <c r="L83" s="372">
        <f t="shared" si="17"/>
        <v>0</v>
      </c>
      <c r="M83" s="113">
        <f>L83*D83*'B) D RI'!S85</f>
        <v>0</v>
      </c>
    </row>
    <row r="84" spans="1:13" x14ac:dyDescent="0.25">
      <c r="A84" s="296">
        <f>'A) Base RI'!A86</f>
        <v>5529</v>
      </c>
      <c r="B84" s="32" t="str">
        <f>'A) Base RI'!B86</f>
        <v>Oulens-sous-Echallens</v>
      </c>
      <c r="C84" s="294">
        <f>'B) D RI'!U86</f>
        <v>20201.245428571427</v>
      </c>
      <c r="D84" s="32">
        <f>'B) D RI'!AA86</f>
        <v>618</v>
      </c>
      <c r="E84" s="200">
        <f t="shared" si="10"/>
        <v>32.688099398982892</v>
      </c>
      <c r="F84" s="365">
        <f t="shared" si="11"/>
        <v>0.67860780945607369</v>
      </c>
      <c r="G84" s="376">
        <f t="shared" si="12"/>
        <v>0</v>
      </c>
      <c r="H84" s="373">
        <f t="shared" si="13"/>
        <v>0</v>
      </c>
      <c r="I84" s="376">
        <f t="shared" si="14"/>
        <v>0</v>
      </c>
      <c r="J84" s="373">
        <f t="shared" si="15"/>
        <v>0</v>
      </c>
      <c r="K84" s="368">
        <f t="shared" si="16"/>
        <v>0</v>
      </c>
      <c r="L84" s="372">
        <f t="shared" si="17"/>
        <v>0</v>
      </c>
      <c r="M84" s="113">
        <f>L84*D84*'B) D RI'!S86</f>
        <v>0</v>
      </c>
    </row>
    <row r="85" spans="1:13" x14ac:dyDescent="0.25">
      <c r="A85" s="296">
        <f>'A) Base RI'!A87</f>
        <v>5530</v>
      </c>
      <c r="B85" s="32" t="str">
        <f>'A) Base RI'!B87</f>
        <v>Pailly</v>
      </c>
      <c r="C85" s="294">
        <f>'B) D RI'!U87</f>
        <v>18302.009495614031</v>
      </c>
      <c r="D85" s="32">
        <f>'B) D RI'!AA87</f>
        <v>567</v>
      </c>
      <c r="E85" s="200">
        <f t="shared" si="10"/>
        <v>32.278676359107635</v>
      </c>
      <c r="F85" s="365">
        <f t="shared" si="11"/>
        <v>0.67010815125204726</v>
      </c>
      <c r="G85" s="376">
        <f t="shared" si="12"/>
        <v>0</v>
      </c>
      <c r="H85" s="373">
        <f t="shared" si="13"/>
        <v>0</v>
      </c>
      <c r="I85" s="376">
        <f t="shared" si="14"/>
        <v>0</v>
      </c>
      <c r="J85" s="373">
        <f t="shared" si="15"/>
        <v>0</v>
      </c>
      <c r="K85" s="368">
        <f t="shared" si="16"/>
        <v>0</v>
      </c>
      <c r="L85" s="372">
        <f t="shared" si="17"/>
        <v>0</v>
      </c>
      <c r="M85" s="113">
        <f>L85*D85*'B) D RI'!S87</f>
        <v>0</v>
      </c>
    </row>
    <row r="86" spans="1:13" x14ac:dyDescent="0.25">
      <c r="A86" s="296">
        <f>'A) Base RI'!A88</f>
        <v>5531</v>
      </c>
      <c r="B86" s="32" t="str">
        <f>'A) Base RI'!B88</f>
        <v>Penthéréaz</v>
      </c>
      <c r="C86" s="294">
        <f>'B) D RI'!U88</f>
        <v>13843.062702702704</v>
      </c>
      <c r="D86" s="32">
        <f>'B) D RI'!AA88</f>
        <v>419</v>
      </c>
      <c r="E86" s="200">
        <f t="shared" si="10"/>
        <v>33.038335805973041</v>
      </c>
      <c r="F86" s="365">
        <f t="shared" si="11"/>
        <v>0.68587874797220982</v>
      </c>
      <c r="G86" s="376">
        <f t="shared" si="12"/>
        <v>0</v>
      </c>
      <c r="H86" s="373">
        <f t="shared" si="13"/>
        <v>0</v>
      </c>
      <c r="I86" s="376">
        <f t="shared" si="14"/>
        <v>0</v>
      </c>
      <c r="J86" s="373">
        <f t="shared" si="15"/>
        <v>0</v>
      </c>
      <c r="K86" s="368">
        <f t="shared" si="16"/>
        <v>0</v>
      </c>
      <c r="L86" s="372">
        <f t="shared" si="17"/>
        <v>0</v>
      </c>
      <c r="M86" s="113">
        <f>L86*D86*'B) D RI'!S88</f>
        <v>0</v>
      </c>
    </row>
    <row r="87" spans="1:13" x14ac:dyDescent="0.25">
      <c r="A87" s="296">
        <f>'A) Base RI'!A89</f>
        <v>5533</v>
      </c>
      <c r="B87" s="32" t="str">
        <f>'A) Base RI'!B89</f>
        <v>Poliez-Pittet</v>
      </c>
      <c r="C87" s="294">
        <f>'B) D RI'!U89</f>
        <v>27190.167945205478</v>
      </c>
      <c r="D87" s="32">
        <f>'B) D RI'!AA89</f>
        <v>829</v>
      </c>
      <c r="E87" s="200">
        <f t="shared" si="10"/>
        <v>32.79875506056149</v>
      </c>
      <c r="F87" s="365">
        <f t="shared" si="11"/>
        <v>0.68090503069219432</v>
      </c>
      <c r="G87" s="376">
        <f t="shared" si="12"/>
        <v>0</v>
      </c>
      <c r="H87" s="373">
        <f t="shared" si="13"/>
        <v>0</v>
      </c>
      <c r="I87" s="376">
        <f t="shared" si="14"/>
        <v>0</v>
      </c>
      <c r="J87" s="373">
        <f t="shared" si="15"/>
        <v>0</v>
      </c>
      <c r="K87" s="368">
        <f t="shared" si="16"/>
        <v>0</v>
      </c>
      <c r="L87" s="372">
        <f t="shared" si="17"/>
        <v>0</v>
      </c>
      <c r="M87" s="113">
        <f>L87*D87*'B) D RI'!S89</f>
        <v>0</v>
      </c>
    </row>
    <row r="88" spans="1:13" x14ac:dyDescent="0.25">
      <c r="A88" s="296">
        <f>'A) Base RI'!A90</f>
        <v>5534</v>
      </c>
      <c r="B88" s="32" t="str">
        <f>'A) Base RI'!B90</f>
        <v>Rueyres</v>
      </c>
      <c r="C88" s="294">
        <f>'B) D RI'!U90</f>
        <v>9755.351210045661</v>
      </c>
      <c r="D88" s="32">
        <f>'B) D RI'!AA90</f>
        <v>266</v>
      </c>
      <c r="E88" s="200">
        <f t="shared" si="10"/>
        <v>36.67425266934459</v>
      </c>
      <c r="F88" s="365">
        <f t="shared" si="11"/>
        <v>0.7613607008352673</v>
      </c>
      <c r="G88" s="376">
        <f t="shared" si="12"/>
        <v>0</v>
      </c>
      <c r="H88" s="373">
        <f t="shared" si="13"/>
        <v>0</v>
      </c>
      <c r="I88" s="376">
        <f t="shared" si="14"/>
        <v>0</v>
      </c>
      <c r="J88" s="373">
        <f t="shared" si="15"/>
        <v>0</v>
      </c>
      <c r="K88" s="368">
        <f t="shared" si="16"/>
        <v>0</v>
      </c>
      <c r="L88" s="372">
        <f t="shared" si="17"/>
        <v>0</v>
      </c>
      <c r="M88" s="113">
        <f>L88*D88*'B) D RI'!S90</f>
        <v>0</v>
      </c>
    </row>
    <row r="89" spans="1:13" x14ac:dyDescent="0.25">
      <c r="A89" s="296">
        <f>'A) Base RI'!A91</f>
        <v>5535</v>
      </c>
      <c r="B89" s="32" t="str">
        <f>'A) Base RI'!B91</f>
        <v>Saint-Barthélemy</v>
      </c>
      <c r="C89" s="294">
        <f>'B) D RI'!U91</f>
        <v>22496.850133333337</v>
      </c>
      <c r="D89" s="32">
        <f>'B) D RI'!AA91</f>
        <v>784</v>
      </c>
      <c r="E89" s="200">
        <f t="shared" si="10"/>
        <v>28.694961904761911</v>
      </c>
      <c r="F89" s="365">
        <f t="shared" si="11"/>
        <v>0.59570992497721864</v>
      </c>
      <c r="G89" s="376">
        <f t="shared" si="12"/>
        <v>0</v>
      </c>
      <c r="H89" s="373">
        <f t="shared" si="13"/>
        <v>0</v>
      </c>
      <c r="I89" s="376">
        <f t="shared" si="14"/>
        <v>0</v>
      </c>
      <c r="J89" s="373">
        <f t="shared" si="15"/>
        <v>0</v>
      </c>
      <c r="K89" s="368">
        <f t="shared" si="16"/>
        <v>0</v>
      </c>
      <c r="L89" s="372">
        <f t="shared" si="17"/>
        <v>0</v>
      </c>
      <c r="M89" s="113">
        <f>L89*D89*'B) D RI'!S91</f>
        <v>0</v>
      </c>
    </row>
    <row r="90" spans="1:13" x14ac:dyDescent="0.25">
      <c r="A90" s="296">
        <f>'A) Base RI'!A92</f>
        <v>5537</v>
      </c>
      <c r="B90" s="32" t="str">
        <f>'A) Base RI'!B92</f>
        <v>Villars-le-Terroir</v>
      </c>
      <c r="C90" s="294">
        <f>'B) D RI'!U92</f>
        <v>37963.269999999997</v>
      </c>
      <c r="D90" s="32">
        <f>'B) D RI'!AA92</f>
        <v>1281</v>
      </c>
      <c r="E90" s="200">
        <f t="shared" si="10"/>
        <v>29.635651834504291</v>
      </c>
      <c r="F90" s="365">
        <f t="shared" si="11"/>
        <v>0.6152387303937773</v>
      </c>
      <c r="G90" s="376">
        <f t="shared" si="12"/>
        <v>0</v>
      </c>
      <c r="H90" s="373">
        <f t="shared" si="13"/>
        <v>0</v>
      </c>
      <c r="I90" s="376">
        <f t="shared" si="14"/>
        <v>0</v>
      </c>
      <c r="J90" s="373">
        <f t="shared" si="15"/>
        <v>0</v>
      </c>
      <c r="K90" s="368">
        <f t="shared" si="16"/>
        <v>0</v>
      </c>
      <c r="L90" s="372">
        <f t="shared" si="17"/>
        <v>0</v>
      </c>
      <c r="M90" s="113">
        <f>L90*D90*'B) D RI'!S92</f>
        <v>0</v>
      </c>
    </row>
    <row r="91" spans="1:13" x14ac:dyDescent="0.25">
      <c r="A91" s="296">
        <f>'A) Base RI'!A93</f>
        <v>5539</v>
      </c>
      <c r="B91" s="32" t="str">
        <f>'A) Base RI'!B93</f>
        <v>Vuarrens</v>
      </c>
      <c r="C91" s="294">
        <f>'B) D RI'!U93</f>
        <v>35961.61534013605</v>
      </c>
      <c r="D91" s="32">
        <f>'B) D RI'!AA93</f>
        <v>1060</v>
      </c>
      <c r="E91" s="200">
        <f t="shared" si="10"/>
        <v>33.926052207675518</v>
      </c>
      <c r="F91" s="365">
        <f t="shared" si="11"/>
        <v>0.70430781830219935</v>
      </c>
      <c r="G91" s="376">
        <f t="shared" si="12"/>
        <v>0</v>
      </c>
      <c r="H91" s="373">
        <f t="shared" si="13"/>
        <v>0</v>
      </c>
      <c r="I91" s="376">
        <f t="shared" si="14"/>
        <v>0</v>
      </c>
      <c r="J91" s="373">
        <f t="shared" si="15"/>
        <v>0</v>
      </c>
      <c r="K91" s="368">
        <f t="shared" si="16"/>
        <v>0</v>
      </c>
      <c r="L91" s="372">
        <f t="shared" si="17"/>
        <v>0</v>
      </c>
      <c r="M91" s="113">
        <f>L91*D91*'B) D RI'!S93</f>
        <v>0</v>
      </c>
    </row>
    <row r="92" spans="1:13" x14ac:dyDescent="0.25">
      <c r="A92" s="296">
        <f>'A) Base RI'!A94</f>
        <v>5540</v>
      </c>
      <c r="B92" s="32" t="str">
        <f>'A) Base RI'!B94</f>
        <v>Montilliez</v>
      </c>
      <c r="C92" s="294">
        <f>'B) D RI'!U94</f>
        <v>66256.548551724132</v>
      </c>
      <c r="D92" s="32">
        <f>'B) D RI'!AA94</f>
        <v>1857</v>
      </c>
      <c r="E92" s="200">
        <f t="shared" si="10"/>
        <v>35.679347631515419</v>
      </c>
      <c r="F92" s="365">
        <f t="shared" si="11"/>
        <v>0.74070638502151054</v>
      </c>
      <c r="G92" s="376">
        <f t="shared" si="12"/>
        <v>0</v>
      </c>
      <c r="H92" s="373">
        <f t="shared" si="13"/>
        <v>0</v>
      </c>
      <c r="I92" s="376">
        <f t="shared" si="14"/>
        <v>0</v>
      </c>
      <c r="J92" s="373">
        <f t="shared" si="15"/>
        <v>0</v>
      </c>
      <c r="K92" s="368">
        <f t="shared" si="16"/>
        <v>0</v>
      </c>
      <c r="L92" s="372">
        <f t="shared" si="17"/>
        <v>0</v>
      </c>
      <c r="M92" s="113">
        <f>L92*D92*'B) D RI'!S94</f>
        <v>0</v>
      </c>
    </row>
    <row r="93" spans="1:13" x14ac:dyDescent="0.25">
      <c r="A93" s="296">
        <f>'A) Base RI'!A95</f>
        <v>5541</v>
      </c>
      <c r="B93" s="32" t="str">
        <f>'A) Base RI'!B95</f>
        <v>Goumoëns</v>
      </c>
      <c r="C93" s="294">
        <f>'B) D RI'!U95</f>
        <v>36998.611258278142</v>
      </c>
      <c r="D93" s="32">
        <f>'B) D RI'!AA95</f>
        <v>1153</v>
      </c>
      <c r="E93" s="200">
        <f t="shared" si="10"/>
        <v>32.088995020189195</v>
      </c>
      <c r="F93" s="365">
        <f t="shared" si="11"/>
        <v>0.66617035002576541</v>
      </c>
      <c r="G93" s="376">
        <f t="shared" si="12"/>
        <v>0</v>
      </c>
      <c r="H93" s="373">
        <f t="shared" si="13"/>
        <v>0</v>
      </c>
      <c r="I93" s="376">
        <f t="shared" si="14"/>
        <v>0</v>
      </c>
      <c r="J93" s="373">
        <f t="shared" si="15"/>
        <v>0</v>
      </c>
      <c r="K93" s="368">
        <f t="shared" si="16"/>
        <v>0</v>
      </c>
      <c r="L93" s="372">
        <f t="shared" si="17"/>
        <v>0</v>
      </c>
      <c r="M93" s="113">
        <f>L93*D93*'B) D RI'!S95</f>
        <v>0</v>
      </c>
    </row>
    <row r="94" spans="1:13" x14ac:dyDescent="0.25">
      <c r="A94" s="296">
        <f>'A) Base RI'!A96</f>
        <v>5551</v>
      </c>
      <c r="B94" s="32" t="str">
        <f>'A) Base RI'!B96</f>
        <v>Bonvillars</v>
      </c>
      <c r="C94" s="294">
        <f>'B) D RI'!U96</f>
        <v>19156.634727272725</v>
      </c>
      <c r="D94" s="32">
        <f>'B) D RI'!AA96</f>
        <v>489</v>
      </c>
      <c r="E94" s="200">
        <f t="shared" si="10"/>
        <v>39.175122141662015</v>
      </c>
      <c r="F94" s="365">
        <f t="shared" si="11"/>
        <v>0.81327897034461971</v>
      </c>
      <c r="G94" s="376">
        <f t="shared" si="12"/>
        <v>0</v>
      </c>
      <c r="H94" s="373">
        <f t="shared" si="13"/>
        <v>0</v>
      </c>
      <c r="I94" s="376">
        <f t="shared" si="14"/>
        <v>0</v>
      </c>
      <c r="J94" s="373">
        <f t="shared" si="15"/>
        <v>0</v>
      </c>
      <c r="K94" s="368">
        <f t="shared" si="16"/>
        <v>0</v>
      </c>
      <c r="L94" s="372">
        <f t="shared" si="17"/>
        <v>0</v>
      </c>
      <c r="M94" s="113">
        <f>L94*D94*'B) D RI'!S96</f>
        <v>0</v>
      </c>
    </row>
    <row r="95" spans="1:13" x14ac:dyDescent="0.25">
      <c r="A95" s="296">
        <f>'A) Base RI'!A97</f>
        <v>5552</v>
      </c>
      <c r="B95" s="32" t="str">
        <f>'A) Base RI'!B97</f>
        <v>Bullet</v>
      </c>
      <c r="C95" s="294">
        <f>'B) D RI'!U97</f>
        <v>17556.417482517485</v>
      </c>
      <c r="D95" s="32">
        <f>'B) D RI'!AA97</f>
        <v>657</v>
      </c>
      <c r="E95" s="200">
        <f t="shared" si="10"/>
        <v>26.722096624836354</v>
      </c>
      <c r="F95" s="365">
        <f t="shared" si="11"/>
        <v>0.55475306879475472</v>
      </c>
      <c r="G95" s="376">
        <f t="shared" si="12"/>
        <v>0</v>
      </c>
      <c r="H95" s="373">
        <f t="shared" si="13"/>
        <v>0</v>
      </c>
      <c r="I95" s="376">
        <f t="shared" si="14"/>
        <v>0</v>
      </c>
      <c r="J95" s="373">
        <f t="shared" si="15"/>
        <v>0</v>
      </c>
      <c r="K95" s="368">
        <f t="shared" si="16"/>
        <v>0</v>
      </c>
      <c r="L95" s="372">
        <f t="shared" si="17"/>
        <v>0</v>
      </c>
      <c r="M95" s="113">
        <f>L95*D95*'B) D RI'!S97</f>
        <v>0</v>
      </c>
    </row>
    <row r="96" spans="1:13" x14ac:dyDescent="0.25">
      <c r="A96" s="296">
        <f>'A) Base RI'!A98</f>
        <v>5553</v>
      </c>
      <c r="B96" s="32" t="str">
        <f>'A) Base RI'!B98</f>
        <v>Champagne</v>
      </c>
      <c r="C96" s="294">
        <f>'B) D RI'!U98</f>
        <v>38681.377846153839</v>
      </c>
      <c r="D96" s="32">
        <f>'B) D RI'!AA98</f>
        <v>1061</v>
      </c>
      <c r="E96" s="200">
        <f t="shared" si="10"/>
        <v>36.457472051040376</v>
      </c>
      <c r="F96" s="365">
        <f t="shared" si="11"/>
        <v>0.75686031619300409</v>
      </c>
      <c r="G96" s="376">
        <f t="shared" si="12"/>
        <v>0</v>
      </c>
      <c r="H96" s="373">
        <f t="shared" si="13"/>
        <v>0</v>
      </c>
      <c r="I96" s="376">
        <f t="shared" si="14"/>
        <v>0</v>
      </c>
      <c r="J96" s="373">
        <f t="shared" si="15"/>
        <v>0</v>
      </c>
      <c r="K96" s="368">
        <f t="shared" si="16"/>
        <v>0</v>
      </c>
      <c r="L96" s="372">
        <f t="shared" si="17"/>
        <v>0</v>
      </c>
      <c r="M96" s="113">
        <f>L96*D96*'B) D RI'!S98</f>
        <v>0</v>
      </c>
    </row>
    <row r="97" spans="1:13" x14ac:dyDescent="0.25">
      <c r="A97" s="296">
        <f>'A) Base RI'!A99</f>
        <v>5554</v>
      </c>
      <c r="B97" s="32" t="str">
        <f>'A) Base RI'!B99</f>
        <v>Concise</v>
      </c>
      <c r="C97" s="294">
        <f>'B) D RI'!U99</f>
        <v>32327.871066666674</v>
      </c>
      <c r="D97" s="32">
        <f>'B) D RI'!AA99</f>
        <v>1001</v>
      </c>
      <c r="E97" s="200">
        <f t="shared" si="10"/>
        <v>32.295575491175498</v>
      </c>
      <c r="F97" s="365">
        <f t="shared" si="11"/>
        <v>0.6704589787154096</v>
      </c>
      <c r="G97" s="376">
        <f t="shared" si="12"/>
        <v>0</v>
      </c>
      <c r="H97" s="373">
        <f t="shared" si="13"/>
        <v>0</v>
      </c>
      <c r="I97" s="376">
        <f t="shared" si="14"/>
        <v>0</v>
      </c>
      <c r="J97" s="373">
        <f t="shared" si="15"/>
        <v>0</v>
      </c>
      <c r="K97" s="368">
        <f t="shared" si="16"/>
        <v>0</v>
      </c>
      <c r="L97" s="372">
        <f t="shared" si="17"/>
        <v>0</v>
      </c>
      <c r="M97" s="113">
        <f>L97*D97*'B) D RI'!S99</f>
        <v>0</v>
      </c>
    </row>
    <row r="98" spans="1:13" x14ac:dyDescent="0.25">
      <c r="A98" s="296">
        <f>'A) Base RI'!A100</f>
        <v>5555</v>
      </c>
      <c r="B98" s="32" t="str">
        <f>'A) Base RI'!B100</f>
        <v>Corcelles-près-Concise</v>
      </c>
      <c r="C98" s="294">
        <f>'B) D RI'!U100</f>
        <v>13599.529565217395</v>
      </c>
      <c r="D98" s="32">
        <f>'B) D RI'!AA100</f>
        <v>419</v>
      </c>
      <c r="E98" s="200">
        <f t="shared" si="10"/>
        <v>32.457111134170397</v>
      </c>
      <c r="F98" s="365">
        <f t="shared" si="11"/>
        <v>0.67381247282664136</v>
      </c>
      <c r="G98" s="376">
        <f t="shared" si="12"/>
        <v>0</v>
      </c>
      <c r="H98" s="373">
        <f t="shared" si="13"/>
        <v>0</v>
      </c>
      <c r="I98" s="376">
        <f t="shared" si="14"/>
        <v>0</v>
      </c>
      <c r="J98" s="373">
        <f t="shared" si="15"/>
        <v>0</v>
      </c>
      <c r="K98" s="368">
        <f t="shared" si="16"/>
        <v>0</v>
      </c>
      <c r="L98" s="372">
        <f t="shared" si="17"/>
        <v>0</v>
      </c>
      <c r="M98" s="113">
        <f>L98*D98*'B) D RI'!S100</f>
        <v>0</v>
      </c>
    </row>
    <row r="99" spans="1:13" x14ac:dyDescent="0.25">
      <c r="A99" s="296">
        <f>'A) Base RI'!A101</f>
        <v>5556</v>
      </c>
      <c r="B99" s="32" t="str">
        <f>'A) Base RI'!B101</f>
        <v>Fiez</v>
      </c>
      <c r="C99" s="294">
        <f>'B) D RI'!U101</f>
        <v>13816.427753623188</v>
      </c>
      <c r="D99" s="32">
        <f>'B) D RI'!AA101</f>
        <v>451</v>
      </c>
      <c r="E99" s="200">
        <f t="shared" si="10"/>
        <v>30.635094797390661</v>
      </c>
      <c r="F99" s="365">
        <f t="shared" si="11"/>
        <v>0.63598725392958466</v>
      </c>
      <c r="G99" s="376">
        <f t="shared" si="12"/>
        <v>0</v>
      </c>
      <c r="H99" s="373">
        <f t="shared" si="13"/>
        <v>0</v>
      </c>
      <c r="I99" s="376">
        <f t="shared" si="14"/>
        <v>0</v>
      </c>
      <c r="J99" s="373">
        <f t="shared" si="15"/>
        <v>0</v>
      </c>
      <c r="K99" s="368">
        <f t="shared" si="16"/>
        <v>0</v>
      </c>
      <c r="L99" s="372">
        <f t="shared" si="17"/>
        <v>0</v>
      </c>
      <c r="M99" s="113">
        <f>L99*D99*'B) D RI'!S101</f>
        <v>0</v>
      </c>
    </row>
    <row r="100" spans="1:13" x14ac:dyDescent="0.25">
      <c r="A100" s="296">
        <f>'A) Base RI'!A102</f>
        <v>5557</v>
      </c>
      <c r="B100" s="32" t="str">
        <f>'A) Base RI'!B102</f>
        <v>Fontaines-sur-Grandson</v>
      </c>
      <c r="C100" s="294">
        <f>'B) D RI'!U102</f>
        <v>5880.3275362318818</v>
      </c>
      <c r="D100" s="32">
        <f>'B) D RI'!AA102</f>
        <v>219</v>
      </c>
      <c r="E100" s="200">
        <f t="shared" si="10"/>
        <v>26.850810667725487</v>
      </c>
      <c r="F100" s="365">
        <f t="shared" si="11"/>
        <v>0.55742518361015292</v>
      </c>
      <c r="G100" s="376">
        <f t="shared" si="12"/>
        <v>0</v>
      </c>
      <c r="H100" s="373">
        <f t="shared" si="13"/>
        <v>0</v>
      </c>
      <c r="I100" s="376">
        <f t="shared" si="14"/>
        <v>0</v>
      </c>
      <c r="J100" s="373">
        <f t="shared" si="15"/>
        <v>0</v>
      </c>
      <c r="K100" s="368">
        <f t="shared" si="16"/>
        <v>0</v>
      </c>
      <c r="L100" s="372">
        <f t="shared" si="17"/>
        <v>0</v>
      </c>
      <c r="M100" s="113">
        <f>L100*D100*'B) D RI'!S102</f>
        <v>0</v>
      </c>
    </row>
    <row r="101" spans="1:13" x14ac:dyDescent="0.25">
      <c r="A101" s="296">
        <f>'A) Base RI'!A103</f>
        <v>5559</v>
      </c>
      <c r="B101" s="32" t="str">
        <f>'A) Base RI'!B103</f>
        <v>Giez</v>
      </c>
      <c r="C101" s="294">
        <f>'B) D RI'!U103</f>
        <v>16897.618636363641</v>
      </c>
      <c r="D101" s="32">
        <f>'B) D RI'!AA103</f>
        <v>414</v>
      </c>
      <c r="E101" s="200">
        <f t="shared" si="10"/>
        <v>40.815503952569181</v>
      </c>
      <c r="F101" s="365">
        <f t="shared" si="11"/>
        <v>0.84733344055973225</v>
      </c>
      <c r="G101" s="376">
        <f t="shared" si="12"/>
        <v>0</v>
      </c>
      <c r="H101" s="373">
        <f t="shared" si="13"/>
        <v>0</v>
      </c>
      <c r="I101" s="376">
        <f t="shared" si="14"/>
        <v>0</v>
      </c>
      <c r="J101" s="373">
        <f t="shared" si="15"/>
        <v>0</v>
      </c>
      <c r="K101" s="368">
        <f t="shared" si="16"/>
        <v>0</v>
      </c>
      <c r="L101" s="372">
        <f t="shared" si="17"/>
        <v>0</v>
      </c>
      <c r="M101" s="113">
        <f>L101*D101*'B) D RI'!S103</f>
        <v>0</v>
      </c>
    </row>
    <row r="102" spans="1:13" x14ac:dyDescent="0.25">
      <c r="A102" s="296">
        <f>'A) Base RI'!A104</f>
        <v>5560</v>
      </c>
      <c r="B102" s="32" t="str">
        <f>'A) Base RI'!B104</f>
        <v>Grandevent</v>
      </c>
      <c r="C102" s="294">
        <f>'B) D RI'!U104</f>
        <v>6167.8957352941179</v>
      </c>
      <c r="D102" s="32">
        <f>'B) D RI'!AA104</f>
        <v>226</v>
      </c>
      <c r="E102" s="200">
        <f t="shared" si="10"/>
        <v>27.291574049973974</v>
      </c>
      <c r="F102" s="365">
        <f t="shared" si="11"/>
        <v>0.56657547006961595</v>
      </c>
      <c r="G102" s="376">
        <f t="shared" si="12"/>
        <v>0</v>
      </c>
      <c r="H102" s="373">
        <f t="shared" si="13"/>
        <v>0</v>
      </c>
      <c r="I102" s="376">
        <f t="shared" si="14"/>
        <v>0</v>
      </c>
      <c r="J102" s="373">
        <f t="shared" si="15"/>
        <v>0</v>
      </c>
      <c r="K102" s="368">
        <f t="shared" si="16"/>
        <v>0</v>
      </c>
      <c r="L102" s="372">
        <f t="shared" si="17"/>
        <v>0</v>
      </c>
      <c r="M102" s="113">
        <f>L102*D102*'B) D RI'!S104</f>
        <v>0</v>
      </c>
    </row>
    <row r="103" spans="1:13" x14ac:dyDescent="0.25">
      <c r="A103" s="296">
        <f>'A) Base RI'!A105</f>
        <v>5561</v>
      </c>
      <c r="B103" s="32" t="str">
        <f>'A) Base RI'!B105</f>
        <v>Grandson</v>
      </c>
      <c r="C103" s="294">
        <f>'B) D RI'!U105</f>
        <v>114753.11985507245</v>
      </c>
      <c r="D103" s="32">
        <f>'B) D RI'!AA105</f>
        <v>3356</v>
      </c>
      <c r="E103" s="200">
        <f t="shared" si="10"/>
        <v>34.193420695790358</v>
      </c>
      <c r="F103" s="365">
        <f t="shared" si="11"/>
        <v>0.709858411557029</v>
      </c>
      <c r="G103" s="376">
        <f t="shared" si="12"/>
        <v>0</v>
      </c>
      <c r="H103" s="373">
        <f t="shared" si="13"/>
        <v>0</v>
      </c>
      <c r="I103" s="376">
        <f t="shared" si="14"/>
        <v>0</v>
      </c>
      <c r="J103" s="373">
        <f t="shared" si="15"/>
        <v>0</v>
      </c>
      <c r="K103" s="368">
        <f t="shared" si="16"/>
        <v>0</v>
      </c>
      <c r="L103" s="372">
        <f t="shared" si="17"/>
        <v>0</v>
      </c>
      <c r="M103" s="113">
        <f>L103*D103*'B) D RI'!S105</f>
        <v>0</v>
      </c>
    </row>
    <row r="104" spans="1:13" x14ac:dyDescent="0.25">
      <c r="A104" s="296">
        <f>'A) Base RI'!A106</f>
        <v>5562</v>
      </c>
      <c r="B104" s="32" t="str">
        <f>'A) Base RI'!B106</f>
        <v>Mauborget</v>
      </c>
      <c r="C104" s="294">
        <f>'B) D RI'!U106</f>
        <v>6037.1574285714287</v>
      </c>
      <c r="D104" s="32">
        <f>'B) D RI'!AA106</f>
        <v>128</v>
      </c>
      <c r="E104" s="200">
        <f t="shared" si="10"/>
        <v>47.165292410714287</v>
      </c>
      <c r="F104" s="365">
        <f t="shared" si="11"/>
        <v>0.97915560566931903</v>
      </c>
      <c r="G104" s="376">
        <f t="shared" si="12"/>
        <v>0</v>
      </c>
      <c r="H104" s="373">
        <f t="shared" si="13"/>
        <v>0</v>
      </c>
      <c r="I104" s="376">
        <f t="shared" si="14"/>
        <v>0</v>
      </c>
      <c r="J104" s="373">
        <f t="shared" si="15"/>
        <v>0</v>
      </c>
      <c r="K104" s="368">
        <f t="shared" si="16"/>
        <v>0</v>
      </c>
      <c r="L104" s="372">
        <f t="shared" si="17"/>
        <v>0</v>
      </c>
      <c r="M104" s="113">
        <f>L104*D104*'B) D RI'!S106</f>
        <v>0</v>
      </c>
    </row>
    <row r="105" spans="1:13" x14ac:dyDescent="0.25">
      <c r="A105" s="296">
        <f>'A) Base RI'!A107</f>
        <v>5563</v>
      </c>
      <c r="B105" s="32" t="str">
        <f>'A) Base RI'!B107</f>
        <v>Mutrux</v>
      </c>
      <c r="C105" s="294">
        <f>'B) D RI'!U107</f>
        <v>4073.5824999999995</v>
      </c>
      <c r="D105" s="32">
        <f>'B) D RI'!AA107</f>
        <v>149</v>
      </c>
      <c r="E105" s="200">
        <f t="shared" si="10"/>
        <v>27.339479865771811</v>
      </c>
      <c r="F105" s="365">
        <f t="shared" si="11"/>
        <v>0.56756999900572747</v>
      </c>
      <c r="G105" s="376">
        <f t="shared" si="12"/>
        <v>0</v>
      </c>
      <c r="H105" s="373">
        <f t="shared" si="13"/>
        <v>0</v>
      </c>
      <c r="I105" s="376">
        <f t="shared" si="14"/>
        <v>0</v>
      </c>
      <c r="J105" s="373">
        <f t="shared" si="15"/>
        <v>0</v>
      </c>
      <c r="K105" s="368">
        <f t="shared" si="16"/>
        <v>0</v>
      </c>
      <c r="L105" s="372">
        <f t="shared" si="17"/>
        <v>0</v>
      </c>
      <c r="M105" s="113">
        <f>L105*D105*'B) D RI'!S107</f>
        <v>0</v>
      </c>
    </row>
    <row r="106" spans="1:13" x14ac:dyDescent="0.25">
      <c r="A106" s="296">
        <f>'A) Base RI'!A108</f>
        <v>5564</v>
      </c>
      <c r="B106" s="32" t="str">
        <f>'A) Base RI'!B108</f>
        <v>Novalles</v>
      </c>
      <c r="C106" s="294">
        <f>'B) D RI'!U108</f>
        <v>2091.5044407894734</v>
      </c>
      <c r="D106" s="32">
        <f>'B) D RI'!AA108</f>
        <v>99</v>
      </c>
      <c r="E106" s="200">
        <f t="shared" si="10"/>
        <v>21.126307482721952</v>
      </c>
      <c r="F106" s="365">
        <f t="shared" si="11"/>
        <v>0.43858399559294931</v>
      </c>
      <c r="G106" s="376">
        <f t="shared" si="12"/>
        <v>0</v>
      </c>
      <c r="H106" s="373">
        <f t="shared" si="13"/>
        <v>0</v>
      </c>
      <c r="I106" s="376">
        <f t="shared" si="14"/>
        <v>0</v>
      </c>
      <c r="J106" s="373">
        <f t="shared" si="15"/>
        <v>0</v>
      </c>
      <c r="K106" s="368">
        <f t="shared" si="16"/>
        <v>0</v>
      </c>
      <c r="L106" s="372">
        <f t="shared" si="17"/>
        <v>0</v>
      </c>
      <c r="M106" s="113">
        <f>L106*D106*'B) D RI'!S108</f>
        <v>0</v>
      </c>
    </row>
    <row r="107" spans="1:13" x14ac:dyDescent="0.25">
      <c r="A107" s="296">
        <f>'A) Base RI'!A109</f>
        <v>5565</v>
      </c>
      <c r="B107" s="32" t="str">
        <f>'A) Base RI'!B109</f>
        <v>Onnens</v>
      </c>
      <c r="C107" s="294">
        <f>'B) D RI'!U109</f>
        <v>19690.582047244097</v>
      </c>
      <c r="D107" s="32">
        <f>'B) D RI'!AA109</f>
        <v>505</v>
      </c>
      <c r="E107" s="200">
        <f t="shared" si="10"/>
        <v>38.991251578701181</v>
      </c>
      <c r="F107" s="365">
        <f t="shared" si="11"/>
        <v>0.80946180133667833</v>
      </c>
      <c r="G107" s="376">
        <f t="shared" si="12"/>
        <v>0</v>
      </c>
      <c r="H107" s="373">
        <f t="shared" si="13"/>
        <v>0</v>
      </c>
      <c r="I107" s="376">
        <f t="shared" si="14"/>
        <v>0</v>
      </c>
      <c r="J107" s="373">
        <f t="shared" si="15"/>
        <v>0</v>
      </c>
      <c r="K107" s="368">
        <f t="shared" si="16"/>
        <v>0</v>
      </c>
      <c r="L107" s="372">
        <f t="shared" si="17"/>
        <v>0</v>
      </c>
      <c r="M107" s="113">
        <f>L107*D107*'B) D RI'!S109</f>
        <v>0</v>
      </c>
    </row>
    <row r="108" spans="1:13" x14ac:dyDescent="0.25">
      <c r="A108" s="296">
        <f>'A) Base RI'!A110</f>
        <v>5566</v>
      </c>
      <c r="B108" s="32" t="str">
        <f>'A) Base RI'!B110</f>
        <v>Provence</v>
      </c>
      <c r="C108" s="294">
        <f>'B) D RI'!U110</f>
        <v>7598.735102880657</v>
      </c>
      <c r="D108" s="32">
        <f>'B) D RI'!AA110</f>
        <v>392</v>
      </c>
      <c r="E108" s="200">
        <f t="shared" si="10"/>
        <v>19.384528323675145</v>
      </c>
      <c r="F108" s="365">
        <f t="shared" si="11"/>
        <v>0.40242450754043274</v>
      </c>
      <c r="G108" s="376">
        <f t="shared" si="12"/>
        <v>0</v>
      </c>
      <c r="H108" s="373">
        <f t="shared" si="13"/>
        <v>0</v>
      </c>
      <c r="I108" s="376">
        <f t="shared" si="14"/>
        <v>0</v>
      </c>
      <c r="J108" s="373">
        <f t="shared" si="15"/>
        <v>0</v>
      </c>
      <c r="K108" s="368">
        <f t="shared" si="16"/>
        <v>0</v>
      </c>
      <c r="L108" s="372">
        <f t="shared" si="17"/>
        <v>0</v>
      </c>
      <c r="M108" s="113">
        <f>L108*D108*'B) D RI'!S110</f>
        <v>0</v>
      </c>
    </row>
    <row r="109" spans="1:13" x14ac:dyDescent="0.25">
      <c r="A109" s="296">
        <f>'A) Base RI'!A111</f>
        <v>5568</v>
      </c>
      <c r="B109" s="32" t="str">
        <f>'A) Base RI'!B111</f>
        <v>Sainte-Croix</v>
      </c>
      <c r="C109" s="294">
        <f>'B) D RI'!U111</f>
        <v>106515.47628571428</v>
      </c>
      <c r="D109" s="32">
        <f>'B) D RI'!AA111</f>
        <v>4917</v>
      </c>
      <c r="E109" s="200">
        <f t="shared" si="10"/>
        <v>21.662696010924197</v>
      </c>
      <c r="F109" s="365">
        <f t="shared" si="11"/>
        <v>0.44971946846635896</v>
      </c>
      <c r="G109" s="376">
        <f t="shared" si="12"/>
        <v>0</v>
      </c>
      <c r="H109" s="373">
        <f t="shared" si="13"/>
        <v>0</v>
      </c>
      <c r="I109" s="376">
        <f t="shared" si="14"/>
        <v>0</v>
      </c>
      <c r="J109" s="373">
        <f t="shared" si="15"/>
        <v>0</v>
      </c>
      <c r="K109" s="368">
        <f t="shared" si="16"/>
        <v>0</v>
      </c>
      <c r="L109" s="372">
        <f t="shared" si="17"/>
        <v>0</v>
      </c>
      <c r="M109" s="113">
        <f>L109*D109*'B) D RI'!S111</f>
        <v>0</v>
      </c>
    </row>
    <row r="110" spans="1:13" x14ac:dyDescent="0.25">
      <c r="A110" s="296">
        <f>'A) Base RI'!A112</f>
        <v>5571</v>
      </c>
      <c r="B110" s="32" t="str">
        <f>'A) Base RI'!B112</f>
        <v>Tévenon</v>
      </c>
      <c r="C110" s="294">
        <f>'B) D RI'!U112</f>
        <v>21380.087226107229</v>
      </c>
      <c r="D110" s="32">
        <f>'B) D RI'!AA112</f>
        <v>894</v>
      </c>
      <c r="E110" s="200">
        <f t="shared" si="10"/>
        <v>23.915086382670278</v>
      </c>
      <c r="F110" s="365">
        <f t="shared" si="11"/>
        <v>0.4964792900624142</v>
      </c>
      <c r="G110" s="376">
        <f t="shared" si="12"/>
        <v>0</v>
      </c>
      <c r="H110" s="373">
        <f t="shared" si="13"/>
        <v>0</v>
      </c>
      <c r="I110" s="376">
        <f t="shared" si="14"/>
        <v>0</v>
      </c>
      <c r="J110" s="373">
        <f t="shared" si="15"/>
        <v>0</v>
      </c>
      <c r="K110" s="368">
        <f t="shared" si="16"/>
        <v>0</v>
      </c>
      <c r="L110" s="372">
        <f t="shared" si="17"/>
        <v>0</v>
      </c>
      <c r="M110" s="113">
        <f>L110*D110*'B) D RI'!S112</f>
        <v>0</v>
      </c>
    </row>
    <row r="111" spans="1:13" x14ac:dyDescent="0.25">
      <c r="A111" s="296">
        <f>'A) Base RI'!A113</f>
        <v>5581</v>
      </c>
      <c r="B111" s="32" t="str">
        <f>'A) Base RI'!B113</f>
        <v>Belmont-sur-Lausanne</v>
      </c>
      <c r="C111" s="294">
        <f>'B) D RI'!U113</f>
        <v>212445.65069444443</v>
      </c>
      <c r="D111" s="32">
        <f>'B) D RI'!AA113</f>
        <v>3756</v>
      </c>
      <c r="E111" s="200">
        <f t="shared" si="10"/>
        <v>56.561674838776469</v>
      </c>
      <c r="F111" s="365">
        <f t="shared" si="11"/>
        <v>1.1742253287048905</v>
      </c>
      <c r="G111" s="376">
        <f t="shared" si="12"/>
        <v>8.392321430976061</v>
      </c>
      <c r="H111" s="373">
        <f t="shared" si="13"/>
        <v>0</v>
      </c>
      <c r="I111" s="376">
        <f t="shared" si="14"/>
        <v>0</v>
      </c>
      <c r="J111" s="373">
        <f t="shared" si="15"/>
        <v>0</v>
      </c>
      <c r="K111" s="368">
        <f t="shared" si="16"/>
        <v>0</v>
      </c>
      <c r="L111" s="372">
        <f t="shared" si="17"/>
        <v>1.6784642861952124</v>
      </c>
      <c r="M111" s="113">
        <f>L111*D111*'B) D RI'!S113</f>
        <v>453910.45384434366</v>
      </c>
    </row>
    <row r="112" spans="1:13" x14ac:dyDescent="0.25">
      <c r="A112" s="296">
        <f>'A) Base RI'!A114</f>
        <v>5582</v>
      </c>
      <c r="B112" s="32" t="str">
        <f>'A) Base RI'!B114</f>
        <v>Cheseaux-sur-Lausanne</v>
      </c>
      <c r="C112" s="294">
        <f>'B) D RI'!U114</f>
        <v>163780.29383561644</v>
      </c>
      <c r="D112" s="32">
        <f>'B) D RI'!AA114</f>
        <v>4367</v>
      </c>
      <c r="E112" s="200">
        <f t="shared" si="10"/>
        <v>37.5040746131478</v>
      </c>
      <c r="F112" s="365">
        <f t="shared" si="11"/>
        <v>0.7785878771433643</v>
      </c>
      <c r="G112" s="376">
        <f t="shared" si="12"/>
        <v>0</v>
      </c>
      <c r="H112" s="373">
        <f t="shared" si="13"/>
        <v>0</v>
      </c>
      <c r="I112" s="376">
        <f t="shared" si="14"/>
        <v>0</v>
      </c>
      <c r="J112" s="373">
        <f t="shared" si="15"/>
        <v>0</v>
      </c>
      <c r="K112" s="368">
        <f t="shared" si="16"/>
        <v>0</v>
      </c>
      <c r="L112" s="372">
        <f t="shared" si="17"/>
        <v>0</v>
      </c>
      <c r="M112" s="113">
        <f>L112*D112*'B) D RI'!S114</f>
        <v>0</v>
      </c>
    </row>
    <row r="113" spans="1:13" x14ac:dyDescent="0.25">
      <c r="A113" s="296">
        <f>'A) Base RI'!A115</f>
        <v>5583</v>
      </c>
      <c r="B113" s="32" t="str">
        <f>'A) Base RI'!B115</f>
        <v>Crissier</v>
      </c>
      <c r="C113" s="294">
        <f>'B) D RI'!U115</f>
        <v>368095.30976377946</v>
      </c>
      <c r="D113" s="32">
        <f>'B) D RI'!AA115</f>
        <v>8700</v>
      </c>
      <c r="E113" s="200">
        <f t="shared" si="10"/>
        <v>42.309805719974648</v>
      </c>
      <c r="F113" s="365">
        <f t="shared" si="11"/>
        <v>0.87835527626416343</v>
      </c>
      <c r="G113" s="376">
        <f t="shared" si="12"/>
        <v>0</v>
      </c>
      <c r="H113" s="373">
        <f t="shared" si="13"/>
        <v>0</v>
      </c>
      <c r="I113" s="376">
        <f t="shared" si="14"/>
        <v>0</v>
      </c>
      <c r="J113" s="373">
        <f t="shared" si="15"/>
        <v>0</v>
      </c>
      <c r="K113" s="368">
        <f t="shared" si="16"/>
        <v>0</v>
      </c>
      <c r="L113" s="372">
        <f t="shared" si="17"/>
        <v>0</v>
      </c>
      <c r="M113" s="113">
        <f>L113*D113*'B) D RI'!S115</f>
        <v>0</v>
      </c>
    </row>
    <row r="114" spans="1:13" x14ac:dyDescent="0.25">
      <c r="A114" s="296">
        <f>'A) Base RI'!A116</f>
        <v>5584</v>
      </c>
      <c r="B114" s="32" t="str">
        <f>'A) Base RI'!B116</f>
        <v>Epalinges</v>
      </c>
      <c r="C114" s="294">
        <f>'B) D RI'!U116</f>
        <v>482115.91751937981</v>
      </c>
      <c r="D114" s="32">
        <f>'B) D RI'!AA116</f>
        <v>9755</v>
      </c>
      <c r="E114" s="200">
        <f t="shared" si="10"/>
        <v>49.422441570413099</v>
      </c>
      <c r="F114" s="365">
        <f t="shared" si="11"/>
        <v>1.0260142201205003</v>
      </c>
      <c r="G114" s="376">
        <f t="shared" si="12"/>
        <v>1.2530881626126913</v>
      </c>
      <c r="H114" s="373">
        <f t="shared" si="13"/>
        <v>0</v>
      </c>
      <c r="I114" s="376">
        <f t="shared" si="14"/>
        <v>0</v>
      </c>
      <c r="J114" s="373">
        <f t="shared" si="15"/>
        <v>0</v>
      </c>
      <c r="K114" s="368">
        <f t="shared" si="16"/>
        <v>0</v>
      </c>
      <c r="L114" s="372">
        <f t="shared" si="17"/>
        <v>0.25061763252253827</v>
      </c>
      <c r="M114" s="113">
        <f>L114*D114*'B) D RI'!S116</f>
        <v>157687.98783909978</v>
      </c>
    </row>
    <row r="115" spans="1:13" x14ac:dyDescent="0.25">
      <c r="A115" s="296">
        <f>'A) Base RI'!A117</f>
        <v>5585</v>
      </c>
      <c r="B115" s="32" t="str">
        <f>'A) Base RI'!B117</f>
        <v>Jouxtens-Mézery</v>
      </c>
      <c r="C115" s="294">
        <f>'B) D RI'!U117</f>
        <v>202487.97135593221</v>
      </c>
      <c r="D115" s="32">
        <f>'B) D RI'!AA117</f>
        <v>1411</v>
      </c>
      <c r="E115" s="200">
        <f t="shared" si="10"/>
        <v>143.50671251306323</v>
      </c>
      <c r="F115" s="365">
        <f t="shared" si="11"/>
        <v>2.979211933740098</v>
      </c>
      <c r="G115" s="376">
        <f t="shared" si="12"/>
        <v>95.337359105262834</v>
      </c>
      <c r="H115" s="373">
        <f t="shared" si="13"/>
        <v>85.703488423702751</v>
      </c>
      <c r="I115" s="376">
        <f t="shared" si="14"/>
        <v>71.25268240136262</v>
      </c>
      <c r="J115" s="373">
        <f t="shared" si="15"/>
        <v>47.168005697462419</v>
      </c>
      <c r="K115" s="368">
        <f t="shared" si="16"/>
        <v>0</v>
      </c>
      <c r="L115" s="372">
        <f t="shared" si="17"/>
        <v>39.479889473305349</v>
      </c>
      <c r="M115" s="113">
        <f>L115*D115*'B) D RI'!S117</f>
        <v>3286661.3187631969</v>
      </c>
    </row>
    <row r="116" spans="1:13" x14ac:dyDescent="0.25">
      <c r="A116" s="296">
        <f>'A) Base RI'!A118</f>
        <v>5586</v>
      </c>
      <c r="B116" s="32" t="str">
        <f>'A) Base RI'!B118</f>
        <v>Lausanne</v>
      </c>
      <c r="C116" s="294">
        <f>'B) D RI'!U118</f>
        <v>6272364.2800849257</v>
      </c>
      <c r="D116" s="32">
        <f>'B) D RI'!AA118</f>
        <v>140430</v>
      </c>
      <c r="E116" s="200">
        <f t="shared" si="10"/>
        <v>44.665415367691558</v>
      </c>
      <c r="F116" s="365">
        <f t="shared" si="11"/>
        <v>0.9272579390791359</v>
      </c>
      <c r="G116" s="376">
        <f t="shared" si="12"/>
        <v>0</v>
      </c>
      <c r="H116" s="373">
        <f t="shared" si="13"/>
        <v>0</v>
      </c>
      <c r="I116" s="376">
        <f t="shared" si="14"/>
        <v>0</v>
      </c>
      <c r="J116" s="373">
        <f t="shared" si="15"/>
        <v>0</v>
      </c>
      <c r="K116" s="368">
        <f t="shared" si="16"/>
        <v>0</v>
      </c>
      <c r="L116" s="372">
        <f t="shared" si="17"/>
        <v>0</v>
      </c>
      <c r="M116" s="113">
        <f>L116*D116*'B) D RI'!S118</f>
        <v>0</v>
      </c>
    </row>
    <row r="117" spans="1:13" x14ac:dyDescent="0.25">
      <c r="A117" s="296">
        <f>'A) Base RI'!A119</f>
        <v>5587</v>
      </c>
      <c r="B117" s="32" t="str">
        <f>'A) Base RI'!B119</f>
        <v>Le Mont-sur-Lausanne</v>
      </c>
      <c r="C117" s="294">
        <f>'B) D RI'!U119</f>
        <v>442860.74013605446</v>
      </c>
      <c r="D117" s="32">
        <f>'B) D RI'!AA119</f>
        <v>9136</v>
      </c>
      <c r="E117" s="200">
        <f t="shared" si="10"/>
        <v>48.474249139235383</v>
      </c>
      <c r="F117" s="365">
        <f t="shared" si="11"/>
        <v>1.0063296621163613</v>
      </c>
      <c r="G117" s="376">
        <f t="shared" si="12"/>
        <v>0.30489573143497495</v>
      </c>
      <c r="H117" s="373">
        <f t="shared" si="13"/>
        <v>0</v>
      </c>
      <c r="I117" s="376">
        <f t="shared" si="14"/>
        <v>0</v>
      </c>
      <c r="J117" s="373">
        <f t="shared" si="15"/>
        <v>0</v>
      </c>
      <c r="K117" s="368">
        <f t="shared" si="16"/>
        <v>0</v>
      </c>
      <c r="L117" s="372">
        <f t="shared" si="17"/>
        <v>6.0979146286994995E-2</v>
      </c>
      <c r="M117" s="113">
        <f>L117*D117*'B) D RI'!S119</f>
        <v>40947.252815131986</v>
      </c>
    </row>
    <row r="118" spans="1:13" x14ac:dyDescent="0.25">
      <c r="A118" s="296">
        <f>'A) Base RI'!A120</f>
        <v>5588</v>
      </c>
      <c r="B118" s="32" t="str">
        <f>'A) Base RI'!B120</f>
        <v>Paudex</v>
      </c>
      <c r="C118" s="294">
        <f>'B) D RI'!U120</f>
        <v>135448.58760472611</v>
      </c>
      <c r="D118" s="32">
        <f>'B) D RI'!AA120</f>
        <v>1538</v>
      </c>
      <c r="E118" s="200">
        <f t="shared" si="10"/>
        <v>88.068002343775106</v>
      </c>
      <c r="F118" s="365">
        <f t="shared" si="11"/>
        <v>1.8282994500298528</v>
      </c>
      <c r="G118" s="376">
        <f t="shared" si="12"/>
        <v>39.898648935974698</v>
      </c>
      <c r="H118" s="373">
        <f t="shared" si="13"/>
        <v>30.264778254414622</v>
      </c>
      <c r="I118" s="376">
        <f t="shared" si="14"/>
        <v>15.813972232074491</v>
      </c>
      <c r="J118" s="373">
        <f t="shared" si="15"/>
        <v>0</v>
      </c>
      <c r="K118" s="368">
        <f t="shared" si="16"/>
        <v>0</v>
      </c>
      <c r="L118" s="372">
        <f t="shared" si="17"/>
        <v>12.587604835843852</v>
      </c>
      <c r="M118" s="113">
        <f>L118*D118*'B) D RI'!S120</f>
        <v>1287422.4597956014</v>
      </c>
    </row>
    <row r="119" spans="1:13" x14ac:dyDescent="0.25">
      <c r="A119" s="296">
        <f>'A) Base RI'!A121</f>
        <v>5589</v>
      </c>
      <c r="B119" s="32" t="str">
        <f>'A) Base RI'!B121</f>
        <v>Prilly</v>
      </c>
      <c r="C119" s="294">
        <f>'B) D RI'!U121</f>
        <v>455017.22467904515</v>
      </c>
      <c r="D119" s="32">
        <f>'B) D RI'!AA121</f>
        <v>12383</v>
      </c>
      <c r="E119" s="200">
        <f t="shared" si="10"/>
        <v>36.74531411443472</v>
      </c>
      <c r="F119" s="365">
        <f t="shared" si="11"/>
        <v>0.76283594266565946</v>
      </c>
      <c r="G119" s="376">
        <f t="shared" si="12"/>
        <v>0</v>
      </c>
      <c r="H119" s="373">
        <f t="shared" si="13"/>
        <v>0</v>
      </c>
      <c r="I119" s="376">
        <f t="shared" si="14"/>
        <v>0</v>
      </c>
      <c r="J119" s="373">
        <f t="shared" si="15"/>
        <v>0</v>
      </c>
      <c r="K119" s="368">
        <f t="shared" si="16"/>
        <v>0</v>
      </c>
      <c r="L119" s="372">
        <f t="shared" si="17"/>
        <v>0</v>
      </c>
      <c r="M119" s="113">
        <f>L119*D119*'B) D RI'!S121</f>
        <v>0</v>
      </c>
    </row>
    <row r="120" spans="1:13" x14ac:dyDescent="0.25">
      <c r="A120" s="296">
        <f>'A) Base RI'!A122</f>
        <v>5590</v>
      </c>
      <c r="B120" s="32" t="str">
        <f>'A) Base RI'!B122</f>
        <v>Pully</v>
      </c>
      <c r="C120" s="294">
        <f>'B) D RI'!U122</f>
        <v>1478979.5848477751</v>
      </c>
      <c r="D120" s="32">
        <f>'B) D RI'!AA122</f>
        <v>18688</v>
      </c>
      <c r="E120" s="200">
        <f t="shared" si="10"/>
        <v>79.140602785090707</v>
      </c>
      <c r="F120" s="365">
        <f t="shared" si="11"/>
        <v>1.6429658524806958</v>
      </c>
      <c r="G120" s="376">
        <f t="shared" si="12"/>
        <v>30.971249377290299</v>
      </c>
      <c r="H120" s="373">
        <f t="shared" si="13"/>
        <v>21.337378695730223</v>
      </c>
      <c r="I120" s="376">
        <f t="shared" si="14"/>
        <v>6.8865726733900914</v>
      </c>
      <c r="J120" s="373">
        <f t="shared" si="15"/>
        <v>0</v>
      </c>
      <c r="K120" s="368">
        <f t="shared" si="16"/>
        <v>0</v>
      </c>
      <c r="L120" s="372">
        <f t="shared" si="17"/>
        <v>9.0166450123700912</v>
      </c>
      <c r="M120" s="113">
        <f>L120*D120*'B) D RI'!S122</f>
        <v>10278686.781461507</v>
      </c>
    </row>
    <row r="121" spans="1:13" x14ac:dyDescent="0.25">
      <c r="A121" s="296">
        <f>'A) Base RI'!A123</f>
        <v>5591</v>
      </c>
      <c r="B121" s="32" t="str">
        <f>'A) Base RI'!B123</f>
        <v>Renens</v>
      </c>
      <c r="C121" s="294">
        <f>'B) D RI'!U123</f>
        <v>596748.60283858993</v>
      </c>
      <c r="D121" s="32">
        <f>'B) D RI'!AA123</f>
        <v>20863</v>
      </c>
      <c r="E121" s="200">
        <f t="shared" si="10"/>
        <v>28.603201976637585</v>
      </c>
      <c r="F121" s="365">
        <f t="shared" si="11"/>
        <v>0.59380498082429445</v>
      </c>
      <c r="G121" s="376">
        <f t="shared" si="12"/>
        <v>0</v>
      </c>
      <c r="H121" s="373">
        <f t="shared" si="13"/>
        <v>0</v>
      </c>
      <c r="I121" s="376">
        <f t="shared" si="14"/>
        <v>0</v>
      </c>
      <c r="J121" s="373">
        <f t="shared" si="15"/>
        <v>0</v>
      </c>
      <c r="K121" s="368">
        <f t="shared" si="16"/>
        <v>0</v>
      </c>
      <c r="L121" s="372">
        <f t="shared" si="17"/>
        <v>0</v>
      </c>
      <c r="M121" s="113">
        <f>L121*D121*'B) D RI'!S123</f>
        <v>0</v>
      </c>
    </row>
    <row r="122" spans="1:13" x14ac:dyDescent="0.25">
      <c r="A122" s="296">
        <f>'A) Base RI'!A124</f>
        <v>5592</v>
      </c>
      <c r="B122" s="32" t="str">
        <f>'A) Base RI'!B124</f>
        <v>Romanel-sur-Lausanne</v>
      </c>
      <c r="C122" s="294">
        <f>'B) D RI'!U124</f>
        <v>121292.24695035459</v>
      </c>
      <c r="D122" s="32">
        <f>'B) D RI'!AA124</f>
        <v>3247</v>
      </c>
      <c r="E122" s="200">
        <f t="shared" si="10"/>
        <v>37.35517306755608</v>
      </c>
      <c r="F122" s="365">
        <f t="shared" si="11"/>
        <v>0.77549666800191863</v>
      </c>
      <c r="G122" s="376">
        <f t="shared" si="12"/>
        <v>0</v>
      </c>
      <c r="H122" s="373">
        <f t="shared" si="13"/>
        <v>0</v>
      </c>
      <c r="I122" s="376">
        <f t="shared" si="14"/>
        <v>0</v>
      </c>
      <c r="J122" s="373">
        <f t="shared" si="15"/>
        <v>0</v>
      </c>
      <c r="K122" s="368">
        <f t="shared" si="16"/>
        <v>0</v>
      </c>
      <c r="L122" s="372">
        <f t="shared" si="17"/>
        <v>0</v>
      </c>
      <c r="M122" s="113">
        <f>L122*D122*'B) D RI'!S124</f>
        <v>0</v>
      </c>
    </row>
    <row r="123" spans="1:13" x14ac:dyDescent="0.25">
      <c r="A123" s="296">
        <f>'A) Base RI'!A125</f>
        <v>5601</v>
      </c>
      <c r="B123" s="32" t="str">
        <f>'A) Base RI'!B125</f>
        <v>Chexbres</v>
      </c>
      <c r="C123" s="294">
        <f>'B) D RI'!U125</f>
        <v>98072.029481481484</v>
      </c>
      <c r="D123" s="32">
        <f>'B) D RI'!AA125</f>
        <v>2251</v>
      </c>
      <c r="E123" s="200">
        <f t="shared" si="10"/>
        <v>43.56820501176432</v>
      </c>
      <c r="F123" s="365">
        <f t="shared" si="11"/>
        <v>0.90447975589203178</v>
      </c>
      <c r="G123" s="376">
        <f t="shared" si="12"/>
        <v>0</v>
      </c>
      <c r="H123" s="373">
        <f t="shared" si="13"/>
        <v>0</v>
      </c>
      <c r="I123" s="376">
        <f t="shared" si="14"/>
        <v>0</v>
      </c>
      <c r="J123" s="373">
        <f t="shared" si="15"/>
        <v>0</v>
      </c>
      <c r="K123" s="368">
        <f t="shared" si="16"/>
        <v>0</v>
      </c>
      <c r="L123" s="372">
        <f t="shared" si="17"/>
        <v>0</v>
      </c>
      <c r="M123" s="113">
        <f>L123*D123*'B) D RI'!S125</f>
        <v>0</v>
      </c>
    </row>
    <row r="124" spans="1:13" x14ac:dyDescent="0.25">
      <c r="A124" s="296">
        <f>'A) Base RI'!A126</f>
        <v>5604</v>
      </c>
      <c r="B124" s="32" t="str">
        <f>'A) Base RI'!B126</f>
        <v>Forel (Lavaux)</v>
      </c>
      <c r="C124" s="294">
        <f>'B) D RI'!U126</f>
        <v>71309.914782608685</v>
      </c>
      <c r="D124" s="32">
        <f>'B) D RI'!AA126</f>
        <v>2105</v>
      </c>
      <c r="E124" s="200">
        <f t="shared" si="10"/>
        <v>33.876444077248784</v>
      </c>
      <c r="F124" s="365">
        <f t="shared" si="11"/>
        <v>0.70327794916514141</v>
      </c>
      <c r="G124" s="376">
        <f t="shared" si="12"/>
        <v>0</v>
      </c>
      <c r="H124" s="373">
        <f t="shared" si="13"/>
        <v>0</v>
      </c>
      <c r="I124" s="376">
        <f t="shared" si="14"/>
        <v>0</v>
      </c>
      <c r="J124" s="373">
        <f t="shared" si="15"/>
        <v>0</v>
      </c>
      <c r="K124" s="368">
        <f t="shared" si="16"/>
        <v>0</v>
      </c>
      <c r="L124" s="372">
        <f t="shared" si="17"/>
        <v>0</v>
      </c>
      <c r="M124" s="113">
        <f>L124*D124*'B) D RI'!S126</f>
        <v>0</v>
      </c>
    </row>
    <row r="125" spans="1:13" x14ac:dyDescent="0.25">
      <c r="A125" s="296">
        <f>'A) Base RI'!A127</f>
        <v>5606</v>
      </c>
      <c r="B125" s="32" t="str">
        <f>'A) Base RI'!B127</f>
        <v>Lutry</v>
      </c>
      <c r="C125" s="294">
        <f>'B) D RI'!U127</f>
        <v>875230.37264550268</v>
      </c>
      <c r="D125" s="32">
        <f>'B) D RI'!AA127</f>
        <v>10455</v>
      </c>
      <c r="E125" s="200">
        <f t="shared" si="10"/>
        <v>83.714048077044737</v>
      </c>
      <c r="F125" s="365">
        <f t="shared" si="11"/>
        <v>1.7379109777190473</v>
      </c>
      <c r="G125" s="376">
        <f t="shared" si="12"/>
        <v>35.544694669244329</v>
      </c>
      <c r="H125" s="373">
        <f t="shared" si="13"/>
        <v>25.910823987684253</v>
      </c>
      <c r="I125" s="376">
        <f t="shared" si="14"/>
        <v>11.460017965344122</v>
      </c>
      <c r="J125" s="373">
        <f t="shared" si="15"/>
        <v>0</v>
      </c>
      <c r="K125" s="368">
        <f t="shared" si="16"/>
        <v>0</v>
      </c>
      <c r="L125" s="372">
        <f t="shared" si="17"/>
        <v>10.846023129151703</v>
      </c>
      <c r="M125" s="113">
        <f>L125*D125*'B) D RI'!S127</f>
        <v>6123339.2780251773</v>
      </c>
    </row>
    <row r="126" spans="1:13" x14ac:dyDescent="0.25">
      <c r="A126" s="296">
        <f>'A) Base RI'!A128</f>
        <v>5607</v>
      </c>
      <c r="B126" s="32" t="str">
        <f>'A) Base RI'!B128</f>
        <v>Puidoux</v>
      </c>
      <c r="C126" s="294">
        <f>'B) D RI'!U128</f>
        <v>102944.97501110758</v>
      </c>
      <c r="D126" s="32">
        <f>'B) D RI'!AA128</f>
        <v>2894</v>
      </c>
      <c r="E126" s="200">
        <f t="shared" si="10"/>
        <v>35.571864205634967</v>
      </c>
      <c r="F126" s="365">
        <f t="shared" si="11"/>
        <v>0.73847501967660956</v>
      </c>
      <c r="G126" s="376">
        <f t="shared" si="12"/>
        <v>0</v>
      </c>
      <c r="H126" s="373">
        <f t="shared" si="13"/>
        <v>0</v>
      </c>
      <c r="I126" s="376">
        <f t="shared" si="14"/>
        <v>0</v>
      </c>
      <c r="J126" s="373">
        <f t="shared" si="15"/>
        <v>0</v>
      </c>
      <c r="K126" s="368">
        <f t="shared" si="16"/>
        <v>0</v>
      </c>
      <c r="L126" s="372">
        <f t="shared" si="17"/>
        <v>0</v>
      </c>
      <c r="M126" s="113">
        <f>L126*D126*'B) D RI'!S128</f>
        <v>0</v>
      </c>
    </row>
    <row r="127" spans="1:13" x14ac:dyDescent="0.25">
      <c r="A127" s="296">
        <f>'A) Base RI'!A129</f>
        <v>5609</v>
      </c>
      <c r="B127" s="32" t="str">
        <f>'A) Base RI'!B129</f>
        <v>Rivaz</v>
      </c>
      <c r="C127" s="294">
        <f>'B) D RI'!U129</f>
        <v>16048.850483870969</v>
      </c>
      <c r="D127" s="32">
        <f>'B) D RI'!AA129</f>
        <v>337</v>
      </c>
      <c r="E127" s="200">
        <f t="shared" si="10"/>
        <v>47.622701732554802</v>
      </c>
      <c r="F127" s="365">
        <f t="shared" si="11"/>
        <v>0.98865146329414744</v>
      </c>
      <c r="G127" s="376">
        <f t="shared" si="12"/>
        <v>0</v>
      </c>
      <c r="H127" s="373">
        <f t="shared" si="13"/>
        <v>0</v>
      </c>
      <c r="I127" s="376">
        <f t="shared" si="14"/>
        <v>0</v>
      </c>
      <c r="J127" s="373">
        <f t="shared" si="15"/>
        <v>0</v>
      </c>
      <c r="K127" s="368">
        <f t="shared" si="16"/>
        <v>0</v>
      </c>
      <c r="L127" s="372">
        <f t="shared" si="17"/>
        <v>0</v>
      </c>
      <c r="M127" s="113">
        <f>L127*D127*'B) D RI'!S129</f>
        <v>0</v>
      </c>
    </row>
    <row r="128" spans="1:13" x14ac:dyDescent="0.25">
      <c r="A128" s="296">
        <f>'A) Base RI'!A130</f>
        <v>5610</v>
      </c>
      <c r="B128" s="32" t="str">
        <f>'A) Base RI'!B130</f>
        <v>St-Saphorin (Lavaux)</v>
      </c>
      <c r="C128" s="294">
        <f>'B) D RI'!U130</f>
        <v>19213.723703703701</v>
      </c>
      <c r="D128" s="32">
        <f>'B) D RI'!AA130</f>
        <v>388</v>
      </c>
      <c r="E128" s="200">
        <f t="shared" si="10"/>
        <v>49.519906452844587</v>
      </c>
      <c r="F128" s="365">
        <f t="shared" si="11"/>
        <v>1.0280375996250237</v>
      </c>
      <c r="G128" s="376">
        <f t="shared" si="12"/>
        <v>1.3505530450441796</v>
      </c>
      <c r="H128" s="373">
        <f t="shared" si="13"/>
        <v>0</v>
      </c>
      <c r="I128" s="376">
        <f t="shared" si="14"/>
        <v>0</v>
      </c>
      <c r="J128" s="373">
        <f t="shared" si="15"/>
        <v>0</v>
      </c>
      <c r="K128" s="368">
        <f t="shared" si="16"/>
        <v>0</v>
      </c>
      <c r="L128" s="372">
        <f t="shared" si="17"/>
        <v>0.27011060900883593</v>
      </c>
      <c r="M128" s="113">
        <f>L128*D128*'B) D RI'!S130</f>
        <v>7545.8099732708406</v>
      </c>
    </row>
    <row r="129" spans="1:13" x14ac:dyDescent="0.25">
      <c r="A129" s="296">
        <f>'A) Base RI'!A131</f>
        <v>5611</v>
      </c>
      <c r="B129" s="32" t="str">
        <f>'A) Base RI'!B131</f>
        <v>Savigny</v>
      </c>
      <c r="C129" s="294">
        <f>'B) D RI'!U131</f>
        <v>136715.33886473431</v>
      </c>
      <c r="D129" s="32">
        <f>'B) D RI'!AA131</f>
        <v>3348</v>
      </c>
      <c r="E129" s="200">
        <f t="shared" si="10"/>
        <v>40.834927976324465</v>
      </c>
      <c r="F129" s="365">
        <f t="shared" si="11"/>
        <v>0.84773668499589561</v>
      </c>
      <c r="G129" s="376">
        <f t="shared" si="12"/>
        <v>0</v>
      </c>
      <c r="H129" s="373">
        <f t="shared" si="13"/>
        <v>0</v>
      </c>
      <c r="I129" s="376">
        <f t="shared" si="14"/>
        <v>0</v>
      </c>
      <c r="J129" s="373">
        <f t="shared" si="15"/>
        <v>0</v>
      </c>
      <c r="K129" s="368">
        <f t="shared" si="16"/>
        <v>0</v>
      </c>
      <c r="L129" s="372">
        <f t="shared" si="17"/>
        <v>0</v>
      </c>
      <c r="M129" s="113">
        <f>L129*D129*'B) D RI'!S131</f>
        <v>0</v>
      </c>
    </row>
    <row r="130" spans="1:13" x14ac:dyDescent="0.25">
      <c r="A130" s="296">
        <f>'A) Base RI'!A132</f>
        <v>5613</v>
      </c>
      <c r="B130" s="32" t="str">
        <f>'A) Base RI'!B132</f>
        <v>Bourg-en-Lavaux</v>
      </c>
      <c r="C130" s="294">
        <f>'B) D RI'!U132</f>
        <v>343828.17631999997</v>
      </c>
      <c r="D130" s="32">
        <f>'B) D RI'!AA132</f>
        <v>5389</v>
      </c>
      <c r="E130" s="200">
        <f t="shared" si="10"/>
        <v>63.801851237706437</v>
      </c>
      <c r="F130" s="365">
        <f t="shared" si="11"/>
        <v>1.3245320255300448</v>
      </c>
      <c r="G130" s="376">
        <f t="shared" si="12"/>
        <v>15.632497829906029</v>
      </c>
      <c r="H130" s="373">
        <f t="shared" si="13"/>
        <v>5.9986271483459532</v>
      </c>
      <c r="I130" s="376">
        <f t="shared" si="14"/>
        <v>0</v>
      </c>
      <c r="J130" s="373">
        <f t="shared" si="15"/>
        <v>0</v>
      </c>
      <c r="K130" s="368">
        <f t="shared" si="16"/>
        <v>0</v>
      </c>
      <c r="L130" s="372">
        <f t="shared" si="17"/>
        <v>3.7263622808158008</v>
      </c>
      <c r="M130" s="113">
        <f>L130*D130*'B) D RI'!S132</f>
        <v>1255085.3957072718</v>
      </c>
    </row>
    <row r="131" spans="1:13" x14ac:dyDescent="0.25">
      <c r="A131" s="296">
        <f>'A) Base RI'!A133</f>
        <v>5621</v>
      </c>
      <c r="B131" s="32" t="str">
        <f>'A) Base RI'!B133</f>
        <v>Aclens</v>
      </c>
      <c r="C131" s="294">
        <f>'B) D RI'!U133</f>
        <v>32411.912521994131</v>
      </c>
      <c r="D131" s="32">
        <f>'B) D RI'!AA133</f>
        <v>528</v>
      </c>
      <c r="E131" s="200">
        <f t="shared" si="10"/>
        <v>61.386197958322214</v>
      </c>
      <c r="F131" s="365">
        <f t="shared" si="11"/>
        <v>1.2743828516573259</v>
      </c>
      <c r="G131" s="376">
        <f t="shared" si="12"/>
        <v>13.216844550521806</v>
      </c>
      <c r="H131" s="373">
        <f t="shared" si="13"/>
        <v>3.5829738689617301</v>
      </c>
      <c r="I131" s="376">
        <f t="shared" si="14"/>
        <v>0</v>
      </c>
      <c r="J131" s="373">
        <f t="shared" si="15"/>
        <v>0</v>
      </c>
      <c r="K131" s="368">
        <f t="shared" si="16"/>
        <v>0</v>
      </c>
      <c r="L131" s="372">
        <f t="shared" si="17"/>
        <v>3.0016662970005341</v>
      </c>
      <c r="M131" s="113">
        <f>L131*D131*'B) D RI'!S133</f>
        <v>98262.547898609497</v>
      </c>
    </row>
    <row r="132" spans="1:13" x14ac:dyDescent="0.25">
      <c r="A132" s="296">
        <f>'A) Base RI'!A134</f>
        <v>5622</v>
      </c>
      <c r="B132" s="32" t="str">
        <f>'A) Base RI'!B134</f>
        <v>Bremblens</v>
      </c>
      <c r="C132" s="294">
        <f>'B) D RI'!U134</f>
        <v>27803.201911764703</v>
      </c>
      <c r="D132" s="32">
        <f>'B) D RI'!AA134</f>
        <v>583</v>
      </c>
      <c r="E132" s="200">
        <f t="shared" si="10"/>
        <v>47.689883210574102</v>
      </c>
      <c r="F132" s="365">
        <f t="shared" si="11"/>
        <v>0.99004615666797258</v>
      </c>
      <c r="G132" s="376">
        <f t="shared" si="12"/>
        <v>0</v>
      </c>
      <c r="H132" s="373">
        <f t="shared" si="13"/>
        <v>0</v>
      </c>
      <c r="I132" s="376">
        <f t="shared" si="14"/>
        <v>0</v>
      </c>
      <c r="J132" s="373">
        <f t="shared" si="15"/>
        <v>0</v>
      </c>
      <c r="K132" s="368">
        <f t="shared" si="16"/>
        <v>0</v>
      </c>
      <c r="L132" s="372">
        <f t="shared" si="17"/>
        <v>0</v>
      </c>
      <c r="M132" s="113">
        <f>L132*D132*'B) D RI'!S134</f>
        <v>0</v>
      </c>
    </row>
    <row r="133" spans="1:13" x14ac:dyDescent="0.25">
      <c r="A133" s="296">
        <f>'A) Base RI'!A135</f>
        <v>5623</v>
      </c>
      <c r="B133" s="32" t="str">
        <f>'A) Base RI'!B135</f>
        <v>Buchillon</v>
      </c>
      <c r="C133" s="294">
        <f>'B) D RI'!U135</f>
        <v>94394.012307692305</v>
      </c>
      <c r="D133" s="32">
        <f>'B) D RI'!AA135</f>
        <v>686</v>
      </c>
      <c r="E133" s="200">
        <f t="shared" si="10"/>
        <v>137.60060103162144</v>
      </c>
      <c r="F133" s="365">
        <f t="shared" si="11"/>
        <v>2.8566005415663063</v>
      </c>
      <c r="G133" s="376">
        <f t="shared" si="12"/>
        <v>89.431247623821037</v>
      </c>
      <c r="H133" s="373">
        <f t="shared" si="13"/>
        <v>79.797376942260954</v>
      </c>
      <c r="I133" s="376">
        <f t="shared" si="14"/>
        <v>65.346570919920822</v>
      </c>
      <c r="J133" s="373">
        <f t="shared" si="15"/>
        <v>41.261894216020622</v>
      </c>
      <c r="K133" s="368">
        <f t="shared" si="16"/>
        <v>0</v>
      </c>
      <c r="L133" s="372">
        <f t="shared" si="17"/>
        <v>36.52683373258445</v>
      </c>
      <c r="M133" s="113">
        <f>L133*D133*'B) D RI'!S135</f>
        <v>1302985.2129087525</v>
      </c>
    </row>
    <row r="134" spans="1:13" x14ac:dyDescent="0.25">
      <c r="A134" s="296">
        <f>'A) Base RI'!A136</f>
        <v>5624</v>
      </c>
      <c r="B134" s="32" t="str">
        <f>'A) Base RI'!B136</f>
        <v>Bussigny</v>
      </c>
      <c r="C134" s="294">
        <f>'B) D RI'!U136</f>
        <v>351876.09247999993</v>
      </c>
      <c r="D134" s="32">
        <f>'B) D RI'!AA136</f>
        <v>9614</v>
      </c>
      <c r="E134" s="200">
        <f t="shared" ref="E134:E197" si="18">C134/D134</f>
        <v>36.600384073226536</v>
      </c>
      <c r="F134" s="365">
        <f t="shared" ref="F134:F197" si="19">E134/$E$314</f>
        <v>0.75982718230341817</v>
      </c>
      <c r="G134" s="376">
        <f t="shared" ref="G134:G197" si="20">IF(E134-$G$2&lt;0,0,E134-$G$2)</f>
        <v>0</v>
      </c>
      <c r="H134" s="373">
        <f t="shared" ref="H134:H197" si="21">IF(E134-$H$2&lt;0,0,E134-$H$2)</f>
        <v>0</v>
      </c>
      <c r="I134" s="376">
        <f t="shared" ref="I134:I197" si="22">IF(E134-$I$2&lt;0,0,E134-$I$2)</f>
        <v>0</v>
      </c>
      <c r="J134" s="373">
        <f t="shared" ref="J134:J197" si="23">IF(E134-$J$2&lt;0,0,E134-$J$2)</f>
        <v>0</v>
      </c>
      <c r="K134" s="368">
        <f t="shared" ref="K134:K197" si="24">IF(E134-$K$2&lt;0,0,E134-$K$2)</f>
        <v>0</v>
      </c>
      <c r="L134" s="372">
        <f t="shared" ref="L134:L197" si="25">(G134-H134)*$G$3+(H134-I134)*$H$3+(I134-J134)*$I$3+(J134-K134)*$J$3+(K134*$K$3)</f>
        <v>0</v>
      </c>
      <c r="M134" s="113">
        <f>L134*D134*'B) D RI'!S136</f>
        <v>0</v>
      </c>
    </row>
    <row r="135" spans="1:13" x14ac:dyDescent="0.25">
      <c r="A135" s="296">
        <f>'A) Base RI'!A137</f>
        <v>5625</v>
      </c>
      <c r="B135" s="32" t="str">
        <f>'A) Base RI'!B137</f>
        <v>Bussy-Chardonney</v>
      </c>
      <c r="C135" s="294">
        <f>'B) D RI'!U137</f>
        <v>17740.486103896103</v>
      </c>
      <c r="D135" s="32">
        <f>'B) D RI'!AA137</f>
        <v>404</v>
      </c>
      <c r="E135" s="200">
        <f t="shared" si="18"/>
        <v>43.91209431657451</v>
      </c>
      <c r="F135" s="365">
        <f t="shared" si="19"/>
        <v>0.91161892801042899</v>
      </c>
      <c r="G135" s="376">
        <f t="shared" si="20"/>
        <v>0</v>
      </c>
      <c r="H135" s="373">
        <f t="shared" si="21"/>
        <v>0</v>
      </c>
      <c r="I135" s="376">
        <f t="shared" si="22"/>
        <v>0</v>
      </c>
      <c r="J135" s="373">
        <f t="shared" si="23"/>
        <v>0</v>
      </c>
      <c r="K135" s="368">
        <f t="shared" si="24"/>
        <v>0</v>
      </c>
      <c r="L135" s="372">
        <f t="shared" si="25"/>
        <v>0</v>
      </c>
      <c r="M135" s="113">
        <f>L135*D135*'B) D RI'!S137</f>
        <v>0</v>
      </c>
    </row>
    <row r="136" spans="1:13" x14ac:dyDescent="0.25">
      <c r="A136" s="296">
        <f>'A) Base RI'!A138</f>
        <v>5627</v>
      </c>
      <c r="B136" s="32" t="str">
        <f>'A) Base RI'!B138</f>
        <v>Chavannes-près-Renens</v>
      </c>
      <c r="C136" s="294">
        <f>'B) D RI'!U138</f>
        <v>161901.70176344088</v>
      </c>
      <c r="D136" s="32">
        <f>'B) D RI'!AA138</f>
        <v>8487</v>
      </c>
      <c r="E136" s="200">
        <f t="shared" si="18"/>
        <v>19.076434754735583</v>
      </c>
      <c r="F136" s="365">
        <f t="shared" si="19"/>
        <v>0.3960284580371054</v>
      </c>
      <c r="G136" s="376">
        <f t="shared" si="20"/>
        <v>0</v>
      </c>
      <c r="H136" s="373">
        <f t="shared" si="21"/>
        <v>0</v>
      </c>
      <c r="I136" s="376">
        <f t="shared" si="22"/>
        <v>0</v>
      </c>
      <c r="J136" s="373">
        <f t="shared" si="23"/>
        <v>0</v>
      </c>
      <c r="K136" s="368">
        <f t="shared" si="24"/>
        <v>0</v>
      </c>
      <c r="L136" s="372">
        <f t="shared" si="25"/>
        <v>0</v>
      </c>
      <c r="M136" s="113">
        <f>L136*D136*'B) D RI'!S138</f>
        <v>0</v>
      </c>
    </row>
    <row r="137" spans="1:13" x14ac:dyDescent="0.25">
      <c r="A137" s="296">
        <f>'A) Base RI'!A139</f>
        <v>5628</v>
      </c>
      <c r="B137" s="32" t="str">
        <f>'A) Base RI'!B139</f>
        <v>Chigny</v>
      </c>
      <c r="C137" s="294">
        <f>'B) D RI'!U139</f>
        <v>24624.530161290324</v>
      </c>
      <c r="D137" s="32">
        <f>'B) D RI'!AA139</f>
        <v>396</v>
      </c>
      <c r="E137" s="200">
        <f t="shared" si="18"/>
        <v>62.183156972955366</v>
      </c>
      <c r="F137" s="365">
        <f t="shared" si="19"/>
        <v>1.2909277906745911</v>
      </c>
      <c r="G137" s="376">
        <f t="shared" si="20"/>
        <v>14.013803565154959</v>
      </c>
      <c r="H137" s="373">
        <f t="shared" si="21"/>
        <v>4.3799328835948828</v>
      </c>
      <c r="I137" s="376">
        <f t="shared" si="22"/>
        <v>0</v>
      </c>
      <c r="J137" s="373">
        <f t="shared" si="23"/>
        <v>0</v>
      </c>
      <c r="K137" s="368">
        <f t="shared" si="24"/>
        <v>0</v>
      </c>
      <c r="L137" s="372">
        <f t="shared" si="25"/>
        <v>3.2407540013904801</v>
      </c>
      <c r="M137" s="113">
        <f>L137*D137*'B) D RI'!S139</f>
        <v>79566.992242139066</v>
      </c>
    </row>
    <row r="138" spans="1:13" x14ac:dyDescent="0.25">
      <c r="A138" s="296">
        <f>'A) Base RI'!A140</f>
        <v>5629</v>
      </c>
      <c r="B138" s="32" t="str">
        <f>'A) Base RI'!B140</f>
        <v>Clarmont</v>
      </c>
      <c r="C138" s="294">
        <f>'B) D RI'!U140</f>
        <v>8521.2598639455773</v>
      </c>
      <c r="D138" s="32">
        <f>'B) D RI'!AA140</f>
        <v>201</v>
      </c>
      <c r="E138" s="200">
        <f t="shared" si="18"/>
        <v>42.394327681321279</v>
      </c>
      <c r="F138" s="365">
        <f t="shared" si="19"/>
        <v>0.88010995959219296</v>
      </c>
      <c r="G138" s="376">
        <f t="shared" si="20"/>
        <v>0</v>
      </c>
      <c r="H138" s="373">
        <f t="shared" si="21"/>
        <v>0</v>
      </c>
      <c r="I138" s="376">
        <f t="shared" si="22"/>
        <v>0</v>
      </c>
      <c r="J138" s="373">
        <f t="shared" si="23"/>
        <v>0</v>
      </c>
      <c r="K138" s="368">
        <f t="shared" si="24"/>
        <v>0</v>
      </c>
      <c r="L138" s="372">
        <f t="shared" si="25"/>
        <v>0</v>
      </c>
      <c r="M138" s="113">
        <f>L138*D138*'B) D RI'!S140</f>
        <v>0</v>
      </c>
    </row>
    <row r="139" spans="1:13" x14ac:dyDescent="0.25">
      <c r="A139" s="296">
        <f>'A) Base RI'!A141</f>
        <v>5631</v>
      </c>
      <c r="B139" s="32" t="str">
        <f>'A) Base RI'!B141</f>
        <v>Denens</v>
      </c>
      <c r="C139" s="294">
        <f>'B) D RI'!U141</f>
        <v>43455.14235294117</v>
      </c>
      <c r="D139" s="32">
        <f>'B) D RI'!AA141</f>
        <v>742</v>
      </c>
      <c r="E139" s="200">
        <f t="shared" si="18"/>
        <v>58.564881877279205</v>
      </c>
      <c r="F139" s="365">
        <f t="shared" si="19"/>
        <v>1.215812082455634</v>
      </c>
      <c r="G139" s="376">
        <f t="shared" si="20"/>
        <v>10.395528469478798</v>
      </c>
      <c r="H139" s="373">
        <f t="shared" si="21"/>
        <v>0.76165778791872185</v>
      </c>
      <c r="I139" s="376">
        <f t="shared" si="22"/>
        <v>0</v>
      </c>
      <c r="J139" s="373">
        <f t="shared" si="23"/>
        <v>0</v>
      </c>
      <c r="K139" s="368">
        <f t="shared" si="24"/>
        <v>0</v>
      </c>
      <c r="L139" s="372">
        <f t="shared" si="25"/>
        <v>2.1552714726876316</v>
      </c>
      <c r="M139" s="113">
        <f>L139*D139*'B) D RI'!S141</f>
        <v>108746.37742592714</v>
      </c>
    </row>
    <row r="140" spans="1:13" x14ac:dyDescent="0.25">
      <c r="A140" s="296">
        <f>'A) Base RI'!A142</f>
        <v>5632</v>
      </c>
      <c r="B140" s="32" t="str">
        <f>'A) Base RI'!B142</f>
        <v>Denges</v>
      </c>
      <c r="C140" s="294">
        <f>'B) D RI'!U142</f>
        <v>76479.966774193541</v>
      </c>
      <c r="D140" s="32">
        <f>'B) D RI'!AA142</f>
        <v>1730</v>
      </c>
      <c r="E140" s="200">
        <f t="shared" si="18"/>
        <v>44.208073279880658</v>
      </c>
      <c r="F140" s="365">
        <f t="shared" si="19"/>
        <v>0.91776347723865703</v>
      </c>
      <c r="G140" s="376">
        <f t="shared" si="20"/>
        <v>0</v>
      </c>
      <c r="H140" s="373">
        <f t="shared" si="21"/>
        <v>0</v>
      </c>
      <c r="I140" s="376">
        <f t="shared" si="22"/>
        <v>0</v>
      </c>
      <c r="J140" s="373">
        <f t="shared" si="23"/>
        <v>0</v>
      </c>
      <c r="K140" s="368">
        <f t="shared" si="24"/>
        <v>0</v>
      </c>
      <c r="L140" s="372">
        <f t="shared" si="25"/>
        <v>0</v>
      </c>
      <c r="M140" s="113">
        <f>L140*D140*'B) D RI'!S142</f>
        <v>0</v>
      </c>
    </row>
    <row r="141" spans="1:13" x14ac:dyDescent="0.25">
      <c r="A141" s="296">
        <f>'A) Base RI'!A143</f>
        <v>5633</v>
      </c>
      <c r="B141" s="32" t="str">
        <f>'A) Base RI'!B143</f>
        <v>Echandens</v>
      </c>
      <c r="C141" s="294">
        <f>'B) D RI'!U143</f>
        <v>148489.97685950415</v>
      </c>
      <c r="D141" s="32">
        <f>'B) D RI'!AA143</f>
        <v>2743</v>
      </c>
      <c r="E141" s="200">
        <f t="shared" si="18"/>
        <v>54.134151242983648</v>
      </c>
      <c r="F141" s="365">
        <f t="shared" si="19"/>
        <v>1.1238297260227976</v>
      </c>
      <c r="G141" s="376">
        <f t="shared" si="20"/>
        <v>5.9647978351832407</v>
      </c>
      <c r="H141" s="373">
        <f t="shared" si="21"/>
        <v>0</v>
      </c>
      <c r="I141" s="376">
        <f t="shared" si="22"/>
        <v>0</v>
      </c>
      <c r="J141" s="373">
        <f t="shared" si="23"/>
        <v>0</v>
      </c>
      <c r="K141" s="368">
        <f t="shared" si="24"/>
        <v>0</v>
      </c>
      <c r="L141" s="372">
        <f t="shared" si="25"/>
        <v>1.1929595670366482</v>
      </c>
      <c r="M141" s="113">
        <f>L141*D141*'B) D RI'!S143</f>
        <v>197973.42958908231</v>
      </c>
    </row>
    <row r="142" spans="1:13" x14ac:dyDescent="0.25">
      <c r="A142" s="296">
        <f>'A) Base RI'!A144</f>
        <v>5634</v>
      </c>
      <c r="B142" s="32" t="str">
        <f>'A) Base RI'!B144</f>
        <v>Echichens</v>
      </c>
      <c r="C142" s="294">
        <f>'B) D RI'!U144</f>
        <v>164177.5981818182</v>
      </c>
      <c r="D142" s="32">
        <f>'B) D RI'!AA144</f>
        <v>3127</v>
      </c>
      <c r="E142" s="200">
        <f t="shared" si="18"/>
        <v>52.503229351396932</v>
      </c>
      <c r="F142" s="365">
        <f t="shared" si="19"/>
        <v>1.0899716445621774</v>
      </c>
      <c r="G142" s="376">
        <f t="shared" si="20"/>
        <v>4.3338759435965244</v>
      </c>
      <c r="H142" s="373">
        <f t="shared" si="21"/>
        <v>0</v>
      </c>
      <c r="I142" s="376">
        <f t="shared" si="22"/>
        <v>0</v>
      </c>
      <c r="J142" s="373">
        <f t="shared" si="23"/>
        <v>0</v>
      </c>
      <c r="K142" s="368">
        <f t="shared" si="24"/>
        <v>0</v>
      </c>
      <c r="L142" s="372">
        <f t="shared" si="25"/>
        <v>0.86677518871930492</v>
      </c>
      <c r="M142" s="113">
        <f>L142*D142*'B) D RI'!S144</f>
        <v>178886.79699826759</v>
      </c>
    </row>
    <row r="143" spans="1:13" x14ac:dyDescent="0.25">
      <c r="A143" s="296">
        <f>'A) Base RI'!A145</f>
        <v>5635</v>
      </c>
      <c r="B143" s="32" t="str">
        <f>'A) Base RI'!B145</f>
        <v>Ecublens</v>
      </c>
      <c r="C143" s="294">
        <f>'B) D RI'!U145</f>
        <v>681739.39309333346</v>
      </c>
      <c r="D143" s="32">
        <f>'B) D RI'!AA145</f>
        <v>13164</v>
      </c>
      <c r="E143" s="200">
        <f t="shared" si="18"/>
        <v>51.788164166919891</v>
      </c>
      <c r="F143" s="365">
        <f t="shared" si="19"/>
        <v>1.0751268286390048</v>
      </c>
      <c r="G143" s="376">
        <f t="shared" si="20"/>
        <v>3.6188107591194836</v>
      </c>
      <c r="H143" s="373">
        <f t="shared" si="21"/>
        <v>0</v>
      </c>
      <c r="I143" s="376">
        <f t="shared" si="22"/>
        <v>0</v>
      </c>
      <c r="J143" s="373">
        <f t="shared" si="23"/>
        <v>0</v>
      </c>
      <c r="K143" s="368">
        <f t="shared" si="24"/>
        <v>0</v>
      </c>
      <c r="L143" s="372">
        <f t="shared" si="25"/>
        <v>0.7237621518238968</v>
      </c>
      <c r="M143" s="113">
        <f>L143*D143*'B) D RI'!S145</f>
        <v>595475.31041311112</v>
      </c>
    </row>
    <row r="144" spans="1:13" x14ac:dyDescent="0.25">
      <c r="A144" s="296">
        <f>'A) Base RI'!A146</f>
        <v>5636</v>
      </c>
      <c r="B144" s="32" t="str">
        <f>'A) Base RI'!B146</f>
        <v>Etoy</v>
      </c>
      <c r="C144" s="294">
        <f>'B) D RI'!U146</f>
        <v>170715.46099999998</v>
      </c>
      <c r="D144" s="32">
        <f>'B) D RI'!AA146</f>
        <v>2909</v>
      </c>
      <c r="E144" s="200">
        <f t="shared" si="18"/>
        <v>58.685273633551041</v>
      </c>
      <c r="F144" s="365">
        <f t="shared" si="19"/>
        <v>1.2183114258711996</v>
      </c>
      <c r="G144" s="376">
        <f t="shared" si="20"/>
        <v>10.515920225750634</v>
      </c>
      <c r="H144" s="373">
        <f t="shared" si="21"/>
        <v>0.88204954419055781</v>
      </c>
      <c r="I144" s="376">
        <f t="shared" si="22"/>
        <v>0</v>
      </c>
      <c r="J144" s="373">
        <f t="shared" si="23"/>
        <v>0</v>
      </c>
      <c r="K144" s="368">
        <f t="shared" si="24"/>
        <v>0</v>
      </c>
      <c r="L144" s="372">
        <f t="shared" si="25"/>
        <v>2.1913889995691824</v>
      </c>
      <c r="M144" s="113">
        <f>L144*D144*'B) D RI'!S146</f>
        <v>382485.03598480509</v>
      </c>
    </row>
    <row r="145" spans="1:13" x14ac:dyDescent="0.25">
      <c r="A145" s="296">
        <f>'A) Base RI'!A147</f>
        <v>5637</v>
      </c>
      <c r="B145" s="32" t="str">
        <f>'A) Base RI'!B147</f>
        <v>Lavigny</v>
      </c>
      <c r="C145" s="294">
        <f>'B) D RI'!U147</f>
        <v>41194.659315068493</v>
      </c>
      <c r="D145" s="32">
        <f>'B) D RI'!AA147</f>
        <v>1008</v>
      </c>
      <c r="E145" s="200">
        <f t="shared" si="18"/>
        <v>40.867717574472714</v>
      </c>
      <c r="F145" s="365">
        <f t="shared" si="19"/>
        <v>0.84841739992828535</v>
      </c>
      <c r="G145" s="376">
        <f t="shared" si="20"/>
        <v>0</v>
      </c>
      <c r="H145" s="373">
        <f t="shared" si="21"/>
        <v>0</v>
      </c>
      <c r="I145" s="376">
        <f t="shared" si="22"/>
        <v>0</v>
      </c>
      <c r="J145" s="373">
        <f t="shared" si="23"/>
        <v>0</v>
      </c>
      <c r="K145" s="368">
        <f t="shared" si="24"/>
        <v>0</v>
      </c>
      <c r="L145" s="372">
        <f t="shared" si="25"/>
        <v>0</v>
      </c>
      <c r="M145" s="113">
        <f>L145*D145*'B) D RI'!S147</f>
        <v>0</v>
      </c>
    </row>
    <row r="146" spans="1:13" x14ac:dyDescent="0.25">
      <c r="A146" s="296">
        <f>'A) Base RI'!A148</f>
        <v>5638</v>
      </c>
      <c r="B146" s="32" t="str">
        <f>'A) Base RI'!B148</f>
        <v>Lonay</v>
      </c>
      <c r="C146" s="294">
        <f>'B) D RI'!U148</f>
        <v>145490.01981818181</v>
      </c>
      <c r="D146" s="32">
        <f>'B) D RI'!AA148</f>
        <v>2679</v>
      </c>
      <c r="E146" s="200">
        <f t="shared" si="18"/>
        <v>54.307584851878239</v>
      </c>
      <c r="F146" s="365">
        <f t="shared" si="19"/>
        <v>1.1274302229492628</v>
      </c>
      <c r="G146" s="376">
        <f t="shared" si="20"/>
        <v>6.1382314440778316</v>
      </c>
      <c r="H146" s="373">
        <f t="shared" si="21"/>
        <v>0</v>
      </c>
      <c r="I146" s="376">
        <f t="shared" si="22"/>
        <v>0</v>
      </c>
      <c r="J146" s="373">
        <f t="shared" si="23"/>
        <v>0</v>
      </c>
      <c r="K146" s="368">
        <f t="shared" si="24"/>
        <v>0</v>
      </c>
      <c r="L146" s="372">
        <f t="shared" si="25"/>
        <v>1.2276462888155664</v>
      </c>
      <c r="M146" s="113">
        <f>L146*D146*'B) D RI'!S148</f>
        <v>180887.54242552962</v>
      </c>
    </row>
    <row r="147" spans="1:13" x14ac:dyDescent="0.25">
      <c r="A147" s="296">
        <f>'A) Base RI'!A149</f>
        <v>5639</v>
      </c>
      <c r="B147" s="32" t="str">
        <f>'A) Base RI'!B149</f>
        <v>Lully</v>
      </c>
      <c r="C147" s="294">
        <f>'B) D RI'!U149</f>
        <v>45623.094262295082</v>
      </c>
      <c r="D147" s="32">
        <f>'B) D RI'!AA149</f>
        <v>825</v>
      </c>
      <c r="E147" s="200">
        <f t="shared" si="18"/>
        <v>55.300720317933433</v>
      </c>
      <c r="F147" s="365">
        <f t="shared" si="19"/>
        <v>1.1480478022978442</v>
      </c>
      <c r="G147" s="376">
        <f t="shared" si="20"/>
        <v>7.1313669101330248</v>
      </c>
      <c r="H147" s="373">
        <f t="shared" si="21"/>
        <v>0</v>
      </c>
      <c r="I147" s="376">
        <f t="shared" si="22"/>
        <v>0</v>
      </c>
      <c r="J147" s="373">
        <f t="shared" si="23"/>
        <v>0</v>
      </c>
      <c r="K147" s="368">
        <f t="shared" si="24"/>
        <v>0</v>
      </c>
      <c r="L147" s="372">
        <f t="shared" si="25"/>
        <v>1.4262733820266051</v>
      </c>
      <c r="M147" s="113">
        <f>L147*D147*'B) D RI'!S149</f>
        <v>71777.207950488897</v>
      </c>
    </row>
    <row r="148" spans="1:13" x14ac:dyDescent="0.25">
      <c r="A148" s="296">
        <f>'A) Base RI'!A150</f>
        <v>5640</v>
      </c>
      <c r="B148" s="32" t="str">
        <f>'A) Base RI'!B150</f>
        <v>Lussy-sur-Morges</v>
      </c>
      <c r="C148" s="294">
        <f>'B) D RI'!U150</f>
        <v>57031.532424242418</v>
      </c>
      <c r="D148" s="32">
        <f>'B) D RI'!AA150</f>
        <v>722</v>
      </c>
      <c r="E148" s="200">
        <f t="shared" si="18"/>
        <v>78.991042138839916</v>
      </c>
      <c r="F148" s="365">
        <f t="shared" si="19"/>
        <v>1.6398609603517811</v>
      </c>
      <c r="G148" s="376">
        <f t="shared" si="20"/>
        <v>30.821688731039508</v>
      </c>
      <c r="H148" s="373">
        <f t="shared" si="21"/>
        <v>21.187818049479432</v>
      </c>
      <c r="I148" s="376">
        <f t="shared" si="22"/>
        <v>6.7370120271393006</v>
      </c>
      <c r="J148" s="373">
        <f t="shared" si="23"/>
        <v>0</v>
      </c>
      <c r="K148" s="368">
        <f t="shared" si="24"/>
        <v>0</v>
      </c>
      <c r="L148" s="372">
        <f t="shared" si="25"/>
        <v>8.9568207538697742</v>
      </c>
      <c r="M148" s="113">
        <f>L148*D148*'B) D RI'!S150</f>
        <v>426810.42256340245</v>
      </c>
    </row>
    <row r="149" spans="1:13" x14ac:dyDescent="0.25">
      <c r="A149" s="296">
        <f>'A) Base RI'!A151</f>
        <v>5642</v>
      </c>
      <c r="B149" s="32" t="str">
        <f>'A) Base RI'!B151</f>
        <v>Morges</v>
      </c>
      <c r="C149" s="294">
        <f>'B) D RI'!U151</f>
        <v>787513.11402985093</v>
      </c>
      <c r="D149" s="32">
        <f>'B) D RI'!AA151</f>
        <v>16095</v>
      </c>
      <c r="E149" s="200">
        <f t="shared" si="18"/>
        <v>48.929053372466662</v>
      </c>
      <c r="F149" s="365">
        <f t="shared" si="19"/>
        <v>1.0157714378732605</v>
      </c>
      <c r="G149" s="376">
        <f t="shared" si="20"/>
        <v>0.75969996466625389</v>
      </c>
      <c r="H149" s="373">
        <f t="shared" si="21"/>
        <v>0</v>
      </c>
      <c r="I149" s="376">
        <f t="shared" si="22"/>
        <v>0</v>
      </c>
      <c r="J149" s="373">
        <f t="shared" si="23"/>
        <v>0</v>
      </c>
      <c r="K149" s="368">
        <f t="shared" si="24"/>
        <v>0</v>
      </c>
      <c r="L149" s="372">
        <f t="shared" si="25"/>
        <v>0.15193999293325078</v>
      </c>
      <c r="M149" s="113">
        <f>L149*D149*'B) D RI'!S151</f>
        <v>163846.77047946496</v>
      </c>
    </row>
    <row r="150" spans="1:13" x14ac:dyDescent="0.25">
      <c r="A150" s="296">
        <f>'A) Base RI'!A152</f>
        <v>5643</v>
      </c>
      <c r="B150" s="32" t="str">
        <f>'A) Base RI'!B152</f>
        <v>Préverenges</v>
      </c>
      <c r="C150" s="294">
        <f>'B) D RI'!U152</f>
        <v>262337.37167999998</v>
      </c>
      <c r="D150" s="32">
        <f>'B) D RI'!AA152</f>
        <v>5241</v>
      </c>
      <c r="E150" s="200">
        <f t="shared" si="18"/>
        <v>50.054831459645101</v>
      </c>
      <c r="F150" s="365">
        <f t="shared" si="19"/>
        <v>1.0391426896658189</v>
      </c>
      <c r="G150" s="376">
        <f t="shared" si="20"/>
        <v>1.885478051844693</v>
      </c>
      <c r="H150" s="373">
        <f t="shared" si="21"/>
        <v>0</v>
      </c>
      <c r="I150" s="376">
        <f t="shared" si="22"/>
        <v>0</v>
      </c>
      <c r="J150" s="373">
        <f t="shared" si="23"/>
        <v>0</v>
      </c>
      <c r="K150" s="368">
        <f t="shared" si="24"/>
        <v>0</v>
      </c>
      <c r="L150" s="372">
        <f t="shared" si="25"/>
        <v>0.37709561036893863</v>
      </c>
      <c r="M150" s="113">
        <f>L150*D150*'B) D RI'!S152</f>
        <v>123522.38087147546</v>
      </c>
    </row>
    <row r="151" spans="1:13" x14ac:dyDescent="0.25">
      <c r="A151" s="296">
        <f>'A) Base RI'!A153</f>
        <v>5644</v>
      </c>
      <c r="B151" s="32" t="str">
        <f>'A) Base RI'!B153</f>
        <v>Reverolle</v>
      </c>
      <c r="C151" s="294">
        <f>'B) D RI'!U153</f>
        <v>16020.747027027028</v>
      </c>
      <c r="D151" s="32">
        <f>'B) D RI'!AA153</f>
        <v>407</v>
      </c>
      <c r="E151" s="200">
        <f t="shared" si="18"/>
        <v>39.363014808420218</v>
      </c>
      <c r="F151" s="365">
        <f t="shared" si="19"/>
        <v>0.81717963858003295</v>
      </c>
      <c r="G151" s="376">
        <f t="shared" si="20"/>
        <v>0</v>
      </c>
      <c r="H151" s="373">
        <f t="shared" si="21"/>
        <v>0</v>
      </c>
      <c r="I151" s="376">
        <f t="shared" si="22"/>
        <v>0</v>
      </c>
      <c r="J151" s="373">
        <f t="shared" si="23"/>
        <v>0</v>
      </c>
      <c r="K151" s="368">
        <f t="shared" si="24"/>
        <v>0</v>
      </c>
      <c r="L151" s="372">
        <f t="shared" si="25"/>
        <v>0</v>
      </c>
      <c r="M151" s="113">
        <f>L151*D151*'B) D RI'!S153</f>
        <v>0</v>
      </c>
    </row>
    <row r="152" spans="1:13" x14ac:dyDescent="0.25">
      <c r="A152" s="296">
        <f>'A) Base RI'!A154</f>
        <v>5645</v>
      </c>
      <c r="B152" s="32" t="str">
        <f>'A) Base RI'!B154</f>
        <v>Romanel-sur-Morges</v>
      </c>
      <c r="C152" s="294">
        <f>'B) D RI'!U154</f>
        <v>27365.134464285718</v>
      </c>
      <c r="D152" s="32">
        <f>'B) D RI'!AA154</f>
        <v>466</v>
      </c>
      <c r="E152" s="200">
        <f t="shared" si="18"/>
        <v>58.723464515634589</v>
      </c>
      <c r="F152" s="365">
        <f t="shared" si="19"/>
        <v>1.2191042719316443</v>
      </c>
      <c r="G152" s="376">
        <f t="shared" si="20"/>
        <v>10.554111107834181</v>
      </c>
      <c r="H152" s="373">
        <f t="shared" si="21"/>
        <v>0.92024042627410552</v>
      </c>
      <c r="I152" s="376">
        <f t="shared" si="22"/>
        <v>0</v>
      </c>
      <c r="J152" s="373">
        <f t="shared" si="23"/>
        <v>0</v>
      </c>
      <c r="K152" s="368">
        <f t="shared" si="24"/>
        <v>0</v>
      </c>
      <c r="L152" s="372">
        <f t="shared" si="25"/>
        <v>2.202846264194247</v>
      </c>
      <c r="M152" s="113">
        <f>L152*D152*'B) D RI'!S154</f>
        <v>57485.476110413074</v>
      </c>
    </row>
    <row r="153" spans="1:13" x14ac:dyDescent="0.25">
      <c r="A153" s="296">
        <f>'A) Base RI'!A155</f>
        <v>5646</v>
      </c>
      <c r="B153" s="32" t="str">
        <f>'A) Base RI'!B155</f>
        <v>Saint-Prex</v>
      </c>
      <c r="C153" s="294">
        <f>'B) D RI'!U155</f>
        <v>541092.68090909091</v>
      </c>
      <c r="D153" s="32">
        <f>'B) D RI'!AA155</f>
        <v>5865</v>
      </c>
      <c r="E153" s="200">
        <f t="shared" si="18"/>
        <v>92.257916608540654</v>
      </c>
      <c r="F153" s="365">
        <f t="shared" si="19"/>
        <v>1.9152824375176409</v>
      </c>
      <c r="G153" s="376">
        <f t="shared" si="20"/>
        <v>44.088563200740246</v>
      </c>
      <c r="H153" s="373">
        <f t="shared" si="21"/>
        <v>34.454692519180171</v>
      </c>
      <c r="I153" s="376">
        <f t="shared" si="22"/>
        <v>20.003886496840039</v>
      </c>
      <c r="J153" s="373">
        <f t="shared" si="23"/>
        <v>0</v>
      </c>
      <c r="K153" s="368">
        <f t="shared" si="24"/>
        <v>0</v>
      </c>
      <c r="L153" s="372">
        <f t="shared" si="25"/>
        <v>14.26357054175007</v>
      </c>
      <c r="M153" s="113">
        <f>L153*D153*'B) D RI'!S155</f>
        <v>4601071.2675050283</v>
      </c>
    </row>
    <row r="154" spans="1:13" x14ac:dyDescent="0.25">
      <c r="A154" s="296">
        <f>'A) Base RI'!A156</f>
        <v>5648</v>
      </c>
      <c r="B154" s="32" t="str">
        <f>'A) Base RI'!B156</f>
        <v>Saint-Sulpice</v>
      </c>
      <c r="C154" s="294">
        <f>'B) D RI'!U156</f>
        <v>396480.48181818181</v>
      </c>
      <c r="D154" s="32">
        <f>'B) D RI'!AA156</f>
        <v>4909</v>
      </c>
      <c r="E154" s="200">
        <f t="shared" si="18"/>
        <v>80.766038259967772</v>
      </c>
      <c r="F154" s="365">
        <f t="shared" si="19"/>
        <v>1.6767100354494016</v>
      </c>
      <c r="G154" s="376">
        <f t="shared" si="20"/>
        <v>32.596684852167364</v>
      </c>
      <c r="H154" s="373">
        <f t="shared" si="21"/>
        <v>22.962814170607288</v>
      </c>
      <c r="I154" s="376">
        <f t="shared" si="22"/>
        <v>8.5120081482671566</v>
      </c>
      <c r="J154" s="373">
        <f t="shared" si="23"/>
        <v>0</v>
      </c>
      <c r="K154" s="368">
        <f t="shared" si="24"/>
        <v>0</v>
      </c>
      <c r="L154" s="372">
        <f t="shared" si="25"/>
        <v>9.6668192023209176</v>
      </c>
      <c r="M154" s="113">
        <f>L154*D154*'B) D RI'!S156</f>
        <v>2609992.850530636</v>
      </c>
    </row>
    <row r="155" spans="1:13" x14ac:dyDescent="0.25">
      <c r="A155" s="296">
        <f>'A) Base RI'!A157</f>
        <v>5649</v>
      </c>
      <c r="B155" s="32" t="str">
        <f>'A) Base RI'!B157</f>
        <v>Tolochenaz</v>
      </c>
      <c r="C155" s="294">
        <f>'B) D RI'!U157</f>
        <v>215548.34569230766</v>
      </c>
      <c r="D155" s="32">
        <f>'B) D RI'!AA157</f>
        <v>1889</v>
      </c>
      <c r="E155" s="200">
        <f t="shared" si="18"/>
        <v>114.10711788899293</v>
      </c>
      <c r="F155" s="365">
        <f t="shared" si="19"/>
        <v>2.3688737717312756</v>
      </c>
      <c r="G155" s="376">
        <f t="shared" si="20"/>
        <v>65.937764481192517</v>
      </c>
      <c r="H155" s="373">
        <f t="shared" si="21"/>
        <v>56.303893799632448</v>
      </c>
      <c r="I155" s="376">
        <f t="shared" si="22"/>
        <v>41.853087777292316</v>
      </c>
      <c r="J155" s="373">
        <f t="shared" si="23"/>
        <v>17.768411073392116</v>
      </c>
      <c r="K155" s="368">
        <f t="shared" si="24"/>
        <v>0</v>
      </c>
      <c r="L155" s="372">
        <f t="shared" si="25"/>
        <v>24.780092161270193</v>
      </c>
      <c r="M155" s="113">
        <f>L155*D155*'B) D RI'!S157</f>
        <v>3042623.6160215605</v>
      </c>
    </row>
    <row r="156" spans="1:13" x14ac:dyDescent="0.25">
      <c r="A156" s="296">
        <f>'A) Base RI'!A158</f>
        <v>5650</v>
      </c>
      <c r="B156" s="32" t="str">
        <f>'A) Base RI'!B158</f>
        <v>Vaux-sur-Morges</v>
      </c>
      <c r="C156" s="294">
        <f>'B) D RI'!U158</f>
        <v>63002.429285714286</v>
      </c>
      <c r="D156" s="32">
        <f>'B) D RI'!AA158</f>
        <v>194</v>
      </c>
      <c r="E156" s="200">
        <f t="shared" si="18"/>
        <v>324.7547901325479</v>
      </c>
      <c r="F156" s="365">
        <f t="shared" si="19"/>
        <v>6.7419379160683945</v>
      </c>
      <c r="G156" s="376">
        <f t="shared" si="20"/>
        <v>276.58543672474747</v>
      </c>
      <c r="H156" s="373">
        <f t="shared" si="21"/>
        <v>266.95156604318743</v>
      </c>
      <c r="I156" s="376">
        <f t="shared" si="22"/>
        <v>252.50076002084728</v>
      </c>
      <c r="J156" s="373">
        <f t="shared" si="23"/>
        <v>228.41608331694709</v>
      </c>
      <c r="K156" s="368">
        <f t="shared" si="24"/>
        <v>180.24672990914667</v>
      </c>
      <c r="L156" s="372">
        <f t="shared" si="25"/>
        <v>148.12860127396235</v>
      </c>
      <c r="M156" s="113">
        <f>L156*D156*'B) D RI'!S158</f>
        <v>1609269.1242403269</v>
      </c>
    </row>
    <row r="157" spans="1:13" x14ac:dyDescent="0.25">
      <c r="A157" s="296">
        <f>'A) Base RI'!A159</f>
        <v>5651</v>
      </c>
      <c r="B157" s="32" t="str">
        <f>'A) Base RI'!B159</f>
        <v>Villars-Sainte-Croix</v>
      </c>
      <c r="C157" s="294">
        <f>'B) D RI'!U159</f>
        <v>56095.490247933893</v>
      </c>
      <c r="D157" s="32">
        <f>'B) D RI'!AA159</f>
        <v>958</v>
      </c>
      <c r="E157" s="200">
        <f t="shared" si="18"/>
        <v>58.554791490536424</v>
      </c>
      <c r="F157" s="365">
        <f t="shared" si="19"/>
        <v>1.215602605142178</v>
      </c>
      <c r="G157" s="376">
        <f t="shared" si="20"/>
        <v>10.385438082736016</v>
      </c>
      <c r="H157" s="373">
        <f t="shared" si="21"/>
        <v>0.75156740117594012</v>
      </c>
      <c r="I157" s="376">
        <f t="shared" si="22"/>
        <v>0</v>
      </c>
      <c r="J157" s="373">
        <f t="shared" si="23"/>
        <v>0</v>
      </c>
      <c r="K157" s="368">
        <f t="shared" si="24"/>
        <v>0</v>
      </c>
      <c r="L157" s="372">
        <f t="shared" si="25"/>
        <v>2.1522443566647973</v>
      </c>
      <c r="M157" s="113">
        <f>L157*D157*'B) D RI'!S159</f>
        <v>124741.930667935</v>
      </c>
    </row>
    <row r="158" spans="1:13" x14ac:dyDescent="0.25">
      <c r="A158" s="296">
        <f>'A) Base RI'!A160</f>
        <v>5652</v>
      </c>
      <c r="B158" s="32" t="str">
        <f>'A) Base RI'!B160</f>
        <v>Villars-sous-Yens</v>
      </c>
      <c r="C158" s="294">
        <f>'B) D RI'!U160</f>
        <v>25662.281995614037</v>
      </c>
      <c r="D158" s="32">
        <f>'B) D RI'!AA160</f>
        <v>615</v>
      </c>
      <c r="E158" s="200">
        <f t="shared" si="18"/>
        <v>41.727287797746399</v>
      </c>
      <c r="F158" s="365">
        <f t="shared" si="19"/>
        <v>0.86626215312637356</v>
      </c>
      <c r="G158" s="376">
        <f t="shared" si="20"/>
        <v>0</v>
      </c>
      <c r="H158" s="373">
        <f t="shared" si="21"/>
        <v>0</v>
      </c>
      <c r="I158" s="376">
        <f t="shared" si="22"/>
        <v>0</v>
      </c>
      <c r="J158" s="373">
        <f t="shared" si="23"/>
        <v>0</v>
      </c>
      <c r="K158" s="368">
        <f t="shared" si="24"/>
        <v>0</v>
      </c>
      <c r="L158" s="372">
        <f t="shared" si="25"/>
        <v>0</v>
      </c>
      <c r="M158" s="113">
        <f>L158*D158*'B) D RI'!S160</f>
        <v>0</v>
      </c>
    </row>
    <row r="159" spans="1:13" x14ac:dyDescent="0.25">
      <c r="A159" s="296">
        <f>'A) Base RI'!A161</f>
        <v>5653</v>
      </c>
      <c r="B159" s="32" t="str">
        <f>'A) Base RI'!B161</f>
        <v>Vufflens-le-Château</v>
      </c>
      <c r="C159" s="294">
        <f>'B) D RI'!U161</f>
        <v>68786.034529914527</v>
      </c>
      <c r="D159" s="32">
        <f>'B) D RI'!AA161</f>
        <v>870</v>
      </c>
      <c r="E159" s="200">
        <f t="shared" si="18"/>
        <v>79.064407505648887</v>
      </c>
      <c r="F159" s="365">
        <f t="shared" si="19"/>
        <v>1.6413840317990531</v>
      </c>
      <c r="G159" s="376">
        <f t="shared" si="20"/>
        <v>30.89505409784848</v>
      </c>
      <c r="H159" s="373">
        <f t="shared" si="21"/>
        <v>21.261183416288404</v>
      </c>
      <c r="I159" s="376">
        <f t="shared" si="22"/>
        <v>6.8103773939482721</v>
      </c>
      <c r="J159" s="373">
        <f t="shared" si="23"/>
        <v>0</v>
      </c>
      <c r="K159" s="368">
        <f t="shared" si="24"/>
        <v>0</v>
      </c>
      <c r="L159" s="372">
        <f t="shared" si="25"/>
        <v>8.9861669005933642</v>
      </c>
      <c r="M159" s="113">
        <f>L159*D159*'B) D RI'!S161</f>
        <v>457350.96440569928</v>
      </c>
    </row>
    <row r="160" spans="1:13" x14ac:dyDescent="0.25">
      <c r="A160" s="296">
        <f>'A) Base RI'!A162</f>
        <v>5654</v>
      </c>
      <c r="B160" s="32" t="str">
        <f>'A) Base RI'!B162</f>
        <v>Vullierens</v>
      </c>
      <c r="C160" s="294">
        <f>'B) D RI'!U162</f>
        <v>19265.899342105262</v>
      </c>
      <c r="D160" s="32">
        <f>'B) D RI'!AA162</f>
        <v>542</v>
      </c>
      <c r="E160" s="200">
        <f t="shared" si="18"/>
        <v>35.545939745581663</v>
      </c>
      <c r="F160" s="365">
        <f t="shared" si="19"/>
        <v>0.73793682561297269</v>
      </c>
      <c r="G160" s="376">
        <f t="shared" si="20"/>
        <v>0</v>
      </c>
      <c r="H160" s="373">
        <f t="shared" si="21"/>
        <v>0</v>
      </c>
      <c r="I160" s="376">
        <f t="shared" si="22"/>
        <v>0</v>
      </c>
      <c r="J160" s="373">
        <f t="shared" si="23"/>
        <v>0</v>
      </c>
      <c r="K160" s="368">
        <f t="shared" si="24"/>
        <v>0</v>
      </c>
      <c r="L160" s="372">
        <f t="shared" si="25"/>
        <v>0</v>
      </c>
      <c r="M160" s="113">
        <f>L160*D160*'B) D RI'!S162</f>
        <v>0</v>
      </c>
    </row>
    <row r="161" spans="1:13" x14ac:dyDescent="0.25">
      <c r="A161" s="296">
        <f>'A) Base RI'!A163</f>
        <v>5655</v>
      </c>
      <c r="B161" s="32" t="str">
        <f>'A) Base RI'!B163</f>
        <v>Yens</v>
      </c>
      <c r="C161" s="294">
        <f>'B) D RI'!U163</f>
        <v>90935.122097902116</v>
      </c>
      <c r="D161" s="32">
        <f>'B) D RI'!AA163</f>
        <v>1480</v>
      </c>
      <c r="E161" s="200">
        <f t="shared" si="18"/>
        <v>61.44265006615008</v>
      </c>
      <c r="F161" s="365">
        <f t="shared" si="19"/>
        <v>1.2755548023652781</v>
      </c>
      <c r="G161" s="376">
        <f t="shared" si="20"/>
        <v>13.273296658349672</v>
      </c>
      <c r="H161" s="373">
        <f t="shared" si="21"/>
        <v>3.639425976789596</v>
      </c>
      <c r="I161" s="376">
        <f t="shared" si="22"/>
        <v>0</v>
      </c>
      <c r="J161" s="373">
        <f t="shared" si="23"/>
        <v>0</v>
      </c>
      <c r="K161" s="368">
        <f t="shared" si="24"/>
        <v>0</v>
      </c>
      <c r="L161" s="372">
        <f t="shared" si="25"/>
        <v>3.0186019293488942</v>
      </c>
      <c r="M161" s="113">
        <f>L161*D161*'B) D RI'!S163</f>
        <v>319428.45616370003</v>
      </c>
    </row>
    <row r="162" spans="1:13" x14ac:dyDescent="0.25">
      <c r="A162" s="296">
        <f>'A) Base RI'!A164</f>
        <v>5661</v>
      </c>
      <c r="B162" s="32" t="str">
        <f>'A) Base RI'!B164</f>
        <v>Boulens</v>
      </c>
      <c r="C162" s="294">
        <f>'B) D RI'!U164</f>
        <v>10167.852447552446</v>
      </c>
      <c r="D162" s="32">
        <f>'B) D RI'!AA164</f>
        <v>369</v>
      </c>
      <c r="E162" s="200">
        <f t="shared" si="18"/>
        <v>27.555155684423973</v>
      </c>
      <c r="F162" s="365">
        <f t="shared" si="19"/>
        <v>0.57204744791035056</v>
      </c>
      <c r="G162" s="376">
        <f t="shared" si="20"/>
        <v>0</v>
      </c>
      <c r="H162" s="373">
        <f t="shared" si="21"/>
        <v>0</v>
      </c>
      <c r="I162" s="376">
        <f t="shared" si="22"/>
        <v>0</v>
      </c>
      <c r="J162" s="373">
        <f t="shared" si="23"/>
        <v>0</v>
      </c>
      <c r="K162" s="368">
        <f t="shared" si="24"/>
        <v>0</v>
      </c>
      <c r="L162" s="372">
        <f t="shared" si="25"/>
        <v>0</v>
      </c>
      <c r="M162" s="113">
        <f>L162*D162*'B) D RI'!S164</f>
        <v>0</v>
      </c>
    </row>
    <row r="163" spans="1:13" x14ac:dyDescent="0.25">
      <c r="A163" s="296">
        <f>'A) Base RI'!A165</f>
        <v>5663</v>
      </c>
      <c r="B163" s="32" t="str">
        <f>'A) Base RI'!B165</f>
        <v>Bussy-sur-Moudon</v>
      </c>
      <c r="C163" s="294">
        <f>'B) D RI'!U165</f>
        <v>5408.1284999999998</v>
      </c>
      <c r="D163" s="32">
        <f>'B) D RI'!AA165</f>
        <v>219</v>
      </c>
      <c r="E163" s="200">
        <f t="shared" si="18"/>
        <v>24.694650684931506</v>
      </c>
      <c r="F163" s="365">
        <f t="shared" si="19"/>
        <v>0.51266311332575465</v>
      </c>
      <c r="G163" s="376">
        <f t="shared" si="20"/>
        <v>0</v>
      </c>
      <c r="H163" s="373">
        <f t="shared" si="21"/>
        <v>0</v>
      </c>
      <c r="I163" s="376">
        <f t="shared" si="22"/>
        <v>0</v>
      </c>
      <c r="J163" s="373">
        <f t="shared" si="23"/>
        <v>0</v>
      </c>
      <c r="K163" s="368">
        <f t="shared" si="24"/>
        <v>0</v>
      </c>
      <c r="L163" s="372">
        <f t="shared" si="25"/>
        <v>0</v>
      </c>
      <c r="M163" s="113">
        <f>L163*D163*'B) D RI'!S165</f>
        <v>0</v>
      </c>
    </row>
    <row r="164" spans="1:13" x14ac:dyDescent="0.25">
      <c r="A164" s="296">
        <f>'A) Base RI'!A166</f>
        <v>5665</v>
      </c>
      <c r="B164" s="32" t="str">
        <f>'A) Base RI'!B166</f>
        <v>Chavannes-sur-Moudon</v>
      </c>
      <c r="C164" s="294">
        <f>'B) D RI'!U166</f>
        <v>6834.8221917808223</v>
      </c>
      <c r="D164" s="32">
        <f>'B) D RI'!AA166</f>
        <v>223</v>
      </c>
      <c r="E164" s="200">
        <f t="shared" si="18"/>
        <v>30.649426868972299</v>
      </c>
      <c r="F164" s="365">
        <f t="shared" si="19"/>
        <v>0.63628478899218555</v>
      </c>
      <c r="G164" s="376">
        <f t="shared" si="20"/>
        <v>0</v>
      </c>
      <c r="H164" s="373">
        <f t="shared" si="21"/>
        <v>0</v>
      </c>
      <c r="I164" s="376">
        <f t="shared" si="22"/>
        <v>0</v>
      </c>
      <c r="J164" s="373">
        <f t="shared" si="23"/>
        <v>0</v>
      </c>
      <c r="K164" s="368">
        <f t="shared" si="24"/>
        <v>0</v>
      </c>
      <c r="L164" s="372">
        <f t="shared" si="25"/>
        <v>0</v>
      </c>
      <c r="M164" s="113">
        <f>L164*D164*'B) D RI'!S166</f>
        <v>0</v>
      </c>
    </row>
    <row r="165" spans="1:13" x14ac:dyDescent="0.25">
      <c r="A165" s="296">
        <f>'A) Base RI'!A167</f>
        <v>5669</v>
      </c>
      <c r="B165" s="32" t="str">
        <f>'A) Base RI'!B167</f>
        <v>Curtilles</v>
      </c>
      <c r="C165" s="294">
        <f>'B) D RI'!U167</f>
        <v>10286.853972602739</v>
      </c>
      <c r="D165" s="32">
        <f>'B) D RI'!AA167</f>
        <v>301</v>
      </c>
      <c r="E165" s="200">
        <f t="shared" si="18"/>
        <v>34.175594593364579</v>
      </c>
      <c r="F165" s="365">
        <f t="shared" si="19"/>
        <v>0.70948834010776407</v>
      </c>
      <c r="G165" s="376">
        <f t="shared" si="20"/>
        <v>0</v>
      </c>
      <c r="H165" s="373">
        <f t="shared" si="21"/>
        <v>0</v>
      </c>
      <c r="I165" s="376">
        <f t="shared" si="22"/>
        <v>0</v>
      </c>
      <c r="J165" s="373">
        <f t="shared" si="23"/>
        <v>0</v>
      </c>
      <c r="K165" s="368">
        <f t="shared" si="24"/>
        <v>0</v>
      </c>
      <c r="L165" s="372">
        <f t="shared" si="25"/>
        <v>0</v>
      </c>
      <c r="M165" s="113">
        <f>L165*D165*'B) D RI'!S167</f>
        <v>0</v>
      </c>
    </row>
    <row r="166" spans="1:13" x14ac:dyDescent="0.25">
      <c r="A166" s="296">
        <f>'A) Base RI'!A168</f>
        <v>5671</v>
      </c>
      <c r="B166" s="32" t="str">
        <f>'A) Base RI'!B168</f>
        <v>Dompierre</v>
      </c>
      <c r="C166" s="294">
        <f>'B) D RI'!U168</f>
        <v>6034.0657692307695</v>
      </c>
      <c r="D166" s="32">
        <f>'B) D RI'!AA168</f>
        <v>245</v>
      </c>
      <c r="E166" s="200">
        <f t="shared" si="18"/>
        <v>24.628839874411305</v>
      </c>
      <c r="F166" s="365">
        <f t="shared" si="19"/>
        <v>0.51129687512938427</v>
      </c>
      <c r="G166" s="376">
        <f t="shared" si="20"/>
        <v>0</v>
      </c>
      <c r="H166" s="373">
        <f t="shared" si="21"/>
        <v>0</v>
      </c>
      <c r="I166" s="376">
        <f t="shared" si="22"/>
        <v>0</v>
      </c>
      <c r="J166" s="373">
        <f t="shared" si="23"/>
        <v>0</v>
      </c>
      <c r="K166" s="368">
        <f t="shared" si="24"/>
        <v>0</v>
      </c>
      <c r="L166" s="372">
        <f t="shared" si="25"/>
        <v>0</v>
      </c>
      <c r="M166" s="113">
        <f>L166*D166*'B) D RI'!S168</f>
        <v>0</v>
      </c>
    </row>
    <row r="167" spans="1:13" x14ac:dyDescent="0.25">
      <c r="A167" s="296">
        <f>'A) Base RI'!A169</f>
        <v>5673</v>
      </c>
      <c r="B167" s="32" t="str">
        <f>'A) Base RI'!B169</f>
        <v>Hermenches</v>
      </c>
      <c r="C167" s="294">
        <f>'B) D RI'!U169</f>
        <v>10638.728435374151</v>
      </c>
      <c r="D167" s="32">
        <f>'B) D RI'!AA169</f>
        <v>384</v>
      </c>
      <c r="E167" s="200">
        <f t="shared" si="18"/>
        <v>27.705021967120185</v>
      </c>
      <c r="F167" s="365">
        <f t="shared" si="19"/>
        <v>0.57515868507866896</v>
      </c>
      <c r="G167" s="376">
        <f t="shared" si="20"/>
        <v>0</v>
      </c>
      <c r="H167" s="373">
        <f t="shared" si="21"/>
        <v>0</v>
      </c>
      <c r="I167" s="376">
        <f t="shared" si="22"/>
        <v>0</v>
      </c>
      <c r="J167" s="373">
        <f t="shared" si="23"/>
        <v>0</v>
      </c>
      <c r="K167" s="368">
        <f t="shared" si="24"/>
        <v>0</v>
      </c>
      <c r="L167" s="372">
        <f t="shared" si="25"/>
        <v>0</v>
      </c>
      <c r="M167" s="113">
        <f>L167*D167*'B) D RI'!S169</f>
        <v>0</v>
      </c>
    </row>
    <row r="168" spans="1:13" x14ac:dyDescent="0.25">
      <c r="A168" s="296">
        <f>'A) Base RI'!A170</f>
        <v>5674</v>
      </c>
      <c r="B168" s="32" t="str">
        <f>'A) Base RI'!B170</f>
        <v>Lovatens</v>
      </c>
      <c r="C168" s="294">
        <f>'B) D RI'!U170</f>
        <v>3430.742038095239</v>
      </c>
      <c r="D168" s="32">
        <f>'B) D RI'!AA170</f>
        <v>142</v>
      </c>
      <c r="E168" s="200">
        <f t="shared" si="18"/>
        <v>24.160155197853797</v>
      </c>
      <c r="F168" s="365">
        <f t="shared" si="19"/>
        <v>0.50156694015206293</v>
      </c>
      <c r="G168" s="376">
        <f t="shared" si="20"/>
        <v>0</v>
      </c>
      <c r="H168" s="373">
        <f t="shared" si="21"/>
        <v>0</v>
      </c>
      <c r="I168" s="376">
        <f t="shared" si="22"/>
        <v>0</v>
      </c>
      <c r="J168" s="373">
        <f t="shared" si="23"/>
        <v>0</v>
      </c>
      <c r="K168" s="368">
        <f t="shared" si="24"/>
        <v>0</v>
      </c>
      <c r="L168" s="372">
        <f t="shared" si="25"/>
        <v>0</v>
      </c>
      <c r="M168" s="113">
        <f>L168*D168*'B) D RI'!S170</f>
        <v>0</v>
      </c>
    </row>
    <row r="169" spans="1:13" x14ac:dyDescent="0.25">
      <c r="A169" s="296">
        <f>'A) Base RI'!A171</f>
        <v>5675</v>
      </c>
      <c r="B169" s="32" t="str">
        <f>'A) Base RI'!B171</f>
        <v>Lucens</v>
      </c>
      <c r="C169" s="294">
        <f>'B) D RI'!U171</f>
        <v>97154.219717171698</v>
      </c>
      <c r="D169" s="32">
        <f>'B) D RI'!AA171</f>
        <v>4309</v>
      </c>
      <c r="E169" s="200">
        <f t="shared" si="18"/>
        <v>22.546813580220864</v>
      </c>
      <c r="F169" s="365">
        <f t="shared" si="19"/>
        <v>0.46807382672007586</v>
      </c>
      <c r="G169" s="376">
        <f t="shared" si="20"/>
        <v>0</v>
      </c>
      <c r="H169" s="373">
        <f t="shared" si="21"/>
        <v>0</v>
      </c>
      <c r="I169" s="376">
        <f t="shared" si="22"/>
        <v>0</v>
      </c>
      <c r="J169" s="373">
        <f t="shared" si="23"/>
        <v>0</v>
      </c>
      <c r="K169" s="368">
        <f t="shared" si="24"/>
        <v>0</v>
      </c>
      <c r="L169" s="372">
        <f t="shared" si="25"/>
        <v>0</v>
      </c>
      <c r="M169" s="113">
        <f>L169*D169*'B) D RI'!S171</f>
        <v>0</v>
      </c>
    </row>
    <row r="170" spans="1:13" x14ac:dyDescent="0.25">
      <c r="A170" s="296">
        <f>'A) Base RI'!A172</f>
        <v>5678</v>
      </c>
      <c r="B170" s="32" t="str">
        <f>'A) Base RI'!B172</f>
        <v>Moudon</v>
      </c>
      <c r="C170" s="294">
        <f>'B) D RI'!U172</f>
        <v>124965.41862068966</v>
      </c>
      <c r="D170" s="32">
        <f>'B) D RI'!AA172</f>
        <v>6109</v>
      </c>
      <c r="E170" s="200">
        <f t="shared" si="18"/>
        <v>20.455953285429636</v>
      </c>
      <c r="F170" s="365">
        <f t="shared" si="19"/>
        <v>0.42466738368377305</v>
      </c>
      <c r="G170" s="376">
        <f t="shared" si="20"/>
        <v>0</v>
      </c>
      <c r="H170" s="373">
        <f t="shared" si="21"/>
        <v>0</v>
      </c>
      <c r="I170" s="376">
        <f t="shared" si="22"/>
        <v>0</v>
      </c>
      <c r="J170" s="373">
        <f t="shared" si="23"/>
        <v>0</v>
      </c>
      <c r="K170" s="368">
        <f t="shared" si="24"/>
        <v>0</v>
      </c>
      <c r="L170" s="372">
        <f t="shared" si="25"/>
        <v>0</v>
      </c>
      <c r="M170" s="113">
        <f>L170*D170*'B) D RI'!S172</f>
        <v>0</v>
      </c>
    </row>
    <row r="171" spans="1:13" x14ac:dyDescent="0.25">
      <c r="A171" s="296">
        <f>'A) Base RI'!A173</f>
        <v>5680</v>
      </c>
      <c r="B171" s="32" t="str">
        <f>'A) Base RI'!B173</f>
        <v>Ogens</v>
      </c>
      <c r="C171" s="294">
        <f>'B) D RI'!U173</f>
        <v>8675.0652136752142</v>
      </c>
      <c r="D171" s="32">
        <f>'B) D RI'!AA173</f>
        <v>301</v>
      </c>
      <c r="E171" s="200">
        <f t="shared" si="18"/>
        <v>28.820814663372804</v>
      </c>
      <c r="F171" s="365">
        <f t="shared" si="19"/>
        <v>0.59832263928013707</v>
      </c>
      <c r="G171" s="376">
        <f t="shared" si="20"/>
        <v>0</v>
      </c>
      <c r="H171" s="373">
        <f t="shared" si="21"/>
        <v>0</v>
      </c>
      <c r="I171" s="376">
        <f t="shared" si="22"/>
        <v>0</v>
      </c>
      <c r="J171" s="373">
        <f t="shared" si="23"/>
        <v>0</v>
      </c>
      <c r="K171" s="368">
        <f t="shared" si="24"/>
        <v>0</v>
      </c>
      <c r="L171" s="372">
        <f t="shared" si="25"/>
        <v>0</v>
      </c>
      <c r="M171" s="113">
        <f>L171*D171*'B) D RI'!S173</f>
        <v>0</v>
      </c>
    </row>
    <row r="172" spans="1:13" x14ac:dyDescent="0.25">
      <c r="A172" s="296">
        <f>'A) Base RI'!A174</f>
        <v>5683</v>
      </c>
      <c r="B172" s="32" t="str">
        <f>'A) Base RI'!B174</f>
        <v>Prévonloup</v>
      </c>
      <c r="C172" s="294">
        <f>'B) D RI'!U174</f>
        <v>5006.0282758620697</v>
      </c>
      <c r="D172" s="32">
        <f>'B) D RI'!AA174</f>
        <v>202</v>
      </c>
      <c r="E172" s="200">
        <f t="shared" si="18"/>
        <v>24.782318197336977</v>
      </c>
      <c r="F172" s="365">
        <f t="shared" si="19"/>
        <v>0.51448309856955232</v>
      </c>
      <c r="G172" s="376">
        <f t="shared" si="20"/>
        <v>0</v>
      </c>
      <c r="H172" s="373">
        <f t="shared" si="21"/>
        <v>0</v>
      </c>
      <c r="I172" s="376">
        <f t="shared" si="22"/>
        <v>0</v>
      </c>
      <c r="J172" s="373">
        <f t="shared" si="23"/>
        <v>0</v>
      </c>
      <c r="K172" s="368">
        <f t="shared" si="24"/>
        <v>0</v>
      </c>
      <c r="L172" s="372">
        <f t="shared" si="25"/>
        <v>0</v>
      </c>
      <c r="M172" s="113">
        <f>L172*D172*'B) D RI'!S174</f>
        <v>0</v>
      </c>
    </row>
    <row r="173" spans="1:13" x14ac:dyDescent="0.25">
      <c r="A173" s="296">
        <f>'A) Base RI'!A175</f>
        <v>5684</v>
      </c>
      <c r="B173" s="32" t="str">
        <f>'A) Base RI'!B175</f>
        <v>Rossenges</v>
      </c>
      <c r="C173" s="294">
        <f>'B) D RI'!U175</f>
        <v>4335.3234000000011</v>
      </c>
      <c r="D173" s="32">
        <f>'B) D RI'!AA175</f>
        <v>84</v>
      </c>
      <c r="E173" s="200">
        <f t="shared" si="18"/>
        <v>51.610992857142868</v>
      </c>
      <c r="F173" s="365">
        <f t="shared" si="19"/>
        <v>1.0714487367145171</v>
      </c>
      <c r="G173" s="376">
        <f t="shared" si="20"/>
        <v>3.4416394493424605</v>
      </c>
      <c r="H173" s="373">
        <f t="shared" si="21"/>
        <v>0</v>
      </c>
      <c r="I173" s="376">
        <f t="shared" si="22"/>
        <v>0</v>
      </c>
      <c r="J173" s="373">
        <f t="shared" si="23"/>
        <v>0</v>
      </c>
      <c r="K173" s="368">
        <f t="shared" si="24"/>
        <v>0</v>
      </c>
      <c r="L173" s="372">
        <f t="shared" si="25"/>
        <v>0.68832788986849214</v>
      </c>
      <c r="M173" s="113">
        <f>L173*D173*'B) D RI'!S175</f>
        <v>4336.4657061715006</v>
      </c>
    </row>
    <row r="174" spans="1:13" x14ac:dyDescent="0.25">
      <c r="A174" s="296">
        <f>'A) Base RI'!A176</f>
        <v>5688</v>
      </c>
      <c r="B174" s="32" t="str">
        <f>'A) Base RI'!B176</f>
        <v>Syens</v>
      </c>
      <c r="C174" s="294">
        <f>'B) D RI'!U176</f>
        <v>5094.0764550264557</v>
      </c>
      <c r="D174" s="32">
        <f>'B) D RI'!AA176</f>
        <v>156</v>
      </c>
      <c r="E174" s="200">
        <f t="shared" si="18"/>
        <v>32.654336250169585</v>
      </c>
      <c r="F174" s="365">
        <f t="shared" si="19"/>
        <v>0.67790688352652118</v>
      </c>
      <c r="G174" s="376">
        <f t="shared" si="20"/>
        <v>0</v>
      </c>
      <c r="H174" s="373">
        <f t="shared" si="21"/>
        <v>0</v>
      </c>
      <c r="I174" s="376">
        <f t="shared" si="22"/>
        <v>0</v>
      </c>
      <c r="J174" s="373">
        <f t="shared" si="23"/>
        <v>0</v>
      </c>
      <c r="K174" s="368">
        <f t="shared" si="24"/>
        <v>0</v>
      </c>
      <c r="L174" s="372">
        <f t="shared" si="25"/>
        <v>0</v>
      </c>
      <c r="M174" s="113">
        <f>L174*D174*'B) D RI'!S176</f>
        <v>0</v>
      </c>
    </row>
    <row r="175" spans="1:13" x14ac:dyDescent="0.25">
      <c r="A175" s="296">
        <f>'A) Base RI'!A177</f>
        <v>5690</v>
      </c>
      <c r="B175" s="32" t="str">
        <f>'A) Base RI'!B177</f>
        <v>Villars-le-Comte</v>
      </c>
      <c r="C175" s="294">
        <f>'B) D RI'!U177</f>
        <v>3483.7788571428573</v>
      </c>
      <c r="D175" s="32">
        <f>'B) D RI'!AA177</f>
        <v>120</v>
      </c>
      <c r="E175" s="200">
        <f t="shared" si="18"/>
        <v>29.031490476190477</v>
      </c>
      <c r="F175" s="365">
        <f t="shared" si="19"/>
        <v>0.60269628762526006</v>
      </c>
      <c r="G175" s="376">
        <f t="shared" si="20"/>
        <v>0</v>
      </c>
      <c r="H175" s="373">
        <f t="shared" si="21"/>
        <v>0</v>
      </c>
      <c r="I175" s="376">
        <f t="shared" si="22"/>
        <v>0</v>
      </c>
      <c r="J175" s="373">
        <f t="shared" si="23"/>
        <v>0</v>
      </c>
      <c r="K175" s="368">
        <f t="shared" si="24"/>
        <v>0</v>
      </c>
      <c r="L175" s="372">
        <f t="shared" si="25"/>
        <v>0</v>
      </c>
      <c r="M175" s="113">
        <f>L175*D175*'B) D RI'!S177</f>
        <v>0</v>
      </c>
    </row>
    <row r="176" spans="1:13" x14ac:dyDescent="0.25">
      <c r="A176" s="296">
        <f>'A) Base RI'!A178</f>
        <v>5692</v>
      </c>
      <c r="B176" s="32" t="str">
        <f>'A) Base RI'!B178</f>
        <v>Vucherens</v>
      </c>
      <c r="C176" s="294">
        <f>'B) D RI'!U178</f>
        <v>18084.556363636369</v>
      </c>
      <c r="D176" s="32">
        <f>'B) D RI'!AA178</f>
        <v>617</v>
      </c>
      <c r="E176" s="200">
        <f t="shared" si="18"/>
        <v>29.310464122587309</v>
      </c>
      <c r="F176" s="365">
        <f t="shared" si="19"/>
        <v>0.60848780498350752</v>
      </c>
      <c r="G176" s="376">
        <f t="shared" si="20"/>
        <v>0</v>
      </c>
      <c r="H176" s="373">
        <f t="shared" si="21"/>
        <v>0</v>
      </c>
      <c r="I176" s="376">
        <f t="shared" si="22"/>
        <v>0</v>
      </c>
      <c r="J176" s="373">
        <f t="shared" si="23"/>
        <v>0</v>
      </c>
      <c r="K176" s="368">
        <f t="shared" si="24"/>
        <v>0</v>
      </c>
      <c r="L176" s="372">
        <f t="shared" si="25"/>
        <v>0</v>
      </c>
      <c r="M176" s="113">
        <f>L176*D176*'B) D RI'!S178</f>
        <v>0</v>
      </c>
    </row>
    <row r="177" spans="1:13" x14ac:dyDescent="0.25">
      <c r="A177" s="296">
        <f>'A) Base RI'!A179</f>
        <v>5693</v>
      </c>
      <c r="B177" s="32" t="str">
        <f>'A) Base RI'!B179</f>
        <v>Montanaire</v>
      </c>
      <c r="C177" s="294">
        <f>'B) D RI'!U179</f>
        <v>71120.535138888881</v>
      </c>
      <c r="D177" s="32">
        <f>'B) D RI'!AA179</f>
        <v>2782</v>
      </c>
      <c r="E177" s="200">
        <f t="shared" si="18"/>
        <v>25.564534557472641</v>
      </c>
      <c r="F177" s="365">
        <f t="shared" si="19"/>
        <v>0.53072197878688554</v>
      </c>
      <c r="G177" s="376">
        <f t="shared" si="20"/>
        <v>0</v>
      </c>
      <c r="H177" s="373">
        <f t="shared" si="21"/>
        <v>0</v>
      </c>
      <c r="I177" s="376">
        <f t="shared" si="22"/>
        <v>0</v>
      </c>
      <c r="J177" s="373">
        <f t="shared" si="23"/>
        <v>0</v>
      </c>
      <c r="K177" s="368">
        <f t="shared" si="24"/>
        <v>0</v>
      </c>
      <c r="L177" s="372">
        <f t="shared" si="25"/>
        <v>0</v>
      </c>
      <c r="M177" s="113">
        <f>L177*D177*'B) D RI'!S179</f>
        <v>0</v>
      </c>
    </row>
    <row r="178" spans="1:13" x14ac:dyDescent="0.25">
      <c r="A178" s="296">
        <f>'A) Base RI'!A180</f>
        <v>5701</v>
      </c>
      <c r="B178" s="32" t="str">
        <f>'A) Base RI'!B180</f>
        <v>Arnex-sur-Nyon</v>
      </c>
      <c r="C178" s="294">
        <f>'B) D RI'!U180</f>
        <v>12579.391714285715</v>
      </c>
      <c r="D178" s="32">
        <f>'B) D RI'!AA180</f>
        <v>240</v>
      </c>
      <c r="E178" s="200">
        <f t="shared" si="18"/>
        <v>52.414132142857149</v>
      </c>
      <c r="F178" s="365">
        <f t="shared" si="19"/>
        <v>1.0881219787012826</v>
      </c>
      <c r="G178" s="376">
        <f t="shared" si="20"/>
        <v>4.244778735056741</v>
      </c>
      <c r="H178" s="373">
        <f t="shared" si="21"/>
        <v>0</v>
      </c>
      <c r="I178" s="376">
        <f t="shared" si="22"/>
        <v>0</v>
      </c>
      <c r="J178" s="373">
        <f t="shared" si="23"/>
        <v>0</v>
      </c>
      <c r="K178" s="368">
        <f t="shared" si="24"/>
        <v>0</v>
      </c>
      <c r="L178" s="372">
        <f t="shared" si="25"/>
        <v>0.84895574701134824</v>
      </c>
      <c r="M178" s="113">
        <f>L178*D178*'B) D RI'!S180</f>
        <v>14262.45654979065</v>
      </c>
    </row>
    <row r="179" spans="1:13" x14ac:dyDescent="0.25">
      <c r="A179" s="296">
        <f>'A) Base RI'!A181</f>
        <v>5702</v>
      </c>
      <c r="B179" s="32" t="str">
        <f>'A) Base RI'!B181</f>
        <v>Arzier-Le Muids</v>
      </c>
      <c r="C179" s="294">
        <f>'B) D RI'!U181</f>
        <v>167751.11713541666</v>
      </c>
      <c r="D179" s="32">
        <f>'B) D RI'!AA181</f>
        <v>2912</v>
      </c>
      <c r="E179" s="200">
        <f t="shared" si="18"/>
        <v>57.606839675623853</v>
      </c>
      <c r="F179" s="365">
        <f t="shared" si="19"/>
        <v>1.1959230423527996</v>
      </c>
      <c r="G179" s="376">
        <f t="shared" si="20"/>
        <v>9.437486267823445</v>
      </c>
      <c r="H179" s="373">
        <f t="shared" si="21"/>
        <v>0</v>
      </c>
      <c r="I179" s="376">
        <f t="shared" si="22"/>
        <v>0</v>
      </c>
      <c r="J179" s="373">
        <f t="shared" si="23"/>
        <v>0</v>
      </c>
      <c r="K179" s="368">
        <f t="shared" si="24"/>
        <v>0</v>
      </c>
      <c r="L179" s="372">
        <f t="shared" si="25"/>
        <v>1.887497253564689</v>
      </c>
      <c r="M179" s="113">
        <f>L179*D179*'B) D RI'!S181</f>
        <v>351769.08815234399</v>
      </c>
    </row>
    <row r="180" spans="1:13" x14ac:dyDescent="0.25">
      <c r="A180" s="296">
        <f>'A) Base RI'!A182</f>
        <v>5703</v>
      </c>
      <c r="B180" s="32" t="str">
        <f>'A) Base RI'!B182</f>
        <v>Bassins</v>
      </c>
      <c r="C180" s="294">
        <f>'B) D RI'!U182</f>
        <v>66904.36396059113</v>
      </c>
      <c r="D180" s="32">
        <f>'B) D RI'!AA182</f>
        <v>1475</v>
      </c>
      <c r="E180" s="200">
        <f t="shared" si="18"/>
        <v>45.358890820739752</v>
      </c>
      <c r="F180" s="365">
        <f t="shared" si="19"/>
        <v>0.94165455028496314</v>
      </c>
      <c r="G180" s="376">
        <f t="shared" si="20"/>
        <v>0</v>
      </c>
      <c r="H180" s="373">
        <f t="shared" si="21"/>
        <v>0</v>
      </c>
      <c r="I180" s="376">
        <f t="shared" si="22"/>
        <v>0</v>
      </c>
      <c r="J180" s="373">
        <f t="shared" si="23"/>
        <v>0</v>
      </c>
      <c r="K180" s="368">
        <f t="shared" si="24"/>
        <v>0</v>
      </c>
      <c r="L180" s="372">
        <f t="shared" si="25"/>
        <v>0</v>
      </c>
      <c r="M180" s="113">
        <f>L180*D180*'B) D RI'!S182</f>
        <v>0</v>
      </c>
    </row>
    <row r="181" spans="1:13" x14ac:dyDescent="0.25">
      <c r="A181" s="296">
        <f>'A) Base RI'!A183</f>
        <v>5704</v>
      </c>
      <c r="B181" s="32" t="str">
        <f>'A) Base RI'!B183</f>
        <v>Begnins</v>
      </c>
      <c r="C181" s="294">
        <f>'B) D RI'!U183</f>
        <v>141538.79477333333</v>
      </c>
      <c r="D181" s="32">
        <f>'B) D RI'!AA183</f>
        <v>1928</v>
      </c>
      <c r="E181" s="200">
        <f t="shared" si="18"/>
        <v>73.412237952973712</v>
      </c>
      <c r="F181" s="365">
        <f t="shared" si="19"/>
        <v>1.5240444963308464</v>
      </c>
      <c r="G181" s="376">
        <f t="shared" si="20"/>
        <v>25.242884545173304</v>
      </c>
      <c r="H181" s="373">
        <f t="shared" si="21"/>
        <v>15.609013863613228</v>
      </c>
      <c r="I181" s="376">
        <f t="shared" si="22"/>
        <v>1.1582078412730965</v>
      </c>
      <c r="J181" s="373">
        <f t="shared" si="23"/>
        <v>0</v>
      </c>
      <c r="K181" s="368">
        <f t="shared" si="24"/>
        <v>0</v>
      </c>
      <c r="L181" s="372">
        <f t="shared" si="25"/>
        <v>6.7252990795232925</v>
      </c>
      <c r="M181" s="113">
        <f>L181*D181*'B) D RI'!S183</f>
        <v>810398.53908255685</v>
      </c>
    </row>
    <row r="182" spans="1:13" x14ac:dyDescent="0.25">
      <c r="A182" s="296">
        <f>'A) Base RI'!A184</f>
        <v>5705</v>
      </c>
      <c r="B182" s="32" t="str">
        <f>'A) Base RI'!B184</f>
        <v>Bogis-Bossey</v>
      </c>
      <c r="C182" s="294">
        <f>'B) D RI'!U184</f>
        <v>56148.948053691274</v>
      </c>
      <c r="D182" s="32">
        <f>'B) D RI'!AA184</f>
        <v>835</v>
      </c>
      <c r="E182" s="200">
        <f t="shared" si="18"/>
        <v>67.244249166097333</v>
      </c>
      <c r="F182" s="365">
        <f t="shared" si="19"/>
        <v>1.3959965083361072</v>
      </c>
      <c r="G182" s="376">
        <f t="shared" si="20"/>
        <v>19.074895758296925</v>
      </c>
      <c r="H182" s="373">
        <f t="shared" si="21"/>
        <v>9.4410250767368495</v>
      </c>
      <c r="I182" s="376">
        <f t="shared" si="22"/>
        <v>0</v>
      </c>
      <c r="J182" s="373">
        <f t="shared" si="23"/>
        <v>0</v>
      </c>
      <c r="K182" s="368">
        <f t="shared" si="24"/>
        <v>0</v>
      </c>
      <c r="L182" s="372">
        <f t="shared" si="25"/>
        <v>4.75908165933307</v>
      </c>
      <c r="M182" s="113">
        <f>L182*D182*'B) D RI'!S184</f>
        <v>296050.57232296193</v>
      </c>
    </row>
    <row r="183" spans="1:13" x14ac:dyDescent="0.25">
      <c r="A183" s="296">
        <f>'A) Base RI'!A185</f>
        <v>5706</v>
      </c>
      <c r="B183" s="32" t="str">
        <f>'A) Base RI'!B185</f>
        <v>Borex</v>
      </c>
      <c r="C183" s="294">
        <f>'B) D RI'!U185</f>
        <v>84057.706842105254</v>
      </c>
      <c r="D183" s="32">
        <f>'B) D RI'!AA185</f>
        <v>1157</v>
      </c>
      <c r="E183" s="200">
        <f t="shared" si="18"/>
        <v>72.651432015648453</v>
      </c>
      <c r="F183" s="365">
        <f t="shared" si="19"/>
        <v>1.5082500983682186</v>
      </c>
      <c r="G183" s="376">
        <f t="shared" si="20"/>
        <v>24.482078607848045</v>
      </c>
      <c r="H183" s="373">
        <f t="shared" si="21"/>
        <v>14.848207926287969</v>
      </c>
      <c r="I183" s="376">
        <f t="shared" si="22"/>
        <v>0.39740190394783781</v>
      </c>
      <c r="J183" s="373">
        <f t="shared" si="23"/>
        <v>0</v>
      </c>
      <c r="K183" s="368">
        <f t="shared" si="24"/>
        <v>0</v>
      </c>
      <c r="L183" s="372">
        <f t="shared" si="25"/>
        <v>6.4209767045931896</v>
      </c>
      <c r="M183" s="113">
        <f>L183*D183*'B) D RI'!S185</f>
        <v>423456.99269121629</v>
      </c>
    </row>
    <row r="184" spans="1:13" x14ac:dyDescent="0.25">
      <c r="A184" s="296">
        <f>'A) Base RI'!A186</f>
        <v>5707</v>
      </c>
      <c r="B184" s="32" t="str">
        <f>'A) Base RI'!B186</f>
        <v>Chavannes-de-Bogis</v>
      </c>
      <c r="C184" s="294">
        <f>'B) D RI'!U186</f>
        <v>81835.320459770097</v>
      </c>
      <c r="D184" s="32">
        <f>'B) D RI'!AA186</f>
        <v>1329</v>
      </c>
      <c r="E184" s="200">
        <f t="shared" si="18"/>
        <v>61.576614341437242</v>
      </c>
      <c r="F184" s="365">
        <f t="shared" si="19"/>
        <v>1.278335912465574</v>
      </c>
      <c r="G184" s="376">
        <f t="shared" si="20"/>
        <v>13.407260933636834</v>
      </c>
      <c r="H184" s="373">
        <f t="shared" si="21"/>
        <v>3.7733902520767586</v>
      </c>
      <c r="I184" s="376">
        <f t="shared" si="22"/>
        <v>0</v>
      </c>
      <c r="J184" s="373">
        <f t="shared" si="23"/>
        <v>0</v>
      </c>
      <c r="K184" s="368">
        <f t="shared" si="24"/>
        <v>0</v>
      </c>
      <c r="L184" s="372">
        <f t="shared" si="25"/>
        <v>3.0587912119350427</v>
      </c>
      <c r="M184" s="113">
        <f>L184*D184*'B) D RI'!S186</f>
        <v>235777.74419837695</v>
      </c>
    </row>
    <row r="185" spans="1:13" x14ac:dyDescent="0.25">
      <c r="A185" s="296">
        <f>'A) Base RI'!A187</f>
        <v>5708</v>
      </c>
      <c r="B185" s="32" t="str">
        <f>'A) Base RI'!B187</f>
        <v>Chavannes-des-Bois</v>
      </c>
      <c r="C185" s="294">
        <f>'B) D RI'!U187</f>
        <v>67256.112794117653</v>
      </c>
      <c r="D185" s="32">
        <f>'B) D RI'!AA187</f>
        <v>1013</v>
      </c>
      <c r="E185" s="200">
        <f t="shared" si="18"/>
        <v>66.393003745427094</v>
      </c>
      <c r="F185" s="365">
        <f t="shared" si="19"/>
        <v>1.3783245787699447</v>
      </c>
      <c r="G185" s="376">
        <f t="shared" si="20"/>
        <v>18.223650337626687</v>
      </c>
      <c r="H185" s="373">
        <f t="shared" si="21"/>
        <v>8.5897796560666109</v>
      </c>
      <c r="I185" s="376">
        <f t="shared" si="22"/>
        <v>0</v>
      </c>
      <c r="J185" s="373">
        <f t="shared" si="23"/>
        <v>0</v>
      </c>
      <c r="K185" s="368">
        <f t="shared" si="24"/>
        <v>0</v>
      </c>
      <c r="L185" s="372">
        <f t="shared" si="25"/>
        <v>4.5037080331319981</v>
      </c>
      <c r="M185" s="113">
        <f>L185*D185*'B) D RI'!S187</f>
        <v>310233.42415426456</v>
      </c>
    </row>
    <row r="186" spans="1:13" x14ac:dyDescent="0.25">
      <c r="A186" s="296">
        <f>'A) Base RI'!A188</f>
        <v>5709</v>
      </c>
      <c r="B186" s="32" t="str">
        <f>'A) Base RI'!B188</f>
        <v>Chéserex</v>
      </c>
      <c r="C186" s="294">
        <f>'B) D RI'!U188</f>
        <v>97368.06631578946</v>
      </c>
      <c r="D186" s="32">
        <f>'B) D RI'!AA188</f>
        <v>1248</v>
      </c>
      <c r="E186" s="200">
        <f t="shared" si="18"/>
        <v>78.019283906882578</v>
      </c>
      <c r="F186" s="365">
        <f t="shared" si="19"/>
        <v>1.6196871742573227</v>
      </c>
      <c r="G186" s="376">
        <f t="shared" si="20"/>
        <v>29.84993049908217</v>
      </c>
      <c r="H186" s="373">
        <f t="shared" si="21"/>
        <v>20.216059817522094</v>
      </c>
      <c r="I186" s="376">
        <f t="shared" si="22"/>
        <v>5.7652537951819625</v>
      </c>
      <c r="J186" s="373">
        <f t="shared" si="23"/>
        <v>0</v>
      </c>
      <c r="K186" s="368">
        <f t="shared" si="24"/>
        <v>0</v>
      </c>
      <c r="L186" s="372">
        <f t="shared" si="25"/>
        <v>8.5681174610868389</v>
      </c>
      <c r="M186" s="113">
        <f>L186*D186*'B) D RI'!S188</f>
        <v>609501.60371187341</v>
      </c>
    </row>
    <row r="187" spans="1:13" x14ac:dyDescent="0.25">
      <c r="A187" s="296">
        <f>'A) Base RI'!A189</f>
        <v>5710</v>
      </c>
      <c r="B187" s="32" t="str">
        <f>'A) Base RI'!B189</f>
        <v>Coinsins</v>
      </c>
      <c r="C187" s="294">
        <f>'B) D RI'!U189</f>
        <v>41108.965294117646</v>
      </c>
      <c r="D187" s="32">
        <f>'B) D RI'!AA189</f>
        <v>509</v>
      </c>
      <c r="E187" s="200">
        <f t="shared" si="18"/>
        <v>80.764175430486532</v>
      </c>
      <c r="F187" s="365">
        <f t="shared" si="19"/>
        <v>1.6766713629460472</v>
      </c>
      <c r="G187" s="376">
        <f t="shared" si="20"/>
        <v>32.594822022686124</v>
      </c>
      <c r="H187" s="373">
        <f t="shared" si="21"/>
        <v>22.960951341126048</v>
      </c>
      <c r="I187" s="376">
        <f t="shared" si="22"/>
        <v>8.5101453187859164</v>
      </c>
      <c r="J187" s="373">
        <f t="shared" si="23"/>
        <v>0</v>
      </c>
      <c r="K187" s="368">
        <f t="shared" si="24"/>
        <v>0</v>
      </c>
      <c r="L187" s="372">
        <f t="shared" si="25"/>
        <v>9.6660740705284205</v>
      </c>
      <c r="M187" s="113">
        <f>L187*D187*'B) D RI'!S189</f>
        <v>250921.61679684729</v>
      </c>
    </row>
    <row r="188" spans="1:13" x14ac:dyDescent="0.25">
      <c r="A188" s="296">
        <f>'A) Base RI'!A190</f>
        <v>5711</v>
      </c>
      <c r="B188" s="32" t="str">
        <f>'A) Base RI'!B190</f>
        <v>Commugny</v>
      </c>
      <c r="C188" s="294">
        <f>'B) D RI'!U190</f>
        <v>252772.67295911297</v>
      </c>
      <c r="D188" s="32">
        <f>'B) D RI'!AA190</f>
        <v>2997</v>
      </c>
      <c r="E188" s="200">
        <f t="shared" si="18"/>
        <v>84.341899552590249</v>
      </c>
      <c r="F188" s="365">
        <f t="shared" si="19"/>
        <v>1.7509452293983288</v>
      </c>
      <c r="G188" s="376">
        <f t="shared" si="20"/>
        <v>36.172546144789841</v>
      </c>
      <c r="H188" s="373">
        <f t="shared" si="21"/>
        <v>26.538675463229765</v>
      </c>
      <c r="I188" s="376">
        <f t="shared" si="22"/>
        <v>12.087869440889634</v>
      </c>
      <c r="J188" s="373">
        <f t="shared" si="23"/>
        <v>0</v>
      </c>
      <c r="K188" s="368">
        <f t="shared" si="24"/>
        <v>0</v>
      </c>
      <c r="L188" s="372">
        <f t="shared" si="25"/>
        <v>11.097163719369908</v>
      </c>
      <c r="M188" s="113">
        <f>L188*D188*'B) D RI'!S190</f>
        <v>1845830.0815158146</v>
      </c>
    </row>
    <row r="189" spans="1:13" x14ac:dyDescent="0.25">
      <c r="A189" s="296">
        <f>'A) Base RI'!A191</f>
        <v>5712</v>
      </c>
      <c r="B189" s="32" t="str">
        <f>'A) Base RI'!B191</f>
        <v>Coppet</v>
      </c>
      <c r="C189" s="294">
        <f>'B) D RI'!U191</f>
        <v>382004.08345911955</v>
      </c>
      <c r="D189" s="32">
        <f>'B) D RI'!AA191</f>
        <v>3247</v>
      </c>
      <c r="E189" s="200">
        <f t="shared" si="18"/>
        <v>117.64831643335988</v>
      </c>
      <c r="F189" s="365">
        <f t="shared" si="19"/>
        <v>2.4423893639873575</v>
      </c>
      <c r="G189" s="376">
        <f t="shared" si="20"/>
        <v>69.478963025559466</v>
      </c>
      <c r="H189" s="373">
        <f t="shared" si="21"/>
        <v>59.845092343999397</v>
      </c>
      <c r="I189" s="376">
        <f t="shared" si="22"/>
        <v>45.394286321659266</v>
      </c>
      <c r="J189" s="373">
        <f t="shared" si="23"/>
        <v>21.309609617759065</v>
      </c>
      <c r="K189" s="368">
        <f t="shared" si="24"/>
        <v>0</v>
      </c>
      <c r="L189" s="372">
        <f t="shared" si="25"/>
        <v>26.550691433453668</v>
      </c>
      <c r="M189" s="113">
        <f>L189*D189*'B) D RI'!S191</f>
        <v>4569135.0394744752</v>
      </c>
    </row>
    <row r="190" spans="1:13" x14ac:dyDescent="0.25">
      <c r="A190" s="296">
        <f>'A) Base RI'!A192</f>
        <v>5713</v>
      </c>
      <c r="B190" s="32" t="str">
        <f>'A) Base RI'!B192</f>
        <v>Crans-près-Céligny</v>
      </c>
      <c r="C190" s="294">
        <f>'B) D RI'!U192</f>
        <v>308668.8301785714</v>
      </c>
      <c r="D190" s="32">
        <f>'B) D RI'!AA192</f>
        <v>2340</v>
      </c>
      <c r="E190" s="200">
        <f t="shared" si="18"/>
        <v>131.90975648656897</v>
      </c>
      <c r="F190" s="365">
        <f t="shared" si="19"/>
        <v>2.7384581098655119</v>
      </c>
      <c r="G190" s="376">
        <f t="shared" si="20"/>
        <v>83.740403078768566</v>
      </c>
      <c r="H190" s="373">
        <f t="shared" si="21"/>
        <v>74.106532397208483</v>
      </c>
      <c r="I190" s="376">
        <f t="shared" si="22"/>
        <v>59.655726374868351</v>
      </c>
      <c r="J190" s="373">
        <f t="shared" si="23"/>
        <v>35.571049670968151</v>
      </c>
      <c r="K190" s="368">
        <f t="shared" si="24"/>
        <v>0</v>
      </c>
      <c r="L190" s="372">
        <f t="shared" si="25"/>
        <v>33.681411460058214</v>
      </c>
      <c r="M190" s="113">
        <f>L190*D190*'B) D RI'!S192</f>
        <v>4413612.157726028</v>
      </c>
    </row>
    <row r="191" spans="1:13" x14ac:dyDescent="0.25">
      <c r="A191" s="296">
        <f>'A) Base RI'!A193</f>
        <v>5714</v>
      </c>
      <c r="B191" s="32" t="str">
        <f>'A) Base RI'!B193</f>
        <v>Crassier</v>
      </c>
      <c r="C191" s="294">
        <f>'B) D RI'!U193</f>
        <v>53429.691617647055</v>
      </c>
      <c r="D191" s="32">
        <f>'B) D RI'!AA193</f>
        <v>1174</v>
      </c>
      <c r="E191" s="200">
        <f t="shared" si="18"/>
        <v>45.510810577212141</v>
      </c>
      <c r="F191" s="365">
        <f t="shared" si="19"/>
        <v>0.94480841774891355</v>
      </c>
      <c r="G191" s="376">
        <f t="shared" si="20"/>
        <v>0</v>
      </c>
      <c r="H191" s="373">
        <f t="shared" si="21"/>
        <v>0</v>
      </c>
      <c r="I191" s="376">
        <f t="shared" si="22"/>
        <v>0</v>
      </c>
      <c r="J191" s="373">
        <f t="shared" si="23"/>
        <v>0</v>
      </c>
      <c r="K191" s="368">
        <f t="shared" si="24"/>
        <v>0</v>
      </c>
      <c r="L191" s="372">
        <f t="shared" si="25"/>
        <v>0</v>
      </c>
      <c r="M191" s="113">
        <f>L191*D191*'B) D RI'!S193</f>
        <v>0</v>
      </c>
    </row>
    <row r="192" spans="1:13" x14ac:dyDescent="0.25">
      <c r="A192" s="296">
        <f>'A) Base RI'!A194</f>
        <v>5715</v>
      </c>
      <c r="B192" s="32" t="str">
        <f>'A) Base RI'!B194</f>
        <v>Duillier</v>
      </c>
      <c r="C192" s="294">
        <f>'B) D RI'!U194</f>
        <v>61573.714242424234</v>
      </c>
      <c r="D192" s="32">
        <f>'B) D RI'!AA194</f>
        <v>1128</v>
      </c>
      <c r="E192" s="200">
        <f t="shared" si="18"/>
        <v>54.586626101439926</v>
      </c>
      <c r="F192" s="365">
        <f t="shared" si="19"/>
        <v>1.1332231437551397</v>
      </c>
      <c r="G192" s="376">
        <f t="shared" si="20"/>
        <v>6.4172726936395179</v>
      </c>
      <c r="H192" s="373">
        <f t="shared" si="21"/>
        <v>0</v>
      </c>
      <c r="I192" s="376">
        <f t="shared" si="22"/>
        <v>0</v>
      </c>
      <c r="J192" s="373">
        <f t="shared" si="23"/>
        <v>0</v>
      </c>
      <c r="K192" s="368">
        <f t="shared" si="24"/>
        <v>0</v>
      </c>
      <c r="L192" s="372">
        <f t="shared" si="25"/>
        <v>1.2834545387279037</v>
      </c>
      <c r="M192" s="113">
        <f>L192*D192*'B) D RI'!S194</f>
        <v>95550.623499214969</v>
      </c>
    </row>
    <row r="193" spans="1:13" x14ac:dyDescent="0.25">
      <c r="A193" s="296">
        <f>'A) Base RI'!A195</f>
        <v>5716</v>
      </c>
      <c r="B193" s="32" t="str">
        <f>'A) Base RI'!B195</f>
        <v>Eysins</v>
      </c>
      <c r="C193" s="294">
        <f>'B) D RI'!U195</f>
        <v>311499.41949579836</v>
      </c>
      <c r="D193" s="32">
        <f>'B) D RI'!AA195</f>
        <v>1740</v>
      </c>
      <c r="E193" s="200">
        <f t="shared" si="18"/>
        <v>179.02265488264274</v>
      </c>
      <c r="F193" s="365">
        <f t="shared" si="19"/>
        <v>3.7165260111972422</v>
      </c>
      <c r="G193" s="376">
        <f t="shared" si="20"/>
        <v>130.85330147484234</v>
      </c>
      <c r="H193" s="373">
        <f t="shared" si="21"/>
        <v>121.21943079328226</v>
      </c>
      <c r="I193" s="376">
        <f t="shared" si="22"/>
        <v>106.76862477094213</v>
      </c>
      <c r="J193" s="373">
        <f t="shared" si="23"/>
        <v>82.683948067041925</v>
      </c>
      <c r="K193" s="368">
        <f t="shared" si="24"/>
        <v>34.51459465924151</v>
      </c>
      <c r="L193" s="372">
        <f t="shared" si="25"/>
        <v>60.689320124019247</v>
      </c>
      <c r="M193" s="113">
        <f>L193*D193*'B) D RI'!S195</f>
        <v>6283165.3124397127</v>
      </c>
    </row>
    <row r="194" spans="1:13" x14ac:dyDescent="0.25">
      <c r="A194" s="296">
        <f>'A) Base RI'!A196</f>
        <v>5717</v>
      </c>
      <c r="B194" s="32" t="str">
        <f>'A) Base RI'!B196</f>
        <v>Founex</v>
      </c>
      <c r="C194" s="294">
        <f>'B) D RI'!U196</f>
        <v>386801.60228070174</v>
      </c>
      <c r="D194" s="32">
        <f>'B) D RI'!AA196</f>
        <v>3834</v>
      </c>
      <c r="E194" s="200">
        <f t="shared" si="18"/>
        <v>100.88722020884239</v>
      </c>
      <c r="F194" s="365">
        <f t="shared" si="19"/>
        <v>2.0944275368351737</v>
      </c>
      <c r="G194" s="376">
        <f t="shared" si="20"/>
        <v>52.717866801041986</v>
      </c>
      <c r="H194" s="373">
        <f t="shared" si="21"/>
        <v>43.08399611948191</v>
      </c>
      <c r="I194" s="376">
        <f t="shared" si="22"/>
        <v>28.633190097141778</v>
      </c>
      <c r="J194" s="373">
        <f t="shared" si="23"/>
        <v>4.5485133932415778</v>
      </c>
      <c r="K194" s="368">
        <f t="shared" si="24"/>
        <v>0</v>
      </c>
      <c r="L194" s="372">
        <f t="shared" si="25"/>
        <v>18.170143321194924</v>
      </c>
      <c r="M194" s="113">
        <f>L194*D194*'B) D RI'!S196</f>
        <v>3970866.7811272964</v>
      </c>
    </row>
    <row r="195" spans="1:13" x14ac:dyDescent="0.25">
      <c r="A195" s="296">
        <f>'A) Base RI'!A197</f>
        <v>5718</v>
      </c>
      <c r="B195" s="32" t="str">
        <f>'A) Base RI'!B197</f>
        <v>Genolier</v>
      </c>
      <c r="C195" s="294">
        <f>'B) D RI'!U197</f>
        <v>245082.27927272729</v>
      </c>
      <c r="D195" s="32">
        <f>'B) D RI'!AA197</f>
        <v>1996</v>
      </c>
      <c r="E195" s="200">
        <f t="shared" si="18"/>
        <v>122.78671306248862</v>
      </c>
      <c r="F195" s="365">
        <f t="shared" si="19"/>
        <v>2.5490629285176349</v>
      </c>
      <c r="G195" s="376">
        <f t="shared" si="20"/>
        <v>74.617359654688215</v>
      </c>
      <c r="H195" s="373">
        <f t="shared" si="21"/>
        <v>64.983488973128132</v>
      </c>
      <c r="I195" s="376">
        <f t="shared" si="22"/>
        <v>50.532682950788001</v>
      </c>
      <c r="J195" s="373">
        <f t="shared" si="23"/>
        <v>26.4480062468878</v>
      </c>
      <c r="K195" s="368">
        <f t="shared" si="24"/>
        <v>0</v>
      </c>
      <c r="L195" s="372">
        <f t="shared" si="25"/>
        <v>29.119889748018039</v>
      </c>
      <c r="M195" s="113">
        <f>L195*D195*'B) D RI'!S197</f>
        <v>3196781.4965374204</v>
      </c>
    </row>
    <row r="196" spans="1:13" x14ac:dyDescent="0.25">
      <c r="A196" s="296">
        <f>'A) Base RI'!A198</f>
        <v>5719</v>
      </c>
      <c r="B196" s="32" t="str">
        <f>'A) Base RI'!B198</f>
        <v>Gingins</v>
      </c>
      <c r="C196" s="294">
        <f>'B) D RI'!U198</f>
        <v>145761.41602339179</v>
      </c>
      <c r="D196" s="32">
        <f>'B) D RI'!AA198</f>
        <v>1257</v>
      </c>
      <c r="E196" s="200">
        <f t="shared" si="18"/>
        <v>115.95975817294494</v>
      </c>
      <c r="F196" s="365">
        <f t="shared" si="19"/>
        <v>2.4073347464565873</v>
      </c>
      <c r="G196" s="376">
        <f t="shared" si="20"/>
        <v>67.79040476514453</v>
      </c>
      <c r="H196" s="373">
        <f t="shared" si="21"/>
        <v>58.156534083584461</v>
      </c>
      <c r="I196" s="376">
        <f t="shared" si="22"/>
        <v>43.705728061244329</v>
      </c>
      <c r="J196" s="373">
        <f t="shared" si="23"/>
        <v>19.621051357344129</v>
      </c>
      <c r="K196" s="368">
        <f t="shared" si="24"/>
        <v>0</v>
      </c>
      <c r="L196" s="372">
        <f t="shared" si="25"/>
        <v>25.7064123032462</v>
      </c>
      <c r="M196" s="113">
        <f>L196*D196*'B) D RI'!S198</f>
        <v>1841838.7351152871</v>
      </c>
    </row>
    <row r="197" spans="1:13" x14ac:dyDescent="0.25">
      <c r="A197" s="296">
        <f>'A) Base RI'!A199</f>
        <v>5720</v>
      </c>
      <c r="B197" s="32" t="str">
        <f>'A) Base RI'!B199</f>
        <v>Givrins</v>
      </c>
      <c r="C197" s="294">
        <f>'B) D RI'!U199</f>
        <v>84172.254543946925</v>
      </c>
      <c r="D197" s="32">
        <f>'B) D RI'!AA199</f>
        <v>1031</v>
      </c>
      <c r="E197" s="200">
        <f t="shared" si="18"/>
        <v>81.641372011587706</v>
      </c>
      <c r="F197" s="365">
        <f t="shared" si="19"/>
        <v>1.6948820408780272</v>
      </c>
      <c r="G197" s="376">
        <f t="shared" si="20"/>
        <v>33.472018603787298</v>
      </c>
      <c r="H197" s="373">
        <f t="shared" si="21"/>
        <v>23.838147922227222</v>
      </c>
      <c r="I197" s="376">
        <f t="shared" si="22"/>
        <v>9.3873418998870903</v>
      </c>
      <c r="J197" s="373">
        <f t="shared" si="23"/>
        <v>0</v>
      </c>
      <c r="K197" s="368">
        <f t="shared" si="24"/>
        <v>0</v>
      </c>
      <c r="L197" s="372">
        <f t="shared" si="25"/>
        <v>10.01695270296889</v>
      </c>
      <c r="M197" s="113">
        <f>L197*D197*'B) D RI'!S199</f>
        <v>691941.04186298209</v>
      </c>
    </row>
    <row r="198" spans="1:13" x14ac:dyDescent="0.25">
      <c r="A198" s="296">
        <f>'A) Base RI'!A200</f>
        <v>5721</v>
      </c>
      <c r="B198" s="32" t="str">
        <f>'A) Base RI'!B200</f>
        <v>Gland</v>
      </c>
      <c r="C198" s="294">
        <f>'B) D RI'!U200</f>
        <v>651107.04049180343</v>
      </c>
      <c r="D198" s="32">
        <f>'B) D RI'!AA200</f>
        <v>13243</v>
      </c>
      <c r="E198" s="200">
        <f t="shared" ref="E198:E261" si="26">C198/D198</f>
        <v>49.166128557864795</v>
      </c>
      <c r="F198" s="365">
        <f t="shared" ref="F198:F261" si="27">E198/$E$314</f>
        <v>1.0206931395077221</v>
      </c>
      <c r="G198" s="376">
        <f t="shared" ref="G198:G261" si="28">IF(E198-$G$2&lt;0,0,E198-$G$2)</f>
        <v>0.99677515006438711</v>
      </c>
      <c r="H198" s="373">
        <f t="shared" ref="H198:H261" si="29">IF(E198-$H$2&lt;0,0,E198-$H$2)</f>
        <v>0</v>
      </c>
      <c r="I198" s="376">
        <f t="shared" ref="I198:I261" si="30">IF(E198-$I$2&lt;0,0,E198-$I$2)</f>
        <v>0</v>
      </c>
      <c r="J198" s="373">
        <f t="shared" ref="J198:J261" si="31">IF(E198-$J$2&lt;0,0,E198-$J$2)</f>
        <v>0</v>
      </c>
      <c r="K198" s="368">
        <f t="shared" ref="K198:K261" si="32">IF(E198-$K$2&lt;0,0,E198-$K$2)</f>
        <v>0</v>
      </c>
      <c r="L198" s="372">
        <f t="shared" ref="L198:L261" si="33">(G198-H198)*$G$3+(H198-I198)*$H$3+(I198-J198)*$I$3+(J198-K198)*$J$3+(K198*$K$3)</f>
        <v>0.19935503001287744</v>
      </c>
      <c r="M198" s="113">
        <f>L198*D198*'B) D RI'!S200</f>
        <v>161043.57841009268</v>
      </c>
    </row>
    <row r="199" spans="1:13" x14ac:dyDescent="0.25">
      <c r="A199" s="296">
        <f>'A) Base RI'!A201</f>
        <v>5722</v>
      </c>
      <c r="B199" s="32" t="str">
        <f>'A) Base RI'!B201</f>
        <v>Grens</v>
      </c>
      <c r="C199" s="294">
        <f>'B) D RI'!U201</f>
        <v>25525.601935483872</v>
      </c>
      <c r="D199" s="32">
        <f>'B) D RI'!AA201</f>
        <v>405</v>
      </c>
      <c r="E199" s="200">
        <f t="shared" si="26"/>
        <v>63.026177618478698</v>
      </c>
      <c r="F199" s="365">
        <f t="shared" si="27"/>
        <v>1.3084289731875955</v>
      </c>
      <c r="G199" s="376">
        <f t="shared" si="28"/>
        <v>14.85682421067829</v>
      </c>
      <c r="H199" s="373">
        <f t="shared" si="29"/>
        <v>5.2229535291182145</v>
      </c>
      <c r="I199" s="376">
        <f t="shared" si="30"/>
        <v>0</v>
      </c>
      <c r="J199" s="373">
        <f t="shared" si="31"/>
        <v>0</v>
      </c>
      <c r="K199" s="368">
        <f t="shared" si="32"/>
        <v>0</v>
      </c>
      <c r="L199" s="372">
        <f t="shared" si="33"/>
        <v>3.4936601950474797</v>
      </c>
      <c r="M199" s="113">
        <f>L199*D199*'B) D RI'!S201</f>
        <v>87725.807497642221</v>
      </c>
    </row>
    <row r="200" spans="1:13" x14ac:dyDescent="0.25">
      <c r="A200" s="296">
        <f>'A) Base RI'!A202</f>
        <v>5723</v>
      </c>
      <c r="B200" s="32" t="str">
        <f>'A) Base RI'!B202</f>
        <v>Mies</v>
      </c>
      <c r="C200" s="294">
        <f>'B) D RI'!U202</f>
        <v>197805.17519230774</v>
      </c>
      <c r="D200" s="32">
        <f>'B) D RI'!AA202</f>
        <v>2172</v>
      </c>
      <c r="E200" s="200">
        <f t="shared" si="26"/>
        <v>91.070522648392142</v>
      </c>
      <c r="F200" s="365">
        <f t="shared" si="27"/>
        <v>1.8906320348000445</v>
      </c>
      <c r="G200" s="376">
        <f t="shared" si="28"/>
        <v>42.901169240591734</v>
      </c>
      <c r="H200" s="373">
        <f t="shared" si="29"/>
        <v>33.267298559031659</v>
      </c>
      <c r="I200" s="376">
        <f t="shared" si="30"/>
        <v>18.816492536691527</v>
      </c>
      <c r="J200" s="373">
        <f t="shared" si="31"/>
        <v>0</v>
      </c>
      <c r="K200" s="368">
        <f t="shared" si="32"/>
        <v>0</v>
      </c>
      <c r="L200" s="372">
        <f t="shared" si="33"/>
        <v>13.788612957690665</v>
      </c>
      <c r="M200" s="113">
        <f>L200*D200*'B) D RI'!S202</f>
        <v>1557341.1018934145</v>
      </c>
    </row>
    <row r="201" spans="1:13" x14ac:dyDescent="0.25">
      <c r="A201" s="296">
        <f>'A) Base RI'!A203</f>
        <v>5724</v>
      </c>
      <c r="B201" s="32" t="str">
        <f>'A) Base RI'!B203</f>
        <v>Nyon</v>
      </c>
      <c r="C201" s="294">
        <f>'B) D RI'!U203</f>
        <v>1415730.6761202184</v>
      </c>
      <c r="D201" s="32">
        <f>'B) D RI'!AA203</f>
        <v>21743</v>
      </c>
      <c r="E201" s="200">
        <f t="shared" si="26"/>
        <v>65.112021161763252</v>
      </c>
      <c r="F201" s="365">
        <f t="shared" si="27"/>
        <v>1.3517312680227755</v>
      </c>
      <c r="G201" s="376">
        <f t="shared" si="28"/>
        <v>16.942667753962844</v>
      </c>
      <c r="H201" s="373">
        <f t="shared" si="29"/>
        <v>7.3087970724027684</v>
      </c>
      <c r="I201" s="376">
        <f t="shared" si="30"/>
        <v>0</v>
      </c>
      <c r="J201" s="373">
        <f t="shared" si="31"/>
        <v>0</v>
      </c>
      <c r="K201" s="368">
        <f t="shared" si="32"/>
        <v>0</v>
      </c>
      <c r="L201" s="372">
        <f t="shared" si="33"/>
        <v>4.1194132580328455</v>
      </c>
      <c r="M201" s="113">
        <f>L201*D201*'B) D RI'!S203</f>
        <v>5463672.550633898</v>
      </c>
    </row>
    <row r="202" spans="1:13" x14ac:dyDescent="0.25">
      <c r="A202" s="296">
        <f>'A) Base RI'!A204</f>
        <v>5725</v>
      </c>
      <c r="B202" s="32" t="str">
        <f>'A) Base RI'!B204</f>
        <v>Prangins</v>
      </c>
      <c r="C202" s="294">
        <f>'B) D RI'!U204</f>
        <v>312804.93402597401</v>
      </c>
      <c r="D202" s="32">
        <f>'B) D RI'!AA204</f>
        <v>4101</v>
      </c>
      <c r="E202" s="200">
        <f t="shared" si="26"/>
        <v>76.275282620330159</v>
      </c>
      <c r="F202" s="365">
        <f t="shared" si="27"/>
        <v>1.5834815546429644</v>
      </c>
      <c r="G202" s="376">
        <f t="shared" si="28"/>
        <v>28.105929212529752</v>
      </c>
      <c r="H202" s="373">
        <f t="shared" si="29"/>
        <v>18.472058530969676</v>
      </c>
      <c r="I202" s="376">
        <f t="shared" si="30"/>
        <v>4.0212525086295443</v>
      </c>
      <c r="J202" s="373">
        <f t="shared" si="31"/>
        <v>0</v>
      </c>
      <c r="K202" s="368">
        <f t="shared" si="32"/>
        <v>0</v>
      </c>
      <c r="L202" s="372">
        <f t="shared" si="33"/>
        <v>7.8705169464658722</v>
      </c>
      <c r="M202" s="113">
        <f>L202*D202*'B) D RI'!S204</f>
        <v>1775234.4498601097</v>
      </c>
    </row>
    <row r="203" spans="1:13" x14ac:dyDescent="0.25">
      <c r="A203" s="296">
        <f>'A) Base RI'!A205</f>
        <v>5726</v>
      </c>
      <c r="B203" s="32" t="str">
        <f>'A) Base RI'!B205</f>
        <v>La Rippe</v>
      </c>
      <c r="C203" s="294">
        <f>'B) D RI'!U205</f>
        <v>66324.764153846147</v>
      </c>
      <c r="D203" s="32">
        <f>'B) D RI'!AA205</f>
        <v>1131</v>
      </c>
      <c r="E203" s="200">
        <f t="shared" si="26"/>
        <v>58.642585458749906</v>
      </c>
      <c r="F203" s="365">
        <f t="shared" si="27"/>
        <v>1.217425215619637</v>
      </c>
      <c r="G203" s="376">
        <f t="shared" si="28"/>
        <v>10.473232050949498</v>
      </c>
      <c r="H203" s="373">
        <f t="shared" si="29"/>
        <v>0.83936136938942241</v>
      </c>
      <c r="I203" s="376">
        <f t="shared" si="30"/>
        <v>0</v>
      </c>
      <c r="J203" s="373">
        <f t="shared" si="31"/>
        <v>0</v>
      </c>
      <c r="K203" s="368">
        <f t="shared" si="32"/>
        <v>0</v>
      </c>
      <c r="L203" s="372">
        <f t="shared" si="33"/>
        <v>2.1785825471288418</v>
      </c>
      <c r="M203" s="113">
        <f>L203*D203*'B) D RI'!S205</f>
        <v>160158.4959521768</v>
      </c>
    </row>
    <row r="204" spans="1:13" x14ac:dyDescent="0.25">
      <c r="A204" s="296">
        <f>'A) Base RI'!A206</f>
        <v>5727</v>
      </c>
      <c r="B204" s="32" t="str">
        <f>'A) Base RI'!B206</f>
        <v>Saint-Cergue</v>
      </c>
      <c r="C204" s="294">
        <f>'B) D RI'!U206</f>
        <v>105125.05141414142</v>
      </c>
      <c r="D204" s="32">
        <f>'B) D RI'!AA206</f>
        <v>2674</v>
      </c>
      <c r="E204" s="200">
        <f t="shared" si="26"/>
        <v>39.313781381503894</v>
      </c>
      <c r="F204" s="365">
        <f t="shared" si="27"/>
        <v>0.81615754832070331</v>
      </c>
      <c r="G204" s="376">
        <f t="shared" si="28"/>
        <v>0</v>
      </c>
      <c r="H204" s="373">
        <f t="shared" si="29"/>
        <v>0</v>
      </c>
      <c r="I204" s="376">
        <f t="shared" si="30"/>
        <v>0</v>
      </c>
      <c r="J204" s="373">
        <f t="shared" si="31"/>
        <v>0</v>
      </c>
      <c r="K204" s="368">
        <f t="shared" si="32"/>
        <v>0</v>
      </c>
      <c r="L204" s="372">
        <f t="shared" si="33"/>
        <v>0</v>
      </c>
      <c r="M204" s="113">
        <f>L204*D204*'B) D RI'!S206</f>
        <v>0</v>
      </c>
    </row>
    <row r="205" spans="1:13" x14ac:dyDescent="0.25">
      <c r="A205" s="296">
        <f>'A) Base RI'!A207</f>
        <v>5728</v>
      </c>
      <c r="B205" s="32" t="str">
        <f>'A) Base RI'!B207</f>
        <v>Signy-Avenex</v>
      </c>
      <c r="C205" s="294">
        <f>'B) D RI'!U207</f>
        <v>49286.820862068969</v>
      </c>
      <c r="D205" s="32">
        <f>'B) D RI'!AA207</f>
        <v>581</v>
      </c>
      <c r="E205" s="200">
        <f t="shared" si="26"/>
        <v>84.83101697430115</v>
      </c>
      <c r="F205" s="365">
        <f t="shared" si="27"/>
        <v>1.7610993499564778</v>
      </c>
      <c r="G205" s="376">
        <f t="shared" si="28"/>
        <v>36.661663566500742</v>
      </c>
      <c r="H205" s="373">
        <f t="shared" si="29"/>
        <v>27.027792884940666</v>
      </c>
      <c r="I205" s="376">
        <f t="shared" si="30"/>
        <v>12.576986862600535</v>
      </c>
      <c r="J205" s="373">
        <f t="shared" si="31"/>
        <v>0</v>
      </c>
      <c r="K205" s="368">
        <f t="shared" si="32"/>
        <v>0</v>
      </c>
      <c r="L205" s="372">
        <f t="shared" si="33"/>
        <v>11.292810688054269</v>
      </c>
      <c r="M205" s="113">
        <f>L205*D205*'B) D RI'!S207</f>
        <v>380545.13456605276</v>
      </c>
    </row>
    <row r="206" spans="1:13" x14ac:dyDescent="0.25">
      <c r="A206" s="296">
        <f>'A) Base RI'!A208</f>
        <v>5729</v>
      </c>
      <c r="B206" s="32" t="str">
        <f>'A) Base RI'!B208</f>
        <v>Tannay</v>
      </c>
      <c r="C206" s="294">
        <f>'B) D RI'!U208</f>
        <v>130826.66865013774</v>
      </c>
      <c r="D206" s="32">
        <f>'B) D RI'!AA208</f>
        <v>1636</v>
      </c>
      <c r="E206" s="200">
        <f t="shared" si="26"/>
        <v>79.967401375389812</v>
      </c>
      <c r="F206" s="365">
        <f t="shared" si="27"/>
        <v>1.6601302637049746</v>
      </c>
      <c r="G206" s="376">
        <f t="shared" si="28"/>
        <v>31.798047967589405</v>
      </c>
      <c r="H206" s="373">
        <f t="shared" si="29"/>
        <v>22.164177286029329</v>
      </c>
      <c r="I206" s="376">
        <f t="shared" si="30"/>
        <v>7.7133712636891971</v>
      </c>
      <c r="J206" s="373">
        <f t="shared" si="31"/>
        <v>0</v>
      </c>
      <c r="K206" s="368">
        <f t="shared" si="32"/>
        <v>0</v>
      </c>
      <c r="L206" s="372">
        <f t="shared" si="33"/>
        <v>9.3473644484897331</v>
      </c>
      <c r="M206" s="113">
        <f>L206*D206*'B) D RI'!S208</f>
        <v>925183.43838261673</v>
      </c>
    </row>
    <row r="207" spans="1:13" x14ac:dyDescent="0.25">
      <c r="A207" s="296">
        <f>'A) Base RI'!A209</f>
        <v>5730</v>
      </c>
      <c r="B207" s="32" t="str">
        <f>'A) Base RI'!B209</f>
        <v>Trélex</v>
      </c>
      <c r="C207" s="294">
        <f>'B) D RI'!U209</f>
        <v>111625.98756756757</v>
      </c>
      <c r="D207" s="32">
        <f>'B) D RI'!AA209</f>
        <v>1445</v>
      </c>
      <c r="E207" s="200">
        <f t="shared" si="26"/>
        <v>77.249818385859911</v>
      </c>
      <c r="F207" s="365">
        <f t="shared" si="27"/>
        <v>1.6037130025779067</v>
      </c>
      <c r="G207" s="376">
        <f t="shared" si="28"/>
        <v>29.080464978059503</v>
      </c>
      <c r="H207" s="373">
        <f t="shared" si="29"/>
        <v>19.446594296499427</v>
      </c>
      <c r="I207" s="376">
        <f t="shared" si="30"/>
        <v>4.9957882741592954</v>
      </c>
      <c r="J207" s="373">
        <f t="shared" si="31"/>
        <v>0</v>
      </c>
      <c r="K207" s="368">
        <f t="shared" si="32"/>
        <v>0</v>
      </c>
      <c r="L207" s="372">
        <f t="shared" si="33"/>
        <v>8.2603312526777728</v>
      </c>
      <c r="M207" s="113">
        <f>L207*D207*'B) D RI'!S209</f>
        <v>662457.91563662572</v>
      </c>
    </row>
    <row r="208" spans="1:13" x14ac:dyDescent="0.25">
      <c r="A208" s="296">
        <f>'A) Base RI'!A210</f>
        <v>5731</v>
      </c>
      <c r="B208" s="32" t="str">
        <f>'A) Base RI'!B210</f>
        <v>Le Vaud</v>
      </c>
      <c r="C208" s="294">
        <f>'B) D RI'!U210</f>
        <v>63942.206576576558</v>
      </c>
      <c r="D208" s="32">
        <f>'B) D RI'!AA210</f>
        <v>1366</v>
      </c>
      <c r="E208" s="200">
        <f t="shared" si="26"/>
        <v>46.809814477728082</v>
      </c>
      <c r="F208" s="365">
        <f t="shared" si="27"/>
        <v>0.97177585261395338</v>
      </c>
      <c r="G208" s="376">
        <f t="shared" si="28"/>
        <v>0</v>
      </c>
      <c r="H208" s="373">
        <f t="shared" si="29"/>
        <v>0</v>
      </c>
      <c r="I208" s="376">
        <f t="shared" si="30"/>
        <v>0</v>
      </c>
      <c r="J208" s="373">
        <f t="shared" si="31"/>
        <v>0</v>
      </c>
      <c r="K208" s="368">
        <f t="shared" si="32"/>
        <v>0</v>
      </c>
      <c r="L208" s="372">
        <f t="shared" si="33"/>
        <v>0</v>
      </c>
      <c r="M208" s="113">
        <f>L208*D208*'B) D RI'!S210</f>
        <v>0</v>
      </c>
    </row>
    <row r="209" spans="1:13" x14ac:dyDescent="0.25">
      <c r="A209" s="296">
        <f>'A) Base RI'!A211</f>
        <v>5732</v>
      </c>
      <c r="B209" s="32" t="str">
        <f>'A) Base RI'!B211</f>
        <v>Vich</v>
      </c>
      <c r="C209" s="294">
        <f>'B) D RI'!U211</f>
        <v>71006.972380952371</v>
      </c>
      <c r="D209" s="32">
        <f>'B) D RI'!AA211</f>
        <v>1156</v>
      </c>
      <c r="E209" s="200">
        <f t="shared" si="26"/>
        <v>61.424716592519353</v>
      </c>
      <c r="F209" s="365">
        <f t="shared" si="27"/>
        <v>1.2751825018803846</v>
      </c>
      <c r="G209" s="376">
        <f t="shared" si="28"/>
        <v>13.255363184718945</v>
      </c>
      <c r="H209" s="373">
        <f t="shared" si="29"/>
        <v>3.6214925031588692</v>
      </c>
      <c r="I209" s="376">
        <f t="shared" si="30"/>
        <v>0</v>
      </c>
      <c r="J209" s="373">
        <f t="shared" si="31"/>
        <v>0</v>
      </c>
      <c r="K209" s="368">
        <f t="shared" si="32"/>
        <v>0</v>
      </c>
      <c r="L209" s="372">
        <f t="shared" si="33"/>
        <v>3.0132218872596761</v>
      </c>
      <c r="M209" s="113">
        <f>L209*D209*'B) D RI'!S211</f>
        <v>219446.92360534769</v>
      </c>
    </row>
    <row r="210" spans="1:13" x14ac:dyDescent="0.25">
      <c r="A210" s="296">
        <f>'A) Base RI'!A212</f>
        <v>5741</v>
      </c>
      <c r="B210" s="32" t="str">
        <f>'A) Base RI'!B212</f>
        <v>L'Abergement</v>
      </c>
      <c r="C210" s="294">
        <f>'B) D RI'!U212</f>
        <v>7368.9297325102852</v>
      </c>
      <c r="D210" s="32">
        <f>'B) D RI'!AA212</f>
        <v>256</v>
      </c>
      <c r="E210" s="200">
        <f t="shared" si="26"/>
        <v>28.784881767618302</v>
      </c>
      <c r="F210" s="365">
        <f t="shared" si="27"/>
        <v>0.59757666921385244</v>
      </c>
      <c r="G210" s="376">
        <f t="shared" si="28"/>
        <v>0</v>
      </c>
      <c r="H210" s="373">
        <f t="shared" si="29"/>
        <v>0</v>
      </c>
      <c r="I210" s="376">
        <f t="shared" si="30"/>
        <v>0</v>
      </c>
      <c r="J210" s="373">
        <f t="shared" si="31"/>
        <v>0</v>
      </c>
      <c r="K210" s="368">
        <f t="shared" si="32"/>
        <v>0</v>
      </c>
      <c r="L210" s="372">
        <f t="shared" si="33"/>
        <v>0</v>
      </c>
      <c r="M210" s="113">
        <f>L210*D210*'B) D RI'!S212</f>
        <v>0</v>
      </c>
    </row>
    <row r="211" spans="1:13" x14ac:dyDescent="0.25">
      <c r="A211" s="296">
        <f>'A) Base RI'!A213</f>
        <v>5742</v>
      </c>
      <c r="B211" s="32" t="str">
        <f>'A) Base RI'!B213</f>
        <v>Agiez</v>
      </c>
      <c r="C211" s="294">
        <f>'B) D RI'!U213</f>
        <v>8960.136710526318</v>
      </c>
      <c r="D211" s="32">
        <f>'B) D RI'!AA213</f>
        <v>377</v>
      </c>
      <c r="E211" s="200">
        <f t="shared" si="26"/>
        <v>23.766940876727634</v>
      </c>
      <c r="F211" s="365">
        <f t="shared" si="27"/>
        <v>0.4934037763703692</v>
      </c>
      <c r="G211" s="376">
        <f t="shared" si="28"/>
        <v>0</v>
      </c>
      <c r="H211" s="373">
        <f t="shared" si="29"/>
        <v>0</v>
      </c>
      <c r="I211" s="376">
        <f t="shared" si="30"/>
        <v>0</v>
      </c>
      <c r="J211" s="373">
        <f t="shared" si="31"/>
        <v>0</v>
      </c>
      <c r="K211" s="368">
        <f t="shared" si="32"/>
        <v>0</v>
      </c>
      <c r="L211" s="372">
        <f t="shared" si="33"/>
        <v>0</v>
      </c>
      <c r="M211" s="113">
        <f>L211*D211*'B) D RI'!S213</f>
        <v>0</v>
      </c>
    </row>
    <row r="212" spans="1:13" x14ac:dyDescent="0.25">
      <c r="A212" s="296">
        <f>'A) Base RI'!A214</f>
        <v>5743</v>
      </c>
      <c r="B212" s="32" t="str">
        <f>'A) Base RI'!B214</f>
        <v>Arnex-sur-Orbe</v>
      </c>
      <c r="C212" s="294">
        <f>'B) D RI'!U214</f>
        <v>20549.584577464786</v>
      </c>
      <c r="D212" s="32">
        <f>'B) D RI'!AA214</f>
        <v>637</v>
      </c>
      <c r="E212" s="200">
        <f t="shared" si="26"/>
        <v>32.259944391624465</v>
      </c>
      <c r="F212" s="365">
        <f t="shared" si="27"/>
        <v>0.66971927396476905</v>
      </c>
      <c r="G212" s="376">
        <f t="shared" si="28"/>
        <v>0</v>
      </c>
      <c r="H212" s="373">
        <f t="shared" si="29"/>
        <v>0</v>
      </c>
      <c r="I212" s="376">
        <f t="shared" si="30"/>
        <v>0</v>
      </c>
      <c r="J212" s="373">
        <f t="shared" si="31"/>
        <v>0</v>
      </c>
      <c r="K212" s="368">
        <f t="shared" si="32"/>
        <v>0</v>
      </c>
      <c r="L212" s="372">
        <f t="shared" si="33"/>
        <v>0</v>
      </c>
      <c r="M212" s="113">
        <f>L212*D212*'B) D RI'!S214</f>
        <v>0</v>
      </c>
    </row>
    <row r="213" spans="1:13" x14ac:dyDescent="0.25">
      <c r="A213" s="296">
        <f>'A) Base RI'!A215</f>
        <v>5744</v>
      </c>
      <c r="B213" s="32" t="str">
        <f>'A) Base RI'!B215</f>
        <v>Ballaigues</v>
      </c>
      <c r="C213" s="294">
        <f>'B) D RI'!U215</f>
        <v>40453.358769230777</v>
      </c>
      <c r="D213" s="32">
        <f>'B) D RI'!AA215</f>
        <v>1143</v>
      </c>
      <c r="E213" s="200">
        <f t="shared" si="26"/>
        <v>35.392264889965688</v>
      </c>
      <c r="F213" s="365">
        <f t="shared" si="27"/>
        <v>0.73474652213692293</v>
      </c>
      <c r="G213" s="376">
        <f t="shared" si="28"/>
        <v>0</v>
      </c>
      <c r="H213" s="373">
        <f t="shared" si="29"/>
        <v>0</v>
      </c>
      <c r="I213" s="376">
        <f t="shared" si="30"/>
        <v>0</v>
      </c>
      <c r="J213" s="373">
        <f t="shared" si="31"/>
        <v>0</v>
      </c>
      <c r="K213" s="368">
        <f t="shared" si="32"/>
        <v>0</v>
      </c>
      <c r="L213" s="372">
        <f t="shared" si="33"/>
        <v>0</v>
      </c>
      <c r="M213" s="113">
        <f>L213*D213*'B) D RI'!S215</f>
        <v>0</v>
      </c>
    </row>
    <row r="214" spans="1:13" x14ac:dyDescent="0.25">
      <c r="A214" s="296">
        <f>'A) Base RI'!A216</f>
        <v>5745</v>
      </c>
      <c r="B214" s="32" t="str">
        <f>'A) Base RI'!B216</f>
        <v>Baulmes</v>
      </c>
      <c r="C214" s="294">
        <f>'B) D RI'!U216</f>
        <v>26827.589150326792</v>
      </c>
      <c r="D214" s="32">
        <f>'B) D RI'!AA216</f>
        <v>1074</v>
      </c>
      <c r="E214" s="200">
        <f t="shared" si="26"/>
        <v>24.979133287082675</v>
      </c>
      <c r="F214" s="365">
        <f t="shared" si="27"/>
        <v>0.51856899708846049</v>
      </c>
      <c r="G214" s="376">
        <f t="shared" si="28"/>
        <v>0</v>
      </c>
      <c r="H214" s="373">
        <f t="shared" si="29"/>
        <v>0</v>
      </c>
      <c r="I214" s="376">
        <f t="shared" si="30"/>
        <v>0</v>
      </c>
      <c r="J214" s="373">
        <f t="shared" si="31"/>
        <v>0</v>
      </c>
      <c r="K214" s="368">
        <f t="shared" si="32"/>
        <v>0</v>
      </c>
      <c r="L214" s="372">
        <f t="shared" si="33"/>
        <v>0</v>
      </c>
      <c r="M214" s="113">
        <f>L214*D214*'B) D RI'!S216</f>
        <v>0</v>
      </c>
    </row>
    <row r="215" spans="1:13" x14ac:dyDescent="0.25">
      <c r="A215" s="296">
        <f>'A) Base RI'!A217</f>
        <v>5746</v>
      </c>
      <c r="B215" s="32" t="str">
        <f>'A) Base RI'!B217</f>
        <v>Bavois</v>
      </c>
      <c r="C215" s="294">
        <f>'B) D RI'!U217</f>
        <v>30466.611141552505</v>
      </c>
      <c r="D215" s="32">
        <f>'B) D RI'!AA217</f>
        <v>994</v>
      </c>
      <c r="E215" s="200">
        <f t="shared" si="26"/>
        <v>30.650514226913987</v>
      </c>
      <c r="F215" s="365">
        <f t="shared" si="27"/>
        <v>0.63630736263838927</v>
      </c>
      <c r="G215" s="376">
        <f t="shared" si="28"/>
        <v>0</v>
      </c>
      <c r="H215" s="373">
        <f t="shared" si="29"/>
        <v>0</v>
      </c>
      <c r="I215" s="376">
        <f t="shared" si="30"/>
        <v>0</v>
      </c>
      <c r="J215" s="373">
        <f t="shared" si="31"/>
        <v>0</v>
      </c>
      <c r="K215" s="368">
        <f t="shared" si="32"/>
        <v>0</v>
      </c>
      <c r="L215" s="372">
        <f t="shared" si="33"/>
        <v>0</v>
      </c>
      <c r="M215" s="113">
        <f>L215*D215*'B) D RI'!S217</f>
        <v>0</v>
      </c>
    </row>
    <row r="216" spans="1:13" x14ac:dyDescent="0.25">
      <c r="A216" s="296">
        <f>'A) Base RI'!A218</f>
        <v>5747</v>
      </c>
      <c r="B216" s="32" t="str">
        <f>'A) Base RI'!B218</f>
        <v>Bofflens</v>
      </c>
      <c r="C216" s="294">
        <f>'B) D RI'!U218</f>
        <v>5608.7786956521741</v>
      </c>
      <c r="D216" s="32">
        <f>'B) D RI'!AA218</f>
        <v>206</v>
      </c>
      <c r="E216" s="200">
        <f t="shared" si="26"/>
        <v>27.227081046855215</v>
      </c>
      <c r="F216" s="365">
        <f t="shared" si="27"/>
        <v>0.56523658967043844</v>
      </c>
      <c r="G216" s="376">
        <f t="shared" si="28"/>
        <v>0</v>
      </c>
      <c r="H216" s="373">
        <f t="shared" si="29"/>
        <v>0</v>
      </c>
      <c r="I216" s="376">
        <f t="shared" si="30"/>
        <v>0</v>
      </c>
      <c r="J216" s="373">
        <f t="shared" si="31"/>
        <v>0</v>
      </c>
      <c r="K216" s="368">
        <f t="shared" si="32"/>
        <v>0</v>
      </c>
      <c r="L216" s="372">
        <f t="shared" si="33"/>
        <v>0</v>
      </c>
      <c r="M216" s="113">
        <f>L216*D216*'B) D RI'!S218</f>
        <v>0</v>
      </c>
    </row>
    <row r="217" spans="1:13" x14ac:dyDescent="0.25">
      <c r="A217" s="296">
        <f>'A) Base RI'!A219</f>
        <v>5748</v>
      </c>
      <c r="B217" s="32" t="str">
        <f>'A) Base RI'!B219</f>
        <v>Bretonnières</v>
      </c>
      <c r="C217" s="294">
        <f>'B) D RI'!U219</f>
        <v>5789.9884160756492</v>
      </c>
      <c r="D217" s="32">
        <f>'B) D RI'!AA219</f>
        <v>268</v>
      </c>
      <c r="E217" s="200">
        <f t="shared" si="26"/>
        <v>21.604434388341975</v>
      </c>
      <c r="F217" s="365">
        <f t="shared" si="27"/>
        <v>0.44850995207345701</v>
      </c>
      <c r="G217" s="376">
        <f t="shared" si="28"/>
        <v>0</v>
      </c>
      <c r="H217" s="373">
        <f t="shared" si="29"/>
        <v>0</v>
      </c>
      <c r="I217" s="376">
        <f t="shared" si="30"/>
        <v>0</v>
      </c>
      <c r="J217" s="373">
        <f t="shared" si="31"/>
        <v>0</v>
      </c>
      <c r="K217" s="368">
        <f t="shared" si="32"/>
        <v>0</v>
      </c>
      <c r="L217" s="372">
        <f t="shared" si="33"/>
        <v>0</v>
      </c>
      <c r="M217" s="113">
        <f>L217*D217*'B) D RI'!S219</f>
        <v>0</v>
      </c>
    </row>
    <row r="218" spans="1:13" x14ac:dyDescent="0.25">
      <c r="A218" s="296">
        <f>'A) Base RI'!A220</f>
        <v>5749</v>
      </c>
      <c r="B218" s="32" t="str">
        <f>'A) Base RI'!B220</f>
        <v>Chavornay</v>
      </c>
      <c r="C218" s="294">
        <f>'B) D RI'!U220</f>
        <v>140676.80723404256</v>
      </c>
      <c r="D218" s="32">
        <f>'B) D RI'!AA220</f>
        <v>5227</v>
      </c>
      <c r="E218" s="200">
        <f t="shared" si="26"/>
        <v>26.913489044201754</v>
      </c>
      <c r="F218" s="365">
        <f t="shared" si="27"/>
        <v>0.55872639220113463</v>
      </c>
      <c r="G218" s="376">
        <f t="shared" si="28"/>
        <v>0</v>
      </c>
      <c r="H218" s="373">
        <f t="shared" si="29"/>
        <v>0</v>
      </c>
      <c r="I218" s="376">
        <f t="shared" si="30"/>
        <v>0</v>
      </c>
      <c r="J218" s="373">
        <f t="shared" si="31"/>
        <v>0</v>
      </c>
      <c r="K218" s="368">
        <f t="shared" si="32"/>
        <v>0</v>
      </c>
      <c r="L218" s="372">
        <f t="shared" si="33"/>
        <v>0</v>
      </c>
      <c r="M218" s="113">
        <f>L218*D218*'B) D RI'!S220</f>
        <v>0</v>
      </c>
    </row>
    <row r="219" spans="1:13" x14ac:dyDescent="0.25">
      <c r="A219" s="296">
        <f>'A) Base RI'!A221</f>
        <v>5750</v>
      </c>
      <c r="B219" s="32" t="str">
        <f>'A) Base RI'!B221</f>
        <v>Les Clées</v>
      </c>
      <c r="C219" s="294">
        <f>'B) D RI'!U221</f>
        <v>6037.9437500000004</v>
      </c>
      <c r="D219" s="32">
        <f>'B) D RI'!AA221</f>
        <v>187</v>
      </c>
      <c r="E219" s="200">
        <f t="shared" si="26"/>
        <v>32.288469251336899</v>
      </c>
      <c r="F219" s="365">
        <f t="shared" si="27"/>
        <v>0.67031145255331981</v>
      </c>
      <c r="G219" s="376">
        <f t="shared" si="28"/>
        <v>0</v>
      </c>
      <c r="H219" s="373">
        <f t="shared" si="29"/>
        <v>0</v>
      </c>
      <c r="I219" s="376">
        <f t="shared" si="30"/>
        <v>0</v>
      </c>
      <c r="J219" s="373">
        <f t="shared" si="31"/>
        <v>0</v>
      </c>
      <c r="K219" s="368">
        <f t="shared" si="32"/>
        <v>0</v>
      </c>
      <c r="L219" s="372">
        <f t="shared" si="33"/>
        <v>0</v>
      </c>
      <c r="M219" s="113">
        <f>L219*D219*'B) D RI'!S221</f>
        <v>0</v>
      </c>
    </row>
    <row r="220" spans="1:13" x14ac:dyDescent="0.25">
      <c r="A220" s="296">
        <f>'A) Base RI'!A222</f>
        <v>5752</v>
      </c>
      <c r="B220" s="32" t="str">
        <f>'A) Base RI'!B222</f>
        <v>Croy</v>
      </c>
      <c r="C220" s="294">
        <f>'B) D RI'!U222</f>
        <v>9416.7971235521236</v>
      </c>
      <c r="D220" s="32">
        <f>'B) D RI'!AA222</f>
        <v>397</v>
      </c>
      <c r="E220" s="200">
        <f t="shared" si="26"/>
        <v>23.719891998871848</v>
      </c>
      <c r="F220" s="365">
        <f t="shared" si="27"/>
        <v>0.49242703754106687</v>
      </c>
      <c r="G220" s="376">
        <f t="shared" si="28"/>
        <v>0</v>
      </c>
      <c r="H220" s="373">
        <f t="shared" si="29"/>
        <v>0</v>
      </c>
      <c r="I220" s="376">
        <f t="shared" si="30"/>
        <v>0</v>
      </c>
      <c r="J220" s="373">
        <f t="shared" si="31"/>
        <v>0</v>
      </c>
      <c r="K220" s="368">
        <f t="shared" si="32"/>
        <v>0</v>
      </c>
      <c r="L220" s="372">
        <f t="shared" si="33"/>
        <v>0</v>
      </c>
      <c r="M220" s="113">
        <f>L220*D220*'B) D RI'!S222</f>
        <v>0</v>
      </c>
    </row>
    <row r="221" spans="1:13" x14ac:dyDescent="0.25">
      <c r="A221" s="296">
        <f>'A) Base RI'!A223</f>
        <v>5754</v>
      </c>
      <c r="B221" s="32" t="str">
        <f>'A) Base RI'!B223</f>
        <v>Juriens</v>
      </c>
      <c r="C221" s="294">
        <f>'B) D RI'!U223</f>
        <v>8043.7859493670894</v>
      </c>
      <c r="D221" s="32">
        <f>'B) D RI'!AA223</f>
        <v>336</v>
      </c>
      <c r="E221" s="200">
        <f t="shared" si="26"/>
        <v>23.939839135021099</v>
      </c>
      <c r="F221" s="365">
        <f t="shared" si="27"/>
        <v>0.49699315937141786</v>
      </c>
      <c r="G221" s="376">
        <f t="shared" si="28"/>
        <v>0</v>
      </c>
      <c r="H221" s="373">
        <f t="shared" si="29"/>
        <v>0</v>
      </c>
      <c r="I221" s="376">
        <f t="shared" si="30"/>
        <v>0</v>
      </c>
      <c r="J221" s="373">
        <f t="shared" si="31"/>
        <v>0</v>
      </c>
      <c r="K221" s="368">
        <f t="shared" si="32"/>
        <v>0</v>
      </c>
      <c r="L221" s="372">
        <f t="shared" si="33"/>
        <v>0</v>
      </c>
      <c r="M221" s="113">
        <f>L221*D221*'B) D RI'!S223</f>
        <v>0</v>
      </c>
    </row>
    <row r="222" spans="1:13" x14ac:dyDescent="0.25">
      <c r="A222" s="296">
        <f>'A) Base RI'!A224</f>
        <v>5755</v>
      </c>
      <c r="B222" s="32" t="str">
        <f>'A) Base RI'!B224</f>
        <v>Lignerolle</v>
      </c>
      <c r="C222" s="294">
        <f>'B) D RI'!U224</f>
        <v>9055.2737033666963</v>
      </c>
      <c r="D222" s="32">
        <f>'B) D RI'!AA224</f>
        <v>435</v>
      </c>
      <c r="E222" s="200">
        <f t="shared" si="26"/>
        <v>20.816721157164817</v>
      </c>
      <c r="F222" s="365">
        <f t="shared" si="27"/>
        <v>0.43215695633136353</v>
      </c>
      <c r="G222" s="376">
        <f t="shared" si="28"/>
        <v>0</v>
      </c>
      <c r="H222" s="373">
        <f t="shared" si="29"/>
        <v>0</v>
      </c>
      <c r="I222" s="376">
        <f t="shared" si="30"/>
        <v>0</v>
      </c>
      <c r="J222" s="373">
        <f t="shared" si="31"/>
        <v>0</v>
      </c>
      <c r="K222" s="368">
        <f t="shared" si="32"/>
        <v>0</v>
      </c>
      <c r="L222" s="372">
        <f t="shared" si="33"/>
        <v>0</v>
      </c>
      <c r="M222" s="113">
        <f>L222*D222*'B) D RI'!S224</f>
        <v>0</v>
      </c>
    </row>
    <row r="223" spans="1:13" x14ac:dyDescent="0.25">
      <c r="A223" s="296">
        <f>'A) Base RI'!A225</f>
        <v>5756</v>
      </c>
      <c r="B223" s="32" t="str">
        <f>'A) Base RI'!B225</f>
        <v>Montcherand</v>
      </c>
      <c r="C223" s="294">
        <f>'B) D RI'!U225</f>
        <v>15758.308611111112</v>
      </c>
      <c r="D223" s="32">
        <f>'B) D RI'!AA225</f>
        <v>506</v>
      </c>
      <c r="E223" s="200">
        <f t="shared" si="26"/>
        <v>31.142902393500222</v>
      </c>
      <c r="F223" s="365">
        <f t="shared" si="27"/>
        <v>0.64652938414691341</v>
      </c>
      <c r="G223" s="376">
        <f t="shared" si="28"/>
        <v>0</v>
      </c>
      <c r="H223" s="373">
        <f t="shared" si="29"/>
        <v>0</v>
      </c>
      <c r="I223" s="376">
        <f t="shared" si="30"/>
        <v>0</v>
      </c>
      <c r="J223" s="373">
        <f t="shared" si="31"/>
        <v>0</v>
      </c>
      <c r="K223" s="368">
        <f t="shared" si="32"/>
        <v>0</v>
      </c>
      <c r="L223" s="372">
        <f t="shared" si="33"/>
        <v>0</v>
      </c>
      <c r="M223" s="113">
        <f>L223*D223*'B) D RI'!S225</f>
        <v>0</v>
      </c>
    </row>
    <row r="224" spans="1:13" x14ac:dyDescent="0.25">
      <c r="A224" s="296">
        <f>'A) Base RI'!A226</f>
        <v>5757</v>
      </c>
      <c r="B224" s="32" t="str">
        <f>'A) Base RI'!B226</f>
        <v>Orbe</v>
      </c>
      <c r="C224" s="294">
        <f>'B) D RI'!U226</f>
        <v>203783.43483443707</v>
      </c>
      <c r="D224" s="32">
        <f>'B) D RI'!AA226</f>
        <v>7124</v>
      </c>
      <c r="E224" s="200">
        <f t="shared" si="26"/>
        <v>28.605198601128169</v>
      </c>
      <c r="F224" s="365">
        <f t="shared" si="27"/>
        <v>0.59384643092377332</v>
      </c>
      <c r="G224" s="376">
        <f t="shared" si="28"/>
        <v>0</v>
      </c>
      <c r="H224" s="373">
        <f t="shared" si="29"/>
        <v>0</v>
      </c>
      <c r="I224" s="376">
        <f t="shared" si="30"/>
        <v>0</v>
      </c>
      <c r="J224" s="373">
        <f t="shared" si="31"/>
        <v>0</v>
      </c>
      <c r="K224" s="368">
        <f t="shared" si="32"/>
        <v>0</v>
      </c>
      <c r="L224" s="372">
        <f t="shared" si="33"/>
        <v>0</v>
      </c>
      <c r="M224" s="113">
        <f>L224*D224*'B) D RI'!S226</f>
        <v>0</v>
      </c>
    </row>
    <row r="225" spans="1:13" x14ac:dyDescent="0.25">
      <c r="A225" s="296">
        <f>'A) Base RI'!A227</f>
        <v>5758</v>
      </c>
      <c r="B225" s="32" t="str">
        <f>'A) Base RI'!B227</f>
        <v>La Praz</v>
      </c>
      <c r="C225" s="294">
        <f>'B) D RI'!U227</f>
        <v>4313.3939759036139</v>
      </c>
      <c r="D225" s="32">
        <f>'B) D RI'!AA227</f>
        <v>175</v>
      </c>
      <c r="E225" s="200">
        <f t="shared" si="26"/>
        <v>24.647965576592078</v>
      </c>
      <c r="F225" s="365">
        <f t="shared" si="27"/>
        <v>0.51169392638350542</v>
      </c>
      <c r="G225" s="376">
        <f t="shared" si="28"/>
        <v>0</v>
      </c>
      <c r="H225" s="373">
        <f t="shared" si="29"/>
        <v>0</v>
      </c>
      <c r="I225" s="376">
        <f t="shared" si="30"/>
        <v>0</v>
      </c>
      <c r="J225" s="373">
        <f t="shared" si="31"/>
        <v>0</v>
      </c>
      <c r="K225" s="368">
        <f t="shared" si="32"/>
        <v>0</v>
      </c>
      <c r="L225" s="372">
        <f t="shared" si="33"/>
        <v>0</v>
      </c>
      <c r="M225" s="113">
        <f>L225*D225*'B) D RI'!S227</f>
        <v>0</v>
      </c>
    </row>
    <row r="226" spans="1:13" x14ac:dyDescent="0.25">
      <c r="A226" s="296">
        <f>'A) Base RI'!A228</f>
        <v>5759</v>
      </c>
      <c r="B226" s="32" t="str">
        <f>'A) Base RI'!B228</f>
        <v>Premier</v>
      </c>
      <c r="C226" s="294">
        <f>'B) D RI'!U228</f>
        <v>5307.4840251572332</v>
      </c>
      <c r="D226" s="32">
        <f>'B) D RI'!AA228</f>
        <v>218</v>
      </c>
      <c r="E226" s="200">
        <f t="shared" si="26"/>
        <v>24.346256996134098</v>
      </c>
      <c r="F226" s="365">
        <f t="shared" si="27"/>
        <v>0.50543042980086039</v>
      </c>
      <c r="G226" s="376">
        <f t="shared" si="28"/>
        <v>0</v>
      </c>
      <c r="H226" s="373">
        <f t="shared" si="29"/>
        <v>0</v>
      </c>
      <c r="I226" s="376">
        <f t="shared" si="30"/>
        <v>0</v>
      </c>
      <c r="J226" s="373">
        <f t="shared" si="31"/>
        <v>0</v>
      </c>
      <c r="K226" s="368">
        <f t="shared" si="32"/>
        <v>0</v>
      </c>
      <c r="L226" s="372">
        <f t="shared" si="33"/>
        <v>0</v>
      </c>
      <c r="M226" s="113">
        <f>L226*D226*'B) D RI'!S228</f>
        <v>0</v>
      </c>
    </row>
    <row r="227" spans="1:13" x14ac:dyDescent="0.25">
      <c r="A227" s="296">
        <f>'A) Base RI'!A229</f>
        <v>5760</v>
      </c>
      <c r="B227" s="32" t="str">
        <f>'A) Base RI'!B229</f>
        <v>Rances</v>
      </c>
      <c r="C227" s="294">
        <f>'B) D RI'!U229</f>
        <v>12826.018997821348</v>
      </c>
      <c r="D227" s="32">
        <f>'B) D RI'!AA229</f>
        <v>513</v>
      </c>
      <c r="E227" s="200">
        <f t="shared" si="26"/>
        <v>25.001986350528941</v>
      </c>
      <c r="F227" s="365">
        <f t="shared" si="27"/>
        <v>0.51904342868925024</v>
      </c>
      <c r="G227" s="376">
        <f t="shared" si="28"/>
        <v>0</v>
      </c>
      <c r="H227" s="373">
        <f t="shared" si="29"/>
        <v>0</v>
      </c>
      <c r="I227" s="376">
        <f t="shared" si="30"/>
        <v>0</v>
      </c>
      <c r="J227" s="373">
        <f t="shared" si="31"/>
        <v>0</v>
      </c>
      <c r="K227" s="368">
        <f t="shared" si="32"/>
        <v>0</v>
      </c>
      <c r="L227" s="372">
        <f t="shared" si="33"/>
        <v>0</v>
      </c>
      <c r="M227" s="113">
        <f>L227*D227*'B) D RI'!S229</f>
        <v>0</v>
      </c>
    </row>
    <row r="228" spans="1:13" x14ac:dyDescent="0.25">
      <c r="A228" s="296">
        <f>'A) Base RI'!A230</f>
        <v>5761</v>
      </c>
      <c r="B228" s="32" t="str">
        <f>'A) Base RI'!B230</f>
        <v>Romainmôtier-Envy</v>
      </c>
      <c r="C228" s="294">
        <f>'B) D RI'!U230</f>
        <v>12135.004377104378</v>
      </c>
      <c r="D228" s="32">
        <f>'B) D RI'!AA230</f>
        <v>525</v>
      </c>
      <c r="E228" s="200">
        <f t="shared" si="26"/>
        <v>23.114294051627386</v>
      </c>
      <c r="F228" s="365">
        <f t="shared" si="27"/>
        <v>0.47985477106039631</v>
      </c>
      <c r="G228" s="376">
        <f t="shared" si="28"/>
        <v>0</v>
      </c>
      <c r="H228" s="373">
        <f t="shared" si="29"/>
        <v>0</v>
      </c>
      <c r="I228" s="376">
        <f t="shared" si="30"/>
        <v>0</v>
      </c>
      <c r="J228" s="373">
        <f t="shared" si="31"/>
        <v>0</v>
      </c>
      <c r="K228" s="368">
        <f t="shared" si="32"/>
        <v>0</v>
      </c>
      <c r="L228" s="372">
        <f t="shared" si="33"/>
        <v>0</v>
      </c>
      <c r="M228" s="113">
        <f>L228*D228*'B) D RI'!S230</f>
        <v>0</v>
      </c>
    </row>
    <row r="229" spans="1:13" x14ac:dyDescent="0.25">
      <c r="A229" s="296">
        <f>'A) Base RI'!A231</f>
        <v>5762</v>
      </c>
      <c r="B229" s="32" t="str">
        <f>'A) Base RI'!B231</f>
        <v>Sergey</v>
      </c>
      <c r="C229" s="294">
        <f>'B) D RI'!U231</f>
        <v>3773.0282051282052</v>
      </c>
      <c r="D229" s="32">
        <f>'B) D RI'!AA231</f>
        <v>145</v>
      </c>
      <c r="E229" s="200">
        <f t="shared" si="26"/>
        <v>26.020884173297965</v>
      </c>
      <c r="F229" s="365">
        <f t="shared" si="27"/>
        <v>0.54019583682192873</v>
      </c>
      <c r="G229" s="376">
        <f t="shared" si="28"/>
        <v>0</v>
      </c>
      <c r="H229" s="373">
        <f t="shared" si="29"/>
        <v>0</v>
      </c>
      <c r="I229" s="376">
        <f t="shared" si="30"/>
        <v>0</v>
      </c>
      <c r="J229" s="373">
        <f t="shared" si="31"/>
        <v>0</v>
      </c>
      <c r="K229" s="368">
        <f t="shared" si="32"/>
        <v>0</v>
      </c>
      <c r="L229" s="372">
        <f t="shared" si="33"/>
        <v>0</v>
      </c>
      <c r="M229" s="113">
        <f>L229*D229*'B) D RI'!S231</f>
        <v>0</v>
      </c>
    </row>
    <row r="230" spans="1:13" x14ac:dyDescent="0.25">
      <c r="A230" s="296">
        <f>'A) Base RI'!A232</f>
        <v>5763</v>
      </c>
      <c r="B230" s="32" t="str">
        <f>'A) Base RI'!B232</f>
        <v>Valeyres-sous-Rances</v>
      </c>
      <c r="C230" s="294">
        <f>'B) D RI'!U232</f>
        <v>20456.385294117645</v>
      </c>
      <c r="D230" s="32">
        <f>'B) D RI'!AA232</f>
        <v>609</v>
      </c>
      <c r="E230" s="200">
        <f t="shared" si="26"/>
        <v>33.590123635661158</v>
      </c>
      <c r="F230" s="365">
        <f t="shared" si="27"/>
        <v>0.69733391169460179</v>
      </c>
      <c r="G230" s="376">
        <f t="shared" si="28"/>
        <v>0</v>
      </c>
      <c r="H230" s="373">
        <f t="shared" si="29"/>
        <v>0</v>
      </c>
      <c r="I230" s="376">
        <f t="shared" si="30"/>
        <v>0</v>
      </c>
      <c r="J230" s="373">
        <f t="shared" si="31"/>
        <v>0</v>
      </c>
      <c r="K230" s="368">
        <f t="shared" si="32"/>
        <v>0</v>
      </c>
      <c r="L230" s="372">
        <f t="shared" si="33"/>
        <v>0</v>
      </c>
      <c r="M230" s="113">
        <f>L230*D230*'B) D RI'!S232</f>
        <v>0</v>
      </c>
    </row>
    <row r="231" spans="1:13" x14ac:dyDescent="0.25">
      <c r="A231" s="296">
        <f>'A) Base RI'!A233</f>
        <v>5764</v>
      </c>
      <c r="B231" s="32" t="str">
        <f>'A) Base RI'!B233</f>
        <v>Vallorbe</v>
      </c>
      <c r="C231" s="294">
        <f>'B) D RI'!U233</f>
        <v>84310.704615384602</v>
      </c>
      <c r="D231" s="32">
        <f>'B) D RI'!AA233</f>
        <v>3874</v>
      </c>
      <c r="E231" s="200">
        <f t="shared" si="26"/>
        <v>21.763217505261899</v>
      </c>
      <c r="F231" s="365">
        <f t="shared" si="27"/>
        <v>0.4518063035020442</v>
      </c>
      <c r="G231" s="376">
        <f t="shared" si="28"/>
        <v>0</v>
      </c>
      <c r="H231" s="373">
        <f t="shared" si="29"/>
        <v>0</v>
      </c>
      <c r="I231" s="376">
        <f t="shared" si="30"/>
        <v>0</v>
      </c>
      <c r="J231" s="373">
        <f t="shared" si="31"/>
        <v>0</v>
      </c>
      <c r="K231" s="368">
        <f t="shared" si="32"/>
        <v>0</v>
      </c>
      <c r="L231" s="372">
        <f t="shared" si="33"/>
        <v>0</v>
      </c>
      <c r="M231" s="113">
        <f>L231*D231*'B) D RI'!S233</f>
        <v>0</v>
      </c>
    </row>
    <row r="232" spans="1:13" x14ac:dyDescent="0.25">
      <c r="A232" s="296">
        <f>'A) Base RI'!A234</f>
        <v>5765</v>
      </c>
      <c r="B232" s="32" t="str">
        <f>'A) Base RI'!B234</f>
        <v>Vaulion</v>
      </c>
      <c r="C232" s="294">
        <f>'B) D RI'!U234</f>
        <v>11314.597037037036</v>
      </c>
      <c r="D232" s="32">
        <f>'B) D RI'!AA234</f>
        <v>506</v>
      </c>
      <c r="E232" s="200">
        <f t="shared" si="26"/>
        <v>22.360863709559361</v>
      </c>
      <c r="F232" s="365">
        <f t="shared" si="27"/>
        <v>0.46421349110196497</v>
      </c>
      <c r="G232" s="376">
        <f t="shared" si="28"/>
        <v>0</v>
      </c>
      <c r="H232" s="373">
        <f t="shared" si="29"/>
        <v>0</v>
      </c>
      <c r="I232" s="376">
        <f t="shared" si="30"/>
        <v>0</v>
      </c>
      <c r="J232" s="373">
        <f t="shared" si="31"/>
        <v>0</v>
      </c>
      <c r="K232" s="368">
        <f t="shared" si="32"/>
        <v>0</v>
      </c>
      <c r="L232" s="372">
        <f t="shared" si="33"/>
        <v>0</v>
      </c>
      <c r="M232" s="113">
        <f>L232*D232*'B) D RI'!S234</f>
        <v>0</v>
      </c>
    </row>
    <row r="233" spans="1:13" x14ac:dyDescent="0.25">
      <c r="A233" s="296">
        <f>'A) Base RI'!A235</f>
        <v>5766</v>
      </c>
      <c r="B233" s="32" t="str">
        <f>'A) Base RI'!B235</f>
        <v>Vuiteboeuf</v>
      </c>
      <c r="C233" s="294">
        <f>'B) D RI'!U235</f>
        <v>15993.559610389608</v>
      </c>
      <c r="D233" s="32">
        <f>'B) D RI'!AA235</f>
        <v>584</v>
      </c>
      <c r="E233" s="200">
        <f t="shared" si="26"/>
        <v>27.386232209571247</v>
      </c>
      <c r="F233" s="365">
        <f t="shared" si="27"/>
        <v>0.56854058176202127</v>
      </c>
      <c r="G233" s="376">
        <f t="shared" si="28"/>
        <v>0</v>
      </c>
      <c r="H233" s="373">
        <f t="shared" si="29"/>
        <v>0</v>
      </c>
      <c r="I233" s="376">
        <f t="shared" si="30"/>
        <v>0</v>
      </c>
      <c r="J233" s="373">
        <f t="shared" si="31"/>
        <v>0</v>
      </c>
      <c r="K233" s="368">
        <f t="shared" si="32"/>
        <v>0</v>
      </c>
      <c r="L233" s="372">
        <f t="shared" si="33"/>
        <v>0</v>
      </c>
      <c r="M233" s="113">
        <f>L233*D233*'B) D RI'!S235</f>
        <v>0</v>
      </c>
    </row>
    <row r="234" spans="1:13" x14ac:dyDescent="0.25">
      <c r="A234" s="296">
        <f>'A) Base RI'!A236</f>
        <v>5785</v>
      </c>
      <c r="B234" s="32" t="str">
        <f>'A) Base RI'!B236</f>
        <v>Corcelles-le-Jorat</v>
      </c>
      <c r="C234" s="294">
        <f>'B) D RI'!U236</f>
        <v>17506.662467532471</v>
      </c>
      <c r="D234" s="32">
        <f>'B) D RI'!AA236</f>
        <v>451</v>
      </c>
      <c r="E234" s="200">
        <f t="shared" si="26"/>
        <v>38.817433409162909</v>
      </c>
      <c r="F234" s="365">
        <f t="shared" si="27"/>
        <v>0.80585332089753414</v>
      </c>
      <c r="G234" s="376">
        <f t="shared" si="28"/>
        <v>0</v>
      </c>
      <c r="H234" s="373">
        <f t="shared" si="29"/>
        <v>0</v>
      </c>
      <c r="I234" s="376">
        <f t="shared" si="30"/>
        <v>0</v>
      </c>
      <c r="J234" s="373">
        <f t="shared" si="31"/>
        <v>0</v>
      </c>
      <c r="K234" s="368">
        <f t="shared" si="32"/>
        <v>0</v>
      </c>
      <c r="L234" s="372">
        <f t="shared" si="33"/>
        <v>0</v>
      </c>
      <c r="M234" s="113">
        <f>L234*D234*'B) D RI'!S236</f>
        <v>0</v>
      </c>
    </row>
    <row r="235" spans="1:13" x14ac:dyDescent="0.25">
      <c r="A235" s="296">
        <f>'A) Base RI'!A237</f>
        <v>5788</v>
      </c>
      <c r="B235" s="32" t="str">
        <f>'A) Base RI'!B237</f>
        <v>Essertes</v>
      </c>
      <c r="C235" s="294">
        <f>'B) D RI'!U237</f>
        <v>16224.893706293702</v>
      </c>
      <c r="D235" s="32">
        <f>'B) D RI'!AA237</f>
        <v>389</v>
      </c>
      <c r="E235" s="200">
        <f t="shared" si="26"/>
        <v>41.709238319521084</v>
      </c>
      <c r="F235" s="365">
        <f t="shared" si="27"/>
        <v>0.86588744437592569</v>
      </c>
      <c r="G235" s="376">
        <f t="shared" si="28"/>
        <v>0</v>
      </c>
      <c r="H235" s="373">
        <f t="shared" si="29"/>
        <v>0</v>
      </c>
      <c r="I235" s="376">
        <f t="shared" si="30"/>
        <v>0</v>
      </c>
      <c r="J235" s="373">
        <f t="shared" si="31"/>
        <v>0</v>
      </c>
      <c r="K235" s="368">
        <f t="shared" si="32"/>
        <v>0</v>
      </c>
      <c r="L235" s="372">
        <f t="shared" si="33"/>
        <v>0</v>
      </c>
      <c r="M235" s="113">
        <f>L235*D235*'B) D RI'!S237</f>
        <v>0</v>
      </c>
    </row>
    <row r="236" spans="1:13" x14ac:dyDescent="0.25">
      <c r="A236" s="296">
        <f>'A) Base RI'!A238</f>
        <v>5790</v>
      </c>
      <c r="B236" s="32" t="str">
        <f>'A) Base RI'!B238</f>
        <v>Maracon</v>
      </c>
      <c r="C236" s="294">
        <f>'B) D RI'!U238</f>
        <v>13398.084966442953</v>
      </c>
      <c r="D236" s="32">
        <f>'B) D RI'!AA238</f>
        <v>538</v>
      </c>
      <c r="E236" s="200">
        <f t="shared" si="26"/>
        <v>24.903503655098426</v>
      </c>
      <c r="F236" s="365">
        <f t="shared" si="27"/>
        <v>0.51699891929763009</v>
      </c>
      <c r="G236" s="376">
        <f t="shared" si="28"/>
        <v>0</v>
      </c>
      <c r="H236" s="373">
        <f t="shared" si="29"/>
        <v>0</v>
      </c>
      <c r="I236" s="376">
        <f t="shared" si="30"/>
        <v>0</v>
      </c>
      <c r="J236" s="373">
        <f t="shared" si="31"/>
        <v>0</v>
      </c>
      <c r="K236" s="368">
        <f t="shared" si="32"/>
        <v>0</v>
      </c>
      <c r="L236" s="372">
        <f t="shared" si="33"/>
        <v>0</v>
      </c>
      <c r="M236" s="113">
        <f>L236*D236*'B) D RI'!S238</f>
        <v>0</v>
      </c>
    </row>
    <row r="237" spans="1:13" x14ac:dyDescent="0.25">
      <c r="A237" s="296">
        <f>'A) Base RI'!A239</f>
        <v>5792</v>
      </c>
      <c r="B237" s="32" t="str">
        <f>'A) Base RI'!B239</f>
        <v>Montpreveyres</v>
      </c>
      <c r="C237" s="294">
        <f>'B) D RI'!U239</f>
        <v>17609.230799999998</v>
      </c>
      <c r="D237" s="32">
        <f>'B) D RI'!AA239</f>
        <v>653</v>
      </c>
      <c r="E237" s="200">
        <f t="shared" si="26"/>
        <v>26.96666278713629</v>
      </c>
      <c r="F237" s="365">
        <f t="shared" si="27"/>
        <v>0.55983028376647015</v>
      </c>
      <c r="G237" s="376">
        <f t="shared" si="28"/>
        <v>0</v>
      </c>
      <c r="H237" s="373">
        <f t="shared" si="29"/>
        <v>0</v>
      </c>
      <c r="I237" s="376">
        <f t="shared" si="30"/>
        <v>0</v>
      </c>
      <c r="J237" s="373">
        <f t="shared" si="31"/>
        <v>0</v>
      </c>
      <c r="K237" s="368">
        <f t="shared" si="32"/>
        <v>0</v>
      </c>
      <c r="L237" s="372">
        <f t="shared" si="33"/>
        <v>0</v>
      </c>
      <c r="M237" s="113">
        <f>L237*D237*'B) D RI'!S239</f>
        <v>0</v>
      </c>
    </row>
    <row r="238" spans="1:13" x14ac:dyDescent="0.25">
      <c r="A238" s="296">
        <f>'A) Base RI'!A240</f>
        <v>5798</v>
      </c>
      <c r="B238" s="32" t="str">
        <f>'A) Base RI'!B240</f>
        <v>Ropraz</v>
      </c>
      <c r="C238" s="294">
        <f>'B) D RI'!U240</f>
        <v>15760.164903225806</v>
      </c>
      <c r="D238" s="32">
        <f>'B) D RI'!AA240</f>
        <v>528</v>
      </c>
      <c r="E238" s="200">
        <f t="shared" si="26"/>
        <v>29.848797165200391</v>
      </c>
      <c r="F238" s="365">
        <f t="shared" si="27"/>
        <v>0.61966364614657177</v>
      </c>
      <c r="G238" s="376">
        <f t="shared" si="28"/>
        <v>0</v>
      </c>
      <c r="H238" s="373">
        <f t="shared" si="29"/>
        <v>0</v>
      </c>
      <c r="I238" s="376">
        <f t="shared" si="30"/>
        <v>0</v>
      </c>
      <c r="J238" s="373">
        <f t="shared" si="31"/>
        <v>0</v>
      </c>
      <c r="K238" s="368">
        <f t="shared" si="32"/>
        <v>0</v>
      </c>
      <c r="L238" s="372">
        <f t="shared" si="33"/>
        <v>0</v>
      </c>
      <c r="M238" s="113">
        <f>L238*D238*'B) D RI'!S240</f>
        <v>0</v>
      </c>
    </row>
    <row r="239" spans="1:13" x14ac:dyDescent="0.25">
      <c r="A239" s="296">
        <f>'A) Base RI'!A241</f>
        <v>5799</v>
      </c>
      <c r="B239" s="32" t="str">
        <f>'A) Base RI'!B241</f>
        <v>Servion</v>
      </c>
      <c r="C239" s="294">
        <f>'B) D RI'!U241</f>
        <v>69387.22289855071</v>
      </c>
      <c r="D239" s="32">
        <f>'B) D RI'!AA241</f>
        <v>2076</v>
      </c>
      <c r="E239" s="200">
        <f t="shared" si="26"/>
        <v>33.423517773868355</v>
      </c>
      <c r="F239" s="365">
        <f t="shared" si="27"/>
        <v>0.6938751593965935</v>
      </c>
      <c r="G239" s="376">
        <f t="shared" si="28"/>
        <v>0</v>
      </c>
      <c r="H239" s="373">
        <f t="shared" si="29"/>
        <v>0</v>
      </c>
      <c r="I239" s="376">
        <f t="shared" si="30"/>
        <v>0</v>
      </c>
      <c r="J239" s="373">
        <f t="shared" si="31"/>
        <v>0</v>
      </c>
      <c r="K239" s="368">
        <f t="shared" si="32"/>
        <v>0</v>
      </c>
      <c r="L239" s="372">
        <f t="shared" si="33"/>
        <v>0</v>
      </c>
      <c r="M239" s="113">
        <f>L239*D239*'B) D RI'!S241</f>
        <v>0</v>
      </c>
    </row>
    <row r="240" spans="1:13" x14ac:dyDescent="0.25">
      <c r="A240" s="296">
        <f>'A) Base RI'!A242</f>
        <v>5803</v>
      </c>
      <c r="B240" s="32" t="str">
        <f>'A) Base RI'!B242</f>
        <v>Vulliens</v>
      </c>
      <c r="C240" s="294">
        <f>'B) D RI'!U242</f>
        <v>18875.933421052636</v>
      </c>
      <c r="D240" s="32">
        <f>'B) D RI'!AA242</f>
        <v>624</v>
      </c>
      <c r="E240" s="200">
        <f t="shared" si="26"/>
        <v>30.249893302968967</v>
      </c>
      <c r="F240" s="365">
        <f t="shared" si="27"/>
        <v>0.62799043713280123</v>
      </c>
      <c r="G240" s="376">
        <f t="shared" si="28"/>
        <v>0</v>
      </c>
      <c r="H240" s="373">
        <f t="shared" si="29"/>
        <v>0</v>
      </c>
      <c r="I240" s="376">
        <f t="shared" si="30"/>
        <v>0</v>
      </c>
      <c r="J240" s="373">
        <f t="shared" si="31"/>
        <v>0</v>
      </c>
      <c r="K240" s="368">
        <f t="shared" si="32"/>
        <v>0</v>
      </c>
      <c r="L240" s="372">
        <f t="shared" si="33"/>
        <v>0</v>
      </c>
      <c r="M240" s="113">
        <f>L240*D240*'B) D RI'!S242</f>
        <v>0</v>
      </c>
    </row>
    <row r="241" spans="1:13" x14ac:dyDescent="0.25">
      <c r="A241" s="296">
        <f>'A) Base RI'!A243</f>
        <v>5804</v>
      </c>
      <c r="B241" s="32" t="str">
        <f>'A) Base RI'!B243</f>
        <v>Jorat-Menthue</v>
      </c>
      <c r="C241" s="294">
        <f>'B) D RI'!U243</f>
        <v>46692.865106382982</v>
      </c>
      <c r="D241" s="32">
        <f>'B) D RI'!AA243</f>
        <v>1602</v>
      </c>
      <c r="E241" s="200">
        <f t="shared" si="26"/>
        <v>29.146607432199115</v>
      </c>
      <c r="F241" s="365">
        <f t="shared" si="27"/>
        <v>0.60508612572489284</v>
      </c>
      <c r="G241" s="376">
        <f t="shared" si="28"/>
        <v>0</v>
      </c>
      <c r="H241" s="373">
        <f t="shared" si="29"/>
        <v>0</v>
      </c>
      <c r="I241" s="376">
        <f t="shared" si="30"/>
        <v>0</v>
      </c>
      <c r="J241" s="373">
        <f t="shared" si="31"/>
        <v>0</v>
      </c>
      <c r="K241" s="368">
        <f t="shared" si="32"/>
        <v>0</v>
      </c>
      <c r="L241" s="372">
        <f t="shared" si="33"/>
        <v>0</v>
      </c>
      <c r="M241" s="113">
        <f>L241*D241*'B) D RI'!S243</f>
        <v>0</v>
      </c>
    </row>
    <row r="242" spans="1:13" x14ac:dyDescent="0.25">
      <c r="A242" s="296">
        <f>'A) Base RI'!A244</f>
        <v>5805</v>
      </c>
      <c r="B242" s="32" t="str">
        <f>'A) Base RI'!B244</f>
        <v>Oron</v>
      </c>
      <c r="C242" s="294">
        <f>'B) D RI'!U244</f>
        <v>154727.47061923583</v>
      </c>
      <c r="D242" s="32">
        <f>'B) D RI'!AA244</f>
        <v>5663</v>
      </c>
      <c r="E242" s="200">
        <f t="shared" si="26"/>
        <v>27.322527038537142</v>
      </c>
      <c r="F242" s="365">
        <f t="shared" si="27"/>
        <v>0.56721805682599447</v>
      </c>
      <c r="G242" s="376">
        <f t="shared" si="28"/>
        <v>0</v>
      </c>
      <c r="H242" s="373">
        <f t="shared" si="29"/>
        <v>0</v>
      </c>
      <c r="I242" s="376">
        <f t="shared" si="30"/>
        <v>0</v>
      </c>
      <c r="J242" s="373">
        <f t="shared" si="31"/>
        <v>0</v>
      </c>
      <c r="K242" s="368">
        <f t="shared" si="32"/>
        <v>0</v>
      </c>
      <c r="L242" s="372">
        <f t="shared" si="33"/>
        <v>0</v>
      </c>
      <c r="M242" s="113">
        <f>L242*D242*'B) D RI'!S244</f>
        <v>0</v>
      </c>
    </row>
    <row r="243" spans="1:13" x14ac:dyDescent="0.25">
      <c r="A243" s="296">
        <f>'A) Base RI'!A245</f>
        <v>5806</v>
      </c>
      <c r="B243" s="32" t="str">
        <f>'A) Base RI'!B245</f>
        <v>Jorat-Mézières</v>
      </c>
      <c r="C243" s="294">
        <f>'B) D RI'!U245</f>
        <v>91070.268493150696</v>
      </c>
      <c r="D243" s="32">
        <f>'B) D RI'!AA245</f>
        <v>2966</v>
      </c>
      <c r="E243" s="200">
        <f t="shared" si="26"/>
        <v>30.704743254602391</v>
      </c>
      <c r="F243" s="365">
        <f t="shared" si="27"/>
        <v>0.63743316200773736</v>
      </c>
      <c r="G243" s="376">
        <f t="shared" si="28"/>
        <v>0</v>
      </c>
      <c r="H243" s="373">
        <f t="shared" si="29"/>
        <v>0</v>
      </c>
      <c r="I243" s="376">
        <f t="shared" si="30"/>
        <v>0</v>
      </c>
      <c r="J243" s="373">
        <f t="shared" si="31"/>
        <v>0</v>
      </c>
      <c r="K243" s="368">
        <f t="shared" si="32"/>
        <v>0</v>
      </c>
      <c r="L243" s="372">
        <f t="shared" si="33"/>
        <v>0</v>
      </c>
      <c r="M243" s="113">
        <f>L243*D243*'B) D RI'!S245</f>
        <v>0</v>
      </c>
    </row>
    <row r="244" spans="1:13" x14ac:dyDescent="0.25">
      <c r="A244" s="296">
        <f>'A) Base RI'!A246</f>
        <v>5812</v>
      </c>
      <c r="B244" s="32" t="str">
        <f>'A) Base RI'!B246</f>
        <v>Champtauroz</v>
      </c>
      <c r="C244" s="294">
        <f>'B) D RI'!U246</f>
        <v>2503.1327272727272</v>
      </c>
      <c r="D244" s="32">
        <f>'B) D RI'!AA246</f>
        <v>144</v>
      </c>
      <c r="E244" s="200">
        <f t="shared" si="26"/>
        <v>17.38286616161616</v>
      </c>
      <c r="F244" s="365">
        <f t="shared" si="27"/>
        <v>0.36086982556010871</v>
      </c>
      <c r="G244" s="376">
        <f t="shared" si="28"/>
        <v>0</v>
      </c>
      <c r="H244" s="373">
        <f t="shared" si="29"/>
        <v>0</v>
      </c>
      <c r="I244" s="376">
        <f t="shared" si="30"/>
        <v>0</v>
      </c>
      <c r="J244" s="373">
        <f t="shared" si="31"/>
        <v>0</v>
      </c>
      <c r="K244" s="368">
        <f t="shared" si="32"/>
        <v>0</v>
      </c>
      <c r="L244" s="372">
        <f t="shared" si="33"/>
        <v>0</v>
      </c>
      <c r="M244" s="113">
        <f>L244*D244*'B) D RI'!S246</f>
        <v>0</v>
      </c>
    </row>
    <row r="245" spans="1:13" x14ac:dyDescent="0.25">
      <c r="A245" s="296">
        <f>'A) Base RI'!A247</f>
        <v>5813</v>
      </c>
      <c r="B245" s="32" t="str">
        <f>'A) Base RI'!B247</f>
        <v>Chevroux</v>
      </c>
      <c r="C245" s="294">
        <f>'B) D RI'!U247</f>
        <v>15179.777080291971</v>
      </c>
      <c r="D245" s="32">
        <f>'B) D RI'!AA247</f>
        <v>495</v>
      </c>
      <c r="E245" s="200">
        <f t="shared" si="26"/>
        <v>30.666216323822166</v>
      </c>
      <c r="F245" s="365">
        <f t="shared" si="27"/>
        <v>0.63663333954688639</v>
      </c>
      <c r="G245" s="376">
        <f t="shared" si="28"/>
        <v>0</v>
      </c>
      <c r="H245" s="373">
        <f t="shared" si="29"/>
        <v>0</v>
      </c>
      <c r="I245" s="376">
        <f t="shared" si="30"/>
        <v>0</v>
      </c>
      <c r="J245" s="373">
        <f t="shared" si="31"/>
        <v>0</v>
      </c>
      <c r="K245" s="368">
        <f t="shared" si="32"/>
        <v>0</v>
      </c>
      <c r="L245" s="372">
        <f t="shared" si="33"/>
        <v>0</v>
      </c>
      <c r="M245" s="113">
        <f>L245*D245*'B) D RI'!S247</f>
        <v>0</v>
      </c>
    </row>
    <row r="246" spans="1:13" x14ac:dyDescent="0.25">
      <c r="A246" s="296">
        <f>'A) Base RI'!A248</f>
        <v>5816</v>
      </c>
      <c r="B246" s="32" t="str">
        <f>'A) Base RI'!B248</f>
        <v>Corcelles-près-Payerne</v>
      </c>
      <c r="C246" s="294">
        <f>'B) D RI'!U248</f>
        <v>60528.996913451512</v>
      </c>
      <c r="D246" s="32">
        <f>'B) D RI'!AA248</f>
        <v>2681</v>
      </c>
      <c r="E246" s="200">
        <f t="shared" si="26"/>
        <v>22.577022347426897</v>
      </c>
      <c r="F246" s="365">
        <f t="shared" si="27"/>
        <v>0.46870096337583056</v>
      </c>
      <c r="G246" s="376">
        <f t="shared" si="28"/>
        <v>0</v>
      </c>
      <c r="H246" s="373">
        <f t="shared" si="29"/>
        <v>0</v>
      </c>
      <c r="I246" s="376">
        <f t="shared" si="30"/>
        <v>0</v>
      </c>
      <c r="J246" s="373">
        <f t="shared" si="31"/>
        <v>0</v>
      </c>
      <c r="K246" s="368">
        <f t="shared" si="32"/>
        <v>0</v>
      </c>
      <c r="L246" s="372">
        <f t="shared" si="33"/>
        <v>0</v>
      </c>
      <c r="M246" s="113">
        <f>L246*D246*'B) D RI'!S248</f>
        <v>0</v>
      </c>
    </row>
    <row r="247" spans="1:13" x14ac:dyDescent="0.25">
      <c r="A247" s="296">
        <f>'A) Base RI'!A249</f>
        <v>5817</v>
      </c>
      <c r="B247" s="32" t="str">
        <f>'A) Base RI'!B249</f>
        <v>Grandcour</v>
      </c>
      <c r="C247" s="294">
        <f>'B) D RI'!U249</f>
        <v>21854.748299319726</v>
      </c>
      <c r="D247" s="32">
        <f>'B) D RI'!AA249</f>
        <v>967</v>
      </c>
      <c r="E247" s="200">
        <f t="shared" si="26"/>
        <v>22.600567010671899</v>
      </c>
      <c r="F247" s="365">
        <f t="shared" si="27"/>
        <v>0.46918975264907808</v>
      </c>
      <c r="G247" s="376">
        <f t="shared" si="28"/>
        <v>0</v>
      </c>
      <c r="H247" s="373">
        <f t="shared" si="29"/>
        <v>0</v>
      </c>
      <c r="I247" s="376">
        <f t="shared" si="30"/>
        <v>0</v>
      </c>
      <c r="J247" s="373">
        <f t="shared" si="31"/>
        <v>0</v>
      </c>
      <c r="K247" s="368">
        <f t="shared" si="32"/>
        <v>0</v>
      </c>
      <c r="L247" s="372">
        <f t="shared" si="33"/>
        <v>0</v>
      </c>
      <c r="M247" s="113">
        <f>L247*D247*'B) D RI'!S249</f>
        <v>0</v>
      </c>
    </row>
    <row r="248" spans="1:13" x14ac:dyDescent="0.25">
      <c r="A248" s="296">
        <f>'A) Base RI'!A250</f>
        <v>5819</v>
      </c>
      <c r="B248" s="32" t="str">
        <f>'A) Base RI'!B250</f>
        <v>Henniez</v>
      </c>
      <c r="C248" s="294">
        <f>'B) D RI'!U250</f>
        <v>11468.217826086959</v>
      </c>
      <c r="D248" s="32">
        <f>'B) D RI'!AA250</f>
        <v>396</v>
      </c>
      <c r="E248" s="200">
        <f t="shared" si="26"/>
        <v>28.960146025472117</v>
      </c>
      <c r="F248" s="365">
        <f t="shared" si="27"/>
        <v>0.60121517057321328</v>
      </c>
      <c r="G248" s="376">
        <f t="shared" si="28"/>
        <v>0</v>
      </c>
      <c r="H248" s="373">
        <f t="shared" si="29"/>
        <v>0</v>
      </c>
      <c r="I248" s="376">
        <f t="shared" si="30"/>
        <v>0</v>
      </c>
      <c r="J248" s="373">
        <f t="shared" si="31"/>
        <v>0</v>
      </c>
      <c r="K248" s="368">
        <f t="shared" si="32"/>
        <v>0</v>
      </c>
      <c r="L248" s="372">
        <f t="shared" si="33"/>
        <v>0</v>
      </c>
      <c r="M248" s="113">
        <f>L248*D248*'B) D RI'!S250</f>
        <v>0</v>
      </c>
    </row>
    <row r="249" spans="1:13" x14ac:dyDescent="0.25">
      <c r="A249" s="296">
        <f>'A) Base RI'!A251</f>
        <v>5821</v>
      </c>
      <c r="B249" s="32" t="str">
        <f>'A) Base RI'!B251</f>
        <v>Missy</v>
      </c>
      <c r="C249" s="294">
        <f>'B) D RI'!U251</f>
        <v>7872.7337500000012</v>
      </c>
      <c r="D249" s="32">
        <f>'B) D RI'!AA251</f>
        <v>368</v>
      </c>
      <c r="E249" s="200">
        <f t="shared" si="26"/>
        <v>21.393298233695656</v>
      </c>
      <c r="F249" s="365">
        <f t="shared" si="27"/>
        <v>0.44412674699161075</v>
      </c>
      <c r="G249" s="376">
        <f t="shared" si="28"/>
        <v>0</v>
      </c>
      <c r="H249" s="373">
        <f t="shared" si="29"/>
        <v>0</v>
      </c>
      <c r="I249" s="376">
        <f t="shared" si="30"/>
        <v>0</v>
      </c>
      <c r="J249" s="373">
        <f t="shared" si="31"/>
        <v>0</v>
      </c>
      <c r="K249" s="368">
        <f t="shared" si="32"/>
        <v>0</v>
      </c>
      <c r="L249" s="372">
        <f t="shared" si="33"/>
        <v>0</v>
      </c>
      <c r="M249" s="113">
        <f>L249*D249*'B) D RI'!S251</f>
        <v>0</v>
      </c>
    </row>
    <row r="250" spans="1:13" x14ac:dyDescent="0.25">
      <c r="A250" s="296">
        <f>'A) Base RI'!A252</f>
        <v>5822</v>
      </c>
      <c r="B250" s="32" t="str">
        <f>'A) Base RI'!B252</f>
        <v>Payerne</v>
      </c>
      <c r="C250" s="294">
        <f>'B) D RI'!U252</f>
        <v>237851.57178082189</v>
      </c>
      <c r="D250" s="32">
        <f>'B) D RI'!AA252</f>
        <v>10108</v>
      </c>
      <c r="E250" s="200">
        <f t="shared" si="26"/>
        <v>23.531022138981193</v>
      </c>
      <c r="F250" s="365">
        <f t="shared" si="27"/>
        <v>0.48850608269054835</v>
      </c>
      <c r="G250" s="376">
        <f t="shared" si="28"/>
        <v>0</v>
      </c>
      <c r="H250" s="373">
        <f t="shared" si="29"/>
        <v>0</v>
      </c>
      <c r="I250" s="376">
        <f t="shared" si="30"/>
        <v>0</v>
      </c>
      <c r="J250" s="373">
        <f t="shared" si="31"/>
        <v>0</v>
      </c>
      <c r="K250" s="368">
        <f t="shared" si="32"/>
        <v>0</v>
      </c>
      <c r="L250" s="372">
        <f t="shared" si="33"/>
        <v>0</v>
      </c>
      <c r="M250" s="113">
        <f>L250*D250*'B) D RI'!S252</f>
        <v>0</v>
      </c>
    </row>
    <row r="251" spans="1:13" x14ac:dyDescent="0.25">
      <c r="A251" s="296">
        <f>'A) Base RI'!A253</f>
        <v>5827</v>
      </c>
      <c r="B251" s="32" t="str">
        <f>'A) Base RI'!B253</f>
        <v>Trey</v>
      </c>
      <c r="C251" s="294">
        <f>'B) D RI'!U253</f>
        <v>6163.6291025641031</v>
      </c>
      <c r="D251" s="32">
        <f>'B) D RI'!AA253</f>
        <v>302</v>
      </c>
      <c r="E251" s="200">
        <f t="shared" si="26"/>
        <v>20.409367889285111</v>
      </c>
      <c r="F251" s="365">
        <f t="shared" si="27"/>
        <v>0.42370026677543227</v>
      </c>
      <c r="G251" s="376">
        <f t="shared" si="28"/>
        <v>0</v>
      </c>
      <c r="H251" s="373">
        <f t="shared" si="29"/>
        <v>0</v>
      </c>
      <c r="I251" s="376">
        <f t="shared" si="30"/>
        <v>0</v>
      </c>
      <c r="J251" s="373">
        <f t="shared" si="31"/>
        <v>0</v>
      </c>
      <c r="K251" s="368">
        <f t="shared" si="32"/>
        <v>0</v>
      </c>
      <c r="L251" s="372">
        <f t="shared" si="33"/>
        <v>0</v>
      </c>
      <c r="M251" s="113">
        <f>L251*D251*'B) D RI'!S253</f>
        <v>0</v>
      </c>
    </row>
    <row r="252" spans="1:13" x14ac:dyDescent="0.25">
      <c r="A252" s="296">
        <f>'A) Base RI'!A254</f>
        <v>5828</v>
      </c>
      <c r="B252" s="32" t="str">
        <f>'A) Base RI'!B254</f>
        <v>Treytorrens (Payerne)</v>
      </c>
      <c r="C252" s="294">
        <f>'B) D RI'!U254</f>
        <v>2288.4160317460314</v>
      </c>
      <c r="D252" s="32">
        <f>'B) D RI'!AA254</f>
        <v>114</v>
      </c>
      <c r="E252" s="200">
        <f t="shared" si="26"/>
        <v>20.073824839877467</v>
      </c>
      <c r="F252" s="365">
        <f t="shared" si="27"/>
        <v>0.4167343636509509</v>
      </c>
      <c r="G252" s="376">
        <f t="shared" si="28"/>
        <v>0</v>
      </c>
      <c r="H252" s="373">
        <f t="shared" si="29"/>
        <v>0</v>
      </c>
      <c r="I252" s="376">
        <f t="shared" si="30"/>
        <v>0</v>
      </c>
      <c r="J252" s="373">
        <f t="shared" si="31"/>
        <v>0</v>
      </c>
      <c r="K252" s="368">
        <f t="shared" si="32"/>
        <v>0</v>
      </c>
      <c r="L252" s="372">
        <f t="shared" si="33"/>
        <v>0</v>
      </c>
      <c r="M252" s="113">
        <f>L252*D252*'B) D RI'!S254</f>
        <v>0</v>
      </c>
    </row>
    <row r="253" spans="1:13" x14ac:dyDescent="0.25">
      <c r="A253" s="296">
        <f>'A) Base RI'!A255</f>
        <v>5830</v>
      </c>
      <c r="B253" s="32" t="str">
        <f>'A) Base RI'!B255</f>
        <v>Villarzel</v>
      </c>
      <c r="C253" s="294">
        <f>'B) D RI'!U255</f>
        <v>12470.916233766235</v>
      </c>
      <c r="D253" s="32">
        <f>'B) D RI'!AA255</f>
        <v>477</v>
      </c>
      <c r="E253" s="200">
        <f t="shared" si="26"/>
        <v>26.144478477497348</v>
      </c>
      <c r="F253" s="365">
        <f t="shared" si="27"/>
        <v>0.54276166541325388</v>
      </c>
      <c r="G253" s="376">
        <f t="shared" si="28"/>
        <v>0</v>
      </c>
      <c r="H253" s="373">
        <f t="shared" si="29"/>
        <v>0</v>
      </c>
      <c r="I253" s="376">
        <f t="shared" si="30"/>
        <v>0</v>
      </c>
      <c r="J253" s="373">
        <f t="shared" si="31"/>
        <v>0</v>
      </c>
      <c r="K253" s="368">
        <f t="shared" si="32"/>
        <v>0</v>
      </c>
      <c r="L253" s="372">
        <f t="shared" si="33"/>
        <v>0</v>
      </c>
      <c r="M253" s="113">
        <f>L253*D253*'B) D RI'!S255</f>
        <v>0</v>
      </c>
    </row>
    <row r="254" spans="1:13" x14ac:dyDescent="0.25">
      <c r="A254" s="296">
        <f>'A) Base RI'!A256</f>
        <v>5831</v>
      </c>
      <c r="B254" s="32" t="str">
        <f>'A) Base RI'!B256</f>
        <v>Valbroye</v>
      </c>
      <c r="C254" s="294">
        <f>'B) D RI'!U256</f>
        <v>83756.732765957451</v>
      </c>
      <c r="D254" s="32">
        <f>'B) D RI'!AA256</f>
        <v>3373</v>
      </c>
      <c r="E254" s="200">
        <f t="shared" si="26"/>
        <v>24.831524686023556</v>
      </c>
      <c r="F254" s="365">
        <f t="shared" si="27"/>
        <v>0.51550462958887067</v>
      </c>
      <c r="G254" s="376">
        <f t="shared" si="28"/>
        <v>0</v>
      </c>
      <c r="H254" s="373">
        <f t="shared" si="29"/>
        <v>0</v>
      </c>
      <c r="I254" s="376">
        <f t="shared" si="30"/>
        <v>0</v>
      </c>
      <c r="J254" s="373">
        <f t="shared" si="31"/>
        <v>0</v>
      </c>
      <c r="K254" s="368">
        <f t="shared" si="32"/>
        <v>0</v>
      </c>
      <c r="L254" s="372">
        <f t="shared" si="33"/>
        <v>0</v>
      </c>
      <c r="M254" s="113">
        <f>L254*D254*'B) D RI'!S256</f>
        <v>0</v>
      </c>
    </row>
    <row r="255" spans="1:13" x14ac:dyDescent="0.25">
      <c r="A255" s="296">
        <f>'A) Base RI'!A257</f>
        <v>5841</v>
      </c>
      <c r="B255" s="32" t="str">
        <f>'A) Base RI'!B257</f>
        <v>Château-d'Oex</v>
      </c>
      <c r="C255" s="294">
        <f>'B) D RI'!U257</f>
        <v>108658.39067484663</v>
      </c>
      <c r="D255" s="32">
        <f>'B) D RI'!AA257</f>
        <v>3494</v>
      </c>
      <c r="E255" s="200">
        <f t="shared" si="26"/>
        <v>31.098566306481576</v>
      </c>
      <c r="F255" s="365">
        <f t="shared" si="27"/>
        <v>0.64560896309323434</v>
      </c>
      <c r="G255" s="376">
        <f t="shared" si="28"/>
        <v>0</v>
      </c>
      <c r="H255" s="373">
        <f t="shared" si="29"/>
        <v>0</v>
      </c>
      <c r="I255" s="376">
        <f t="shared" si="30"/>
        <v>0</v>
      </c>
      <c r="J255" s="373">
        <f t="shared" si="31"/>
        <v>0</v>
      </c>
      <c r="K255" s="368">
        <f t="shared" si="32"/>
        <v>0</v>
      </c>
      <c r="L255" s="372">
        <f t="shared" si="33"/>
        <v>0</v>
      </c>
      <c r="M255" s="113">
        <f>L255*D255*'B) D RI'!S257</f>
        <v>0</v>
      </c>
    </row>
    <row r="256" spans="1:13" x14ac:dyDescent="0.25">
      <c r="A256" s="296">
        <f>'A) Base RI'!A258</f>
        <v>5842</v>
      </c>
      <c r="B256" s="32" t="str">
        <f>'A) Base RI'!B258</f>
        <v>Rossinière</v>
      </c>
      <c r="C256" s="294">
        <f>'B) D RI'!U258</f>
        <v>14509.951028806583</v>
      </c>
      <c r="D256" s="32">
        <f>'B) D RI'!AA258</f>
        <v>537</v>
      </c>
      <c r="E256" s="200">
        <f t="shared" si="26"/>
        <v>27.020392977293451</v>
      </c>
      <c r="F256" s="365">
        <f t="shared" si="27"/>
        <v>0.56094572722493397</v>
      </c>
      <c r="G256" s="376">
        <f t="shared" si="28"/>
        <v>0</v>
      </c>
      <c r="H256" s="373">
        <f t="shared" si="29"/>
        <v>0</v>
      </c>
      <c r="I256" s="376">
        <f t="shared" si="30"/>
        <v>0</v>
      </c>
      <c r="J256" s="373">
        <f t="shared" si="31"/>
        <v>0</v>
      </c>
      <c r="K256" s="368">
        <f t="shared" si="32"/>
        <v>0</v>
      </c>
      <c r="L256" s="372">
        <f t="shared" si="33"/>
        <v>0</v>
      </c>
      <c r="M256" s="113">
        <f>L256*D256*'B) D RI'!S258</f>
        <v>0</v>
      </c>
    </row>
    <row r="257" spans="1:13" x14ac:dyDescent="0.25">
      <c r="A257" s="296">
        <f>'A) Base RI'!A259</f>
        <v>5843</v>
      </c>
      <c r="B257" s="32" t="str">
        <f>'A) Base RI'!B259</f>
        <v>Rougemont</v>
      </c>
      <c r="C257" s="294">
        <f>'B) D RI'!U259</f>
        <v>100468.99797297297</v>
      </c>
      <c r="D257" s="32">
        <f>'B) D RI'!AA259</f>
        <v>863</v>
      </c>
      <c r="E257" s="200">
        <f t="shared" si="26"/>
        <v>116.41830587830007</v>
      </c>
      <c r="F257" s="365">
        <f t="shared" si="27"/>
        <v>2.4168542370229869</v>
      </c>
      <c r="G257" s="376">
        <f t="shared" si="28"/>
        <v>68.24895247049966</v>
      </c>
      <c r="H257" s="373">
        <f t="shared" si="29"/>
        <v>58.615081788939591</v>
      </c>
      <c r="I257" s="376">
        <f t="shared" si="30"/>
        <v>44.164275766599459</v>
      </c>
      <c r="J257" s="373">
        <f t="shared" si="31"/>
        <v>20.079599062699259</v>
      </c>
      <c r="K257" s="368">
        <f t="shared" si="32"/>
        <v>0</v>
      </c>
      <c r="L257" s="372">
        <f t="shared" si="33"/>
        <v>25.935686155923765</v>
      </c>
      <c r="M257" s="113">
        <f>L257*D257*'B) D RI'!S259</f>
        <v>1656304.7892896035</v>
      </c>
    </row>
    <row r="258" spans="1:13" x14ac:dyDescent="0.25">
      <c r="A258" s="296">
        <f>'A) Base RI'!A260</f>
        <v>5851</v>
      </c>
      <c r="B258" s="32" t="str">
        <f>'A) Base RI'!B260</f>
        <v>Allaman</v>
      </c>
      <c r="C258" s="294">
        <f>'B) D RI'!U260</f>
        <v>24314.213954545452</v>
      </c>
      <c r="D258" s="32">
        <f>'B) D RI'!AA260</f>
        <v>443</v>
      </c>
      <c r="E258" s="200">
        <f t="shared" si="26"/>
        <v>54.885358813872351</v>
      </c>
      <c r="F258" s="365">
        <f t="shared" si="27"/>
        <v>1.1394248610566646</v>
      </c>
      <c r="G258" s="376">
        <f t="shared" si="28"/>
        <v>6.7160054060719432</v>
      </c>
      <c r="H258" s="373">
        <f t="shared" si="29"/>
        <v>0</v>
      </c>
      <c r="I258" s="376">
        <f t="shared" si="30"/>
        <v>0</v>
      </c>
      <c r="J258" s="373">
        <f t="shared" si="31"/>
        <v>0</v>
      </c>
      <c r="K258" s="368">
        <f t="shared" si="32"/>
        <v>0</v>
      </c>
      <c r="L258" s="372">
        <f t="shared" si="33"/>
        <v>1.3432010812143886</v>
      </c>
      <c r="M258" s="113">
        <f>L258*D258*'B) D RI'!S260</f>
        <v>35702.284738678449</v>
      </c>
    </row>
    <row r="259" spans="1:13" x14ac:dyDescent="0.25">
      <c r="A259" s="296">
        <f>'A) Base RI'!A261</f>
        <v>5852</v>
      </c>
      <c r="B259" s="32" t="str">
        <f>'A) Base RI'!B261</f>
        <v>Bursinel</v>
      </c>
      <c r="C259" s="294">
        <f>'B) D RI'!U261</f>
        <v>40706.215623409669</v>
      </c>
      <c r="D259" s="32">
        <f>'B) D RI'!AA261</f>
        <v>491</v>
      </c>
      <c r="E259" s="200">
        <f t="shared" si="26"/>
        <v>82.904716137290563</v>
      </c>
      <c r="F259" s="365">
        <f t="shared" si="27"/>
        <v>1.721109175691472</v>
      </c>
      <c r="G259" s="376">
        <f t="shared" si="28"/>
        <v>34.735362729490156</v>
      </c>
      <c r="H259" s="373">
        <f t="shared" si="29"/>
        <v>25.10149204793008</v>
      </c>
      <c r="I259" s="376">
        <f t="shared" si="30"/>
        <v>10.650686025589948</v>
      </c>
      <c r="J259" s="373">
        <f t="shared" si="31"/>
        <v>0</v>
      </c>
      <c r="K259" s="368">
        <f t="shared" si="32"/>
        <v>0</v>
      </c>
      <c r="L259" s="372">
        <f t="shared" si="33"/>
        <v>10.522290353250034</v>
      </c>
      <c r="M259" s="113">
        <f>L259*D259*'B) D RI'!S261</f>
        <v>338402.11890569766</v>
      </c>
    </row>
    <row r="260" spans="1:13" x14ac:dyDescent="0.25">
      <c r="A260" s="296">
        <f>'A) Base RI'!A262</f>
        <v>5853</v>
      </c>
      <c r="B260" s="32" t="str">
        <f>'A) Base RI'!B262</f>
        <v>Bursins</v>
      </c>
      <c r="C260" s="294">
        <f>'B) D RI'!U262</f>
        <v>42015.881830985905</v>
      </c>
      <c r="D260" s="32">
        <f>'B) D RI'!AA262</f>
        <v>773</v>
      </c>
      <c r="E260" s="200">
        <f t="shared" si="26"/>
        <v>54.354310260007637</v>
      </c>
      <c r="F260" s="365">
        <f t="shared" si="27"/>
        <v>1.1284002465186849</v>
      </c>
      <c r="G260" s="376">
        <f t="shared" si="28"/>
        <v>6.1849568522072289</v>
      </c>
      <c r="H260" s="373">
        <f t="shared" si="29"/>
        <v>0</v>
      </c>
      <c r="I260" s="376">
        <f t="shared" si="30"/>
        <v>0</v>
      </c>
      <c r="J260" s="373">
        <f t="shared" si="31"/>
        <v>0</v>
      </c>
      <c r="K260" s="368">
        <f t="shared" si="32"/>
        <v>0</v>
      </c>
      <c r="L260" s="372">
        <f t="shared" si="33"/>
        <v>1.2369913704414459</v>
      </c>
      <c r="M260" s="113">
        <f>L260*D260*'B) D RI'!S262</f>
        <v>67889.797383937868</v>
      </c>
    </row>
    <row r="261" spans="1:13" x14ac:dyDescent="0.25">
      <c r="A261" s="296">
        <f>'A) Base RI'!A263</f>
        <v>5854</v>
      </c>
      <c r="B261" s="32" t="str">
        <f>'A) Base RI'!B263</f>
        <v>Burtigny</v>
      </c>
      <c r="C261" s="294">
        <f>'B) D RI'!U263</f>
        <v>10782.893958333336</v>
      </c>
      <c r="D261" s="32">
        <f>'B) D RI'!AA263</f>
        <v>404</v>
      </c>
      <c r="E261" s="200">
        <f t="shared" si="26"/>
        <v>26.690331580033011</v>
      </c>
      <c r="F261" s="365">
        <f t="shared" si="27"/>
        <v>0.55409362367963311</v>
      </c>
      <c r="G261" s="376">
        <f t="shared" si="28"/>
        <v>0</v>
      </c>
      <c r="H261" s="373">
        <f t="shared" si="29"/>
        <v>0</v>
      </c>
      <c r="I261" s="376">
        <f t="shared" si="30"/>
        <v>0</v>
      </c>
      <c r="J261" s="373">
        <f t="shared" si="31"/>
        <v>0</v>
      </c>
      <c r="K261" s="368">
        <f t="shared" si="32"/>
        <v>0</v>
      </c>
      <c r="L261" s="372">
        <f t="shared" si="33"/>
        <v>0</v>
      </c>
      <c r="M261" s="113">
        <f>L261*D261*'B) D RI'!S263</f>
        <v>0</v>
      </c>
    </row>
    <row r="262" spans="1:13" x14ac:dyDescent="0.25">
      <c r="A262" s="296">
        <f>'A) Base RI'!A264</f>
        <v>5855</v>
      </c>
      <c r="B262" s="32" t="str">
        <f>'A) Base RI'!B264</f>
        <v>Dully</v>
      </c>
      <c r="C262" s="294">
        <f>'B) D RI'!U264</f>
        <v>98158.514897959176</v>
      </c>
      <c r="D262" s="32">
        <f>'B) D RI'!AA264</f>
        <v>628</v>
      </c>
      <c r="E262" s="200">
        <f t="shared" ref="E262:E313" si="34">C262/D262</f>
        <v>156.30336767190951</v>
      </c>
      <c r="F262" s="365">
        <f t="shared" ref="F262:F313" si="35">E262/$E$314</f>
        <v>3.2448716167860829</v>
      </c>
      <c r="G262" s="376">
        <f t="shared" ref="G262:G313" si="36">IF(E262-$G$2&lt;0,0,E262-$G$2)</f>
        <v>108.13401426410911</v>
      </c>
      <c r="H262" s="373">
        <f t="shared" ref="H262:H313" si="37">IF(E262-$H$2&lt;0,0,E262-$H$2)</f>
        <v>98.500143582549029</v>
      </c>
      <c r="I262" s="376">
        <f t="shared" ref="I262:I313" si="38">IF(E262-$I$2&lt;0,0,E262-$I$2)</f>
        <v>84.049337560208897</v>
      </c>
      <c r="J262" s="373">
        <f t="shared" ref="J262:J313" si="39">IF(E262-$J$2&lt;0,0,E262-$J$2)</f>
        <v>59.964660856308697</v>
      </c>
      <c r="K262" s="368">
        <f t="shared" ref="K262:K313" si="40">IF(E262-$K$2&lt;0,0,E262-$K$2)</f>
        <v>11.795307448508282</v>
      </c>
      <c r="L262" s="372">
        <f t="shared" ref="L262:L313" si="41">(G262-H262)*$G$3+(H262-I262)*$H$3+(I262-J262)*$I$3+(J262-K262)*$J$3+(K262*$K$3)</f>
        <v>47.057747797579317</v>
      </c>
      <c r="M262" s="113">
        <f>L262*D262*'B) D RI'!S264</f>
        <v>1448061.0152271108</v>
      </c>
    </row>
    <row r="263" spans="1:13" x14ac:dyDescent="0.25">
      <c r="A263" s="296">
        <f>'A) Base RI'!A265</f>
        <v>5856</v>
      </c>
      <c r="B263" s="32" t="str">
        <f>'A) Base RI'!B265</f>
        <v>Essertines-sur-Rolle</v>
      </c>
      <c r="C263" s="294">
        <f>'B) D RI'!U265</f>
        <v>35711.648536726432</v>
      </c>
      <c r="D263" s="32">
        <f>'B) D RI'!AA265</f>
        <v>740</v>
      </c>
      <c r="E263" s="200">
        <f t="shared" si="34"/>
        <v>48.258984509089771</v>
      </c>
      <c r="F263" s="365">
        <f t="shared" si="35"/>
        <v>1.0018607495211851</v>
      </c>
      <c r="G263" s="376">
        <f t="shared" si="36"/>
        <v>8.9631101289363357E-2</v>
      </c>
      <c r="H263" s="373">
        <f t="shared" si="37"/>
        <v>0</v>
      </c>
      <c r="I263" s="376">
        <f t="shared" si="38"/>
        <v>0</v>
      </c>
      <c r="J263" s="373">
        <f t="shared" si="39"/>
        <v>0</v>
      </c>
      <c r="K263" s="368">
        <f t="shared" si="40"/>
        <v>0</v>
      </c>
      <c r="L263" s="372">
        <f t="shared" si="41"/>
        <v>1.7926220257872671E-2</v>
      </c>
      <c r="M263" s="113">
        <f>L263*D263*'B) D RI'!S265</f>
        <v>882.14929888991412</v>
      </c>
    </row>
    <row r="264" spans="1:13" x14ac:dyDescent="0.25">
      <c r="A264" s="296">
        <f>'A) Base RI'!A266</f>
        <v>5857</v>
      </c>
      <c r="B264" s="32" t="str">
        <f>'A) Base RI'!B266</f>
        <v>Gilly</v>
      </c>
      <c r="C264" s="294">
        <f>'B) D RI'!U266</f>
        <v>82128.423720930223</v>
      </c>
      <c r="D264" s="32">
        <f>'B) D RI'!AA266</f>
        <v>1428</v>
      </c>
      <c r="E264" s="200">
        <f t="shared" si="34"/>
        <v>57.512901765357299</v>
      </c>
      <c r="F264" s="365">
        <f t="shared" si="35"/>
        <v>1.1939728830996479</v>
      </c>
      <c r="G264" s="376">
        <f t="shared" si="36"/>
        <v>9.3435483575568909</v>
      </c>
      <c r="H264" s="373">
        <f t="shared" si="37"/>
        <v>0</v>
      </c>
      <c r="I264" s="376">
        <f t="shared" si="38"/>
        <v>0</v>
      </c>
      <c r="J264" s="373">
        <f t="shared" si="39"/>
        <v>0</v>
      </c>
      <c r="K264" s="368">
        <f t="shared" si="40"/>
        <v>0</v>
      </c>
      <c r="L264" s="372">
        <f t="shared" si="41"/>
        <v>1.8687096715113782</v>
      </c>
      <c r="M264" s="113">
        <f>L264*D264*'B) D RI'!S266</f>
        <v>172119.373004227</v>
      </c>
    </row>
    <row r="265" spans="1:13" x14ac:dyDescent="0.25">
      <c r="A265" s="296">
        <f>'A) Base RI'!A267</f>
        <v>5858</v>
      </c>
      <c r="B265" s="32" t="str">
        <f>'A) Base RI'!B267</f>
        <v>Luins</v>
      </c>
      <c r="C265" s="294">
        <f>'B) D RI'!U267</f>
        <v>40290.677378917375</v>
      </c>
      <c r="D265" s="32">
        <f>'B) D RI'!AA267</f>
        <v>619</v>
      </c>
      <c r="E265" s="200">
        <f t="shared" si="34"/>
        <v>65.08994730035117</v>
      </c>
      <c r="F265" s="365">
        <f t="shared" si="35"/>
        <v>1.3512730127245323</v>
      </c>
      <c r="G265" s="376">
        <f t="shared" si="36"/>
        <v>16.920593892550762</v>
      </c>
      <c r="H265" s="373">
        <f t="shared" si="37"/>
        <v>7.2867232109906865</v>
      </c>
      <c r="I265" s="376">
        <f t="shared" si="38"/>
        <v>0</v>
      </c>
      <c r="J265" s="373">
        <f t="shared" si="39"/>
        <v>0</v>
      </c>
      <c r="K265" s="368">
        <f t="shared" si="40"/>
        <v>0</v>
      </c>
      <c r="L265" s="372">
        <f t="shared" si="41"/>
        <v>4.112791099609221</v>
      </c>
      <c r="M265" s="113">
        <f>L265*D265*'B) D RI'!S267</f>
        <v>148930.33490349932</v>
      </c>
    </row>
    <row r="266" spans="1:13" x14ac:dyDescent="0.25">
      <c r="A266" s="296">
        <f>'A) Base RI'!A268</f>
        <v>5859</v>
      </c>
      <c r="B266" s="32" t="str">
        <f>'A) Base RI'!B268</f>
        <v>Mont-sur-Rolle</v>
      </c>
      <c r="C266" s="294">
        <f>'B) D RI'!U268</f>
        <v>146465.78251968499</v>
      </c>
      <c r="D266" s="32">
        <f>'B) D RI'!AA268</f>
        <v>2646</v>
      </c>
      <c r="E266" s="200">
        <f t="shared" si="34"/>
        <v>55.353659304491678</v>
      </c>
      <c r="F266" s="365">
        <f t="shared" si="35"/>
        <v>1.1491468203002257</v>
      </c>
      <c r="G266" s="376">
        <f t="shared" si="36"/>
        <v>7.1843058966912707</v>
      </c>
      <c r="H266" s="373">
        <f t="shared" si="37"/>
        <v>0</v>
      </c>
      <c r="I266" s="376">
        <f t="shared" si="38"/>
        <v>0</v>
      </c>
      <c r="J266" s="373">
        <f t="shared" si="39"/>
        <v>0</v>
      </c>
      <c r="K266" s="368">
        <f t="shared" si="40"/>
        <v>0</v>
      </c>
      <c r="L266" s="372">
        <f t="shared" si="41"/>
        <v>1.4368611793382542</v>
      </c>
      <c r="M266" s="113">
        <f>L266*D266*'B) D RI'!S268</f>
        <v>241422.85221359282</v>
      </c>
    </row>
    <row r="267" spans="1:13" x14ac:dyDescent="0.25">
      <c r="A267" s="296">
        <f>'A) Base RI'!A269</f>
        <v>5860</v>
      </c>
      <c r="B267" s="32" t="str">
        <f>'A) Base RI'!B269</f>
        <v>Perroy</v>
      </c>
      <c r="C267" s="294">
        <f>'B) D RI'!U269</f>
        <v>187175.54426035503</v>
      </c>
      <c r="D267" s="32">
        <f>'B) D RI'!AA269</f>
        <v>1518</v>
      </c>
      <c r="E267" s="200">
        <f t="shared" si="34"/>
        <v>123.30404760234192</v>
      </c>
      <c r="F267" s="365">
        <f t="shared" si="35"/>
        <v>2.5598028389223595</v>
      </c>
      <c r="G267" s="376">
        <f t="shared" si="36"/>
        <v>75.13469419454151</v>
      </c>
      <c r="H267" s="373">
        <f t="shared" si="37"/>
        <v>65.500823512981441</v>
      </c>
      <c r="I267" s="376">
        <f t="shared" si="38"/>
        <v>51.050017490641309</v>
      </c>
      <c r="J267" s="373">
        <f t="shared" si="39"/>
        <v>26.965340786741109</v>
      </c>
      <c r="K267" s="368">
        <f t="shared" si="40"/>
        <v>0</v>
      </c>
      <c r="L267" s="372">
        <f t="shared" si="41"/>
        <v>29.37855701794469</v>
      </c>
      <c r="M267" s="113">
        <f>L267*D267*'B) D RI'!S269</f>
        <v>2608903.9988645422</v>
      </c>
    </row>
    <row r="268" spans="1:13" x14ac:dyDescent="0.25">
      <c r="A268" s="296">
        <f>'A) Base RI'!A270</f>
        <v>5861</v>
      </c>
      <c r="B268" s="32" t="str">
        <f>'A) Base RI'!B270</f>
        <v>Rolle</v>
      </c>
      <c r="C268" s="294">
        <f>'B) D RI'!U270</f>
        <v>1938335.8673949579</v>
      </c>
      <c r="D268" s="32">
        <f>'B) D RI'!AA270</f>
        <v>6259</v>
      </c>
      <c r="E268" s="200">
        <f t="shared" si="34"/>
        <v>309.68778836794343</v>
      </c>
      <c r="F268" s="365">
        <f t="shared" si="35"/>
        <v>6.4291456384339485</v>
      </c>
      <c r="G268" s="376">
        <f t="shared" si="36"/>
        <v>261.518434960143</v>
      </c>
      <c r="H268" s="373">
        <f t="shared" si="37"/>
        <v>251.88456427858296</v>
      </c>
      <c r="I268" s="376">
        <f t="shared" si="38"/>
        <v>237.43375825624281</v>
      </c>
      <c r="J268" s="373">
        <f t="shared" si="39"/>
        <v>213.34908155234262</v>
      </c>
      <c r="K268" s="368">
        <f t="shared" si="40"/>
        <v>165.1797281445422</v>
      </c>
      <c r="L268" s="372">
        <f t="shared" si="41"/>
        <v>139.08840021519967</v>
      </c>
      <c r="M268" s="113">
        <f>L268*D268*'B) D RI'!S270</f>
        <v>51797980.66834262</v>
      </c>
    </row>
    <row r="269" spans="1:13" x14ac:dyDescent="0.25">
      <c r="A269" s="296">
        <f>'A) Base RI'!A271</f>
        <v>5862</v>
      </c>
      <c r="B269" s="32" t="str">
        <f>'A) Base RI'!B271</f>
        <v>Tartegnin</v>
      </c>
      <c r="C269" s="294">
        <f>'B) D RI'!U271</f>
        <v>8096.4381012658214</v>
      </c>
      <c r="D269" s="32">
        <f>'B) D RI'!AA271</f>
        <v>236</v>
      </c>
      <c r="E269" s="200">
        <f t="shared" si="34"/>
        <v>34.306941107058563</v>
      </c>
      <c r="F269" s="365">
        <f t="shared" si="35"/>
        <v>0.71221510524787313</v>
      </c>
      <c r="G269" s="376">
        <f t="shared" si="36"/>
        <v>0</v>
      </c>
      <c r="H269" s="373">
        <f t="shared" si="37"/>
        <v>0</v>
      </c>
      <c r="I269" s="376">
        <f t="shared" si="38"/>
        <v>0</v>
      </c>
      <c r="J269" s="373">
        <f t="shared" si="39"/>
        <v>0</v>
      </c>
      <c r="K269" s="368">
        <f t="shared" si="40"/>
        <v>0</v>
      </c>
      <c r="L269" s="372">
        <f t="shared" si="41"/>
        <v>0</v>
      </c>
      <c r="M269" s="113">
        <f>L269*D269*'B) D RI'!S271</f>
        <v>0</v>
      </c>
    </row>
    <row r="270" spans="1:13" x14ac:dyDescent="0.25">
      <c r="A270" s="296">
        <f>'A) Base RI'!A272</f>
        <v>5863</v>
      </c>
      <c r="B270" s="32" t="str">
        <f>'A) Base RI'!B272</f>
        <v>Vinzel</v>
      </c>
      <c r="C270" s="294">
        <f>'B) D RI'!U272</f>
        <v>21933.69492537314</v>
      </c>
      <c r="D270" s="32">
        <f>'B) D RI'!AA272</f>
        <v>385</v>
      </c>
      <c r="E270" s="200">
        <f t="shared" si="34"/>
        <v>56.970636169800365</v>
      </c>
      <c r="F270" s="365">
        <f t="shared" si="35"/>
        <v>1.1827154017926822</v>
      </c>
      <c r="G270" s="376">
        <f t="shared" si="36"/>
        <v>8.801282761999957</v>
      </c>
      <c r="H270" s="373">
        <f t="shared" si="37"/>
        <v>0</v>
      </c>
      <c r="I270" s="376">
        <f t="shared" si="38"/>
        <v>0</v>
      </c>
      <c r="J270" s="373">
        <f t="shared" si="39"/>
        <v>0</v>
      </c>
      <c r="K270" s="368">
        <f t="shared" si="40"/>
        <v>0</v>
      </c>
      <c r="L270" s="372">
        <f t="shared" si="41"/>
        <v>1.7602565523999916</v>
      </c>
      <c r="M270" s="113">
        <f>L270*D270*'B) D RI'!S272</f>
        <v>45405.81776915778</v>
      </c>
    </row>
    <row r="271" spans="1:13" x14ac:dyDescent="0.25">
      <c r="A271" s="296">
        <f>'A) Base RI'!A273</f>
        <v>5871</v>
      </c>
      <c r="B271" s="32" t="str">
        <f>'A) Base RI'!B273</f>
        <v>L'Abbaye</v>
      </c>
      <c r="C271" s="294">
        <f>'B) D RI'!U273</f>
        <v>49513.521273852508</v>
      </c>
      <c r="D271" s="32">
        <f>'B) D RI'!AA273</f>
        <v>1473</v>
      </c>
      <c r="E271" s="200">
        <f t="shared" si="34"/>
        <v>33.614067395690775</v>
      </c>
      <c r="F271" s="365">
        <f t="shared" si="35"/>
        <v>0.69783098625208884</v>
      </c>
      <c r="G271" s="376">
        <f t="shared" si="36"/>
        <v>0</v>
      </c>
      <c r="H271" s="373">
        <f t="shared" si="37"/>
        <v>0</v>
      </c>
      <c r="I271" s="376">
        <f t="shared" si="38"/>
        <v>0</v>
      </c>
      <c r="J271" s="373">
        <f t="shared" si="39"/>
        <v>0</v>
      </c>
      <c r="K271" s="368">
        <f t="shared" si="40"/>
        <v>0</v>
      </c>
      <c r="L271" s="372">
        <f t="shared" si="41"/>
        <v>0</v>
      </c>
      <c r="M271" s="113">
        <f>L271*D271*'B) D RI'!S273</f>
        <v>0</v>
      </c>
    </row>
    <row r="272" spans="1:13" x14ac:dyDescent="0.25">
      <c r="A272" s="296">
        <f>'A) Base RI'!A274</f>
        <v>5872</v>
      </c>
      <c r="B272" s="32" t="str">
        <f>'A) Base RI'!B274</f>
        <v>Le Chenit</v>
      </c>
      <c r="C272" s="294">
        <f>'B) D RI'!U274</f>
        <v>236042.78222554145</v>
      </c>
      <c r="D272" s="32">
        <f>'B) D RI'!AA274</f>
        <v>4600</v>
      </c>
      <c r="E272" s="200">
        <f t="shared" si="34"/>
        <v>51.313648309900316</v>
      </c>
      <c r="F272" s="365">
        <f t="shared" si="35"/>
        <v>1.0652758378440415</v>
      </c>
      <c r="G272" s="376">
        <f t="shared" si="36"/>
        <v>3.144294902099908</v>
      </c>
      <c r="H272" s="373">
        <f t="shared" si="37"/>
        <v>0</v>
      </c>
      <c r="I272" s="376">
        <f t="shared" si="38"/>
        <v>0</v>
      </c>
      <c r="J272" s="373">
        <f t="shared" si="39"/>
        <v>0</v>
      </c>
      <c r="K272" s="368">
        <f t="shared" si="40"/>
        <v>0</v>
      </c>
      <c r="L272" s="372">
        <f t="shared" si="41"/>
        <v>0.62885898041998167</v>
      </c>
      <c r="M272" s="113">
        <f>L272*D272*'B) D RI'!S274</f>
        <v>193669.70019994178</v>
      </c>
    </row>
    <row r="273" spans="1:13" x14ac:dyDescent="0.25">
      <c r="A273" s="296">
        <f>'A) Base RI'!A275</f>
        <v>5873</v>
      </c>
      <c r="B273" s="32" t="str">
        <f>'A) Base RI'!B275</f>
        <v>Le Lieu</v>
      </c>
      <c r="C273" s="294">
        <f>'B) D RI'!U275</f>
        <v>30440.408392857149</v>
      </c>
      <c r="D273" s="32">
        <f>'B) D RI'!AA275</f>
        <v>888</v>
      </c>
      <c r="E273" s="200">
        <f t="shared" si="34"/>
        <v>34.279739181145437</v>
      </c>
      <c r="F273" s="365">
        <f t="shared" si="35"/>
        <v>0.71165039088098436</v>
      </c>
      <c r="G273" s="376">
        <f t="shared" si="36"/>
        <v>0</v>
      </c>
      <c r="H273" s="373">
        <f t="shared" si="37"/>
        <v>0</v>
      </c>
      <c r="I273" s="376">
        <f t="shared" si="38"/>
        <v>0</v>
      </c>
      <c r="J273" s="373">
        <f t="shared" si="39"/>
        <v>0</v>
      </c>
      <c r="K273" s="368">
        <f t="shared" si="40"/>
        <v>0</v>
      </c>
      <c r="L273" s="372">
        <f t="shared" si="41"/>
        <v>0</v>
      </c>
      <c r="M273" s="113">
        <f>L273*D273*'B) D RI'!S275</f>
        <v>0</v>
      </c>
    </row>
    <row r="274" spans="1:13" x14ac:dyDescent="0.25">
      <c r="A274" s="296">
        <f>'A) Base RI'!A276</f>
        <v>5881</v>
      </c>
      <c r="B274" s="32" t="str">
        <f>'A) Base RI'!B276</f>
        <v>Blonay</v>
      </c>
      <c r="C274" s="294">
        <f>'B) D RI'!U276</f>
        <v>363266.43007299263</v>
      </c>
      <c r="D274" s="32">
        <f>'B) D RI'!AA276</f>
        <v>6215</v>
      </c>
      <c r="E274" s="200">
        <f t="shared" si="34"/>
        <v>58.449948523409915</v>
      </c>
      <c r="F274" s="365">
        <f t="shared" si="35"/>
        <v>1.2134260559525114</v>
      </c>
      <c r="G274" s="376">
        <f t="shared" si="36"/>
        <v>10.280595115609508</v>
      </c>
      <c r="H274" s="373">
        <f t="shared" si="37"/>
        <v>0.64672443404943181</v>
      </c>
      <c r="I274" s="376">
        <f t="shared" si="38"/>
        <v>0</v>
      </c>
      <c r="J274" s="373">
        <f t="shared" si="39"/>
        <v>0</v>
      </c>
      <c r="K274" s="368">
        <f t="shared" si="40"/>
        <v>0</v>
      </c>
      <c r="L274" s="372">
        <f t="shared" si="41"/>
        <v>2.1207914665268448</v>
      </c>
      <c r="M274" s="113">
        <f>L274*D274*'B) D RI'!S276</f>
        <v>902879.24906580732</v>
      </c>
    </row>
    <row r="275" spans="1:13" x14ac:dyDescent="0.25">
      <c r="A275" s="296">
        <f>'A) Base RI'!A277</f>
        <v>5882</v>
      </c>
      <c r="B275" s="32" t="str">
        <f>'A) Base RI'!B277</f>
        <v>Chardonne</v>
      </c>
      <c r="C275" s="294">
        <f>'B) D RI'!U277</f>
        <v>179032.37397058826</v>
      </c>
      <c r="D275" s="32">
        <f>'B) D RI'!AA277</f>
        <v>3093</v>
      </c>
      <c r="E275" s="200">
        <f t="shared" si="34"/>
        <v>57.883082434719775</v>
      </c>
      <c r="F275" s="365">
        <f t="shared" si="35"/>
        <v>1.2016578662512492</v>
      </c>
      <c r="G275" s="376">
        <f t="shared" si="36"/>
        <v>9.713729026919367</v>
      </c>
      <c r="H275" s="373">
        <f t="shared" si="37"/>
        <v>7.985834535929115E-2</v>
      </c>
      <c r="I275" s="376">
        <f t="shared" si="38"/>
        <v>0</v>
      </c>
      <c r="J275" s="373">
        <f t="shared" si="39"/>
        <v>0</v>
      </c>
      <c r="K275" s="368">
        <f t="shared" si="40"/>
        <v>0</v>
      </c>
      <c r="L275" s="372">
        <f t="shared" si="41"/>
        <v>1.9507316399198025</v>
      </c>
      <c r="M275" s="113">
        <f>L275*D275*'B) D RI'!S277</f>
        <v>410285.68143449252</v>
      </c>
    </row>
    <row r="276" spans="1:13" x14ac:dyDescent="0.25">
      <c r="A276" s="296">
        <f>'A) Base RI'!A278</f>
        <v>5883</v>
      </c>
      <c r="B276" s="32" t="str">
        <f>'A) Base RI'!B278</f>
        <v>Corseaux</v>
      </c>
      <c r="C276" s="294">
        <f>'B) D RI'!U278</f>
        <v>167893.40074074076</v>
      </c>
      <c r="D276" s="32">
        <f>'B) D RI'!AA278</f>
        <v>2311</v>
      </c>
      <c r="E276" s="200">
        <f t="shared" si="34"/>
        <v>72.649675785694839</v>
      </c>
      <c r="F276" s="365">
        <f t="shared" si="35"/>
        <v>1.5082136388804039</v>
      </c>
      <c r="G276" s="376">
        <f t="shared" si="36"/>
        <v>24.480322377894431</v>
      </c>
      <c r="H276" s="373">
        <f t="shared" si="37"/>
        <v>14.846451696334356</v>
      </c>
      <c r="I276" s="376">
        <f t="shared" si="38"/>
        <v>0.39564567399422401</v>
      </c>
      <c r="J276" s="373">
        <f t="shared" si="39"/>
        <v>0</v>
      </c>
      <c r="K276" s="368">
        <f t="shared" si="40"/>
        <v>0</v>
      </c>
      <c r="L276" s="372">
        <f t="shared" si="41"/>
        <v>6.4202742126117442</v>
      </c>
      <c r="M276" s="113">
        <f>L276*D276*'B) D RI'!S278</f>
        <v>1001514.6251108375</v>
      </c>
    </row>
    <row r="277" spans="1:13" x14ac:dyDescent="0.25">
      <c r="A277" s="296">
        <f>'A) Base RI'!A279</f>
        <v>5884</v>
      </c>
      <c r="B277" s="32" t="str">
        <f>'A) Base RI'!B279</f>
        <v>Corsier-sur-Vevey</v>
      </c>
      <c r="C277" s="294">
        <f>'B) D RI'!U279</f>
        <v>122170.7416919192</v>
      </c>
      <c r="D277" s="32">
        <f>'B) D RI'!AA279</f>
        <v>3420</v>
      </c>
      <c r="E277" s="200">
        <f t="shared" si="34"/>
        <v>35.722439091204443</v>
      </c>
      <c r="F277" s="365">
        <f t="shared" si="35"/>
        <v>0.74160096750270377</v>
      </c>
      <c r="G277" s="376">
        <f t="shared" si="36"/>
        <v>0</v>
      </c>
      <c r="H277" s="373">
        <f t="shared" si="37"/>
        <v>0</v>
      </c>
      <c r="I277" s="376">
        <f t="shared" si="38"/>
        <v>0</v>
      </c>
      <c r="J277" s="373">
        <f t="shared" si="39"/>
        <v>0</v>
      </c>
      <c r="K277" s="368">
        <f t="shared" si="40"/>
        <v>0</v>
      </c>
      <c r="L277" s="372">
        <f t="shared" si="41"/>
        <v>0</v>
      </c>
      <c r="M277" s="113">
        <f>L277*D277*'B) D RI'!S279</f>
        <v>0</v>
      </c>
    </row>
    <row r="278" spans="1:13" x14ac:dyDescent="0.25">
      <c r="A278" s="296">
        <f>'A) Base RI'!A280</f>
        <v>5885</v>
      </c>
      <c r="B278" s="32" t="str">
        <f>'A) Base RI'!B280</f>
        <v>Jongny</v>
      </c>
      <c r="C278" s="294">
        <f>'B) D RI'!U280</f>
        <v>85101.213069544348</v>
      </c>
      <c r="D278" s="32">
        <f>'B) D RI'!AA280</f>
        <v>1670</v>
      </c>
      <c r="E278" s="200">
        <f t="shared" si="34"/>
        <v>50.95881022128404</v>
      </c>
      <c r="F278" s="365">
        <f t="shared" si="35"/>
        <v>1.057909368013894</v>
      </c>
      <c r="G278" s="376">
        <f t="shared" si="36"/>
        <v>2.7894568134836319</v>
      </c>
      <c r="H278" s="373">
        <f t="shared" si="37"/>
        <v>0</v>
      </c>
      <c r="I278" s="376">
        <f t="shared" si="38"/>
        <v>0</v>
      </c>
      <c r="J278" s="373">
        <f t="shared" si="39"/>
        <v>0</v>
      </c>
      <c r="K278" s="368">
        <f t="shared" si="40"/>
        <v>0</v>
      </c>
      <c r="L278" s="372">
        <f t="shared" si="41"/>
        <v>0.55789136269672646</v>
      </c>
      <c r="M278" s="113">
        <f>L278*D278*'B) D RI'!S280</f>
        <v>64751.661011395554</v>
      </c>
    </row>
    <row r="279" spans="1:13" x14ac:dyDescent="0.25">
      <c r="A279" s="296">
        <f>'A) Base RI'!A281</f>
        <v>5886</v>
      </c>
      <c r="B279" s="32" t="str">
        <f>'A) Base RI'!B281</f>
        <v>Montreux</v>
      </c>
      <c r="C279" s="294">
        <f>'B) D RI'!U281</f>
        <v>1097075.3945128203</v>
      </c>
      <c r="D279" s="32">
        <f>'B) D RI'!AA281</f>
        <v>26180</v>
      </c>
      <c r="E279" s="200">
        <f t="shared" si="34"/>
        <v>41.905095283148214</v>
      </c>
      <c r="F279" s="365">
        <f t="shared" si="35"/>
        <v>0.86995345211260866</v>
      </c>
      <c r="G279" s="376">
        <f t="shared" si="36"/>
        <v>0</v>
      </c>
      <c r="H279" s="373">
        <f t="shared" si="37"/>
        <v>0</v>
      </c>
      <c r="I279" s="376">
        <f t="shared" si="38"/>
        <v>0</v>
      </c>
      <c r="J279" s="373">
        <f t="shared" si="39"/>
        <v>0</v>
      </c>
      <c r="K279" s="368">
        <f t="shared" si="40"/>
        <v>0</v>
      </c>
      <c r="L279" s="372">
        <f t="shared" si="41"/>
        <v>0</v>
      </c>
      <c r="M279" s="113">
        <f>L279*D279*'B) D RI'!S281</f>
        <v>0</v>
      </c>
    </row>
    <row r="280" spans="1:13" x14ac:dyDescent="0.25">
      <c r="A280" s="296">
        <f>'A) Base RI'!A282</f>
        <v>5888</v>
      </c>
      <c r="B280" s="32" t="str">
        <f>'A) Base RI'!B282</f>
        <v>Saint-Légier-La Chiésaz</v>
      </c>
      <c r="C280" s="294">
        <f>'B) D RI'!U282</f>
        <v>325586.52158150851</v>
      </c>
      <c r="D280" s="32">
        <f>'B) D RI'!AA282</f>
        <v>5522</v>
      </c>
      <c r="E280" s="200">
        <f t="shared" si="34"/>
        <v>58.961702568183362</v>
      </c>
      <c r="F280" s="365">
        <f t="shared" si="35"/>
        <v>1.2240501147901079</v>
      </c>
      <c r="G280" s="376">
        <f t="shared" si="36"/>
        <v>10.792349160382955</v>
      </c>
      <c r="H280" s="373">
        <f t="shared" si="37"/>
        <v>1.1584784788228788</v>
      </c>
      <c r="I280" s="376">
        <f t="shared" si="38"/>
        <v>0</v>
      </c>
      <c r="J280" s="373">
        <f t="shared" si="39"/>
        <v>0</v>
      </c>
      <c r="K280" s="368">
        <f t="shared" si="40"/>
        <v>0</v>
      </c>
      <c r="L280" s="372">
        <f t="shared" si="41"/>
        <v>2.2743176799588789</v>
      </c>
      <c r="M280" s="113">
        <f>L280*D280*'B) D RI'!S282</f>
        <v>860276.58266820561</v>
      </c>
    </row>
    <row r="281" spans="1:13" x14ac:dyDescent="0.25">
      <c r="A281" s="296">
        <f>'A) Base RI'!A283</f>
        <v>5889</v>
      </c>
      <c r="B281" s="32" t="str">
        <f>'A) Base RI'!B283</f>
        <v>La Tour-de-Peilz</v>
      </c>
      <c r="C281" s="294">
        <f>'B) D RI'!U283</f>
        <v>675962.70015625004</v>
      </c>
      <c r="D281" s="32">
        <f>'B) D RI'!AA283</f>
        <v>12088</v>
      </c>
      <c r="E281" s="200">
        <f t="shared" si="34"/>
        <v>55.920143957333721</v>
      </c>
      <c r="F281" s="365">
        <f t="shared" si="35"/>
        <v>1.1609070913598389</v>
      </c>
      <c r="G281" s="376">
        <f t="shared" si="36"/>
        <v>7.7507905495333134</v>
      </c>
      <c r="H281" s="373">
        <f t="shared" si="37"/>
        <v>0</v>
      </c>
      <c r="I281" s="376">
        <f t="shared" si="38"/>
        <v>0</v>
      </c>
      <c r="J281" s="373">
        <f t="shared" si="39"/>
        <v>0</v>
      </c>
      <c r="K281" s="368">
        <f t="shared" si="40"/>
        <v>0</v>
      </c>
      <c r="L281" s="372">
        <f t="shared" si="41"/>
        <v>1.5501581099066628</v>
      </c>
      <c r="M281" s="113">
        <f>L281*D281*'B) D RI'!S283</f>
        <v>1199251.9188833113</v>
      </c>
    </row>
    <row r="282" spans="1:13" x14ac:dyDescent="0.25">
      <c r="A282" s="296">
        <f>'A) Base RI'!A284</f>
        <v>5890</v>
      </c>
      <c r="B282" s="32" t="str">
        <f>'A) Base RI'!B284</f>
        <v>Vevey</v>
      </c>
      <c r="C282" s="294">
        <f>'B) D RI'!U284</f>
        <v>862625.86017897108</v>
      </c>
      <c r="D282" s="32">
        <f>'B) D RI'!AA284</f>
        <v>19780</v>
      </c>
      <c r="E282" s="200">
        <f t="shared" si="34"/>
        <v>43.611014164760924</v>
      </c>
      <c r="F282" s="365">
        <f t="shared" si="35"/>
        <v>0.90536847766153905</v>
      </c>
      <c r="G282" s="376">
        <f t="shared" si="36"/>
        <v>0</v>
      </c>
      <c r="H282" s="373">
        <f t="shared" si="37"/>
        <v>0</v>
      </c>
      <c r="I282" s="376">
        <f t="shared" si="38"/>
        <v>0</v>
      </c>
      <c r="J282" s="373">
        <f t="shared" si="39"/>
        <v>0</v>
      </c>
      <c r="K282" s="368">
        <f t="shared" si="40"/>
        <v>0</v>
      </c>
      <c r="L282" s="372">
        <f t="shared" si="41"/>
        <v>0</v>
      </c>
      <c r="M282" s="113">
        <f>L282*D282*'B) D RI'!S284</f>
        <v>0</v>
      </c>
    </row>
    <row r="283" spans="1:13" x14ac:dyDescent="0.25">
      <c r="A283" s="296">
        <f>'A) Base RI'!A285</f>
        <v>5891</v>
      </c>
      <c r="B283" s="32" t="str">
        <f>'A) Base RI'!B285</f>
        <v>Veytaux</v>
      </c>
      <c r="C283" s="294">
        <f>'B) D RI'!U285</f>
        <v>43950.38565947242</v>
      </c>
      <c r="D283" s="32">
        <f>'B) D RI'!AA285</f>
        <v>956</v>
      </c>
      <c r="E283" s="200">
        <f t="shared" si="34"/>
        <v>45.973206756770317</v>
      </c>
      <c r="F283" s="365">
        <f t="shared" si="35"/>
        <v>0.95440780297718397</v>
      </c>
      <c r="G283" s="376">
        <f t="shared" si="36"/>
        <v>0</v>
      </c>
      <c r="H283" s="373">
        <f t="shared" si="37"/>
        <v>0</v>
      </c>
      <c r="I283" s="376">
        <f t="shared" si="38"/>
        <v>0</v>
      </c>
      <c r="J283" s="373">
        <f t="shared" si="39"/>
        <v>0</v>
      </c>
      <c r="K283" s="368">
        <f t="shared" si="40"/>
        <v>0</v>
      </c>
      <c r="L283" s="372">
        <f t="shared" si="41"/>
        <v>0</v>
      </c>
      <c r="M283" s="113">
        <f>L283*D283*'B) D RI'!S285</f>
        <v>0</v>
      </c>
    </row>
    <row r="284" spans="1:13" x14ac:dyDescent="0.25">
      <c r="A284" s="296">
        <f>'A) Base RI'!A286</f>
        <v>5902</v>
      </c>
      <c r="B284" s="32" t="str">
        <f>'A) Base RI'!B286</f>
        <v>Belmont-sur-Yverdon</v>
      </c>
      <c r="C284" s="294">
        <f>'B) D RI'!U286</f>
        <v>11719.310285714289</v>
      </c>
      <c r="D284" s="32">
        <f>'B) D RI'!AA286</f>
        <v>396</v>
      </c>
      <c r="E284" s="200">
        <f t="shared" si="34"/>
        <v>29.594217893217902</v>
      </c>
      <c r="F284" s="365">
        <f t="shared" si="35"/>
        <v>0.61437855813994591</v>
      </c>
      <c r="G284" s="376">
        <f t="shared" si="36"/>
        <v>0</v>
      </c>
      <c r="H284" s="373">
        <f t="shared" si="37"/>
        <v>0</v>
      </c>
      <c r="I284" s="376">
        <f t="shared" si="38"/>
        <v>0</v>
      </c>
      <c r="J284" s="373">
        <f t="shared" si="39"/>
        <v>0</v>
      </c>
      <c r="K284" s="368">
        <f t="shared" si="40"/>
        <v>0</v>
      </c>
      <c r="L284" s="372">
        <f t="shared" si="41"/>
        <v>0</v>
      </c>
      <c r="M284" s="113">
        <f>L284*D284*'B) D RI'!S286</f>
        <v>0</v>
      </c>
    </row>
    <row r="285" spans="1:13" x14ac:dyDescent="0.25">
      <c r="A285" s="296">
        <f>'A) Base RI'!A287</f>
        <v>5903</v>
      </c>
      <c r="B285" s="32" t="str">
        <f>'A) Base RI'!B287</f>
        <v>Bioley-Magnoux</v>
      </c>
      <c r="C285" s="294">
        <f>'B) D RI'!U287</f>
        <v>5017.2132738095233</v>
      </c>
      <c r="D285" s="32">
        <f>'B) D RI'!AA287</f>
        <v>230</v>
      </c>
      <c r="E285" s="200">
        <f t="shared" si="34"/>
        <v>21.813970755693578</v>
      </c>
      <c r="F285" s="365">
        <f t="shared" si="35"/>
        <v>0.45285994543080343</v>
      </c>
      <c r="G285" s="376">
        <f t="shared" si="36"/>
        <v>0</v>
      </c>
      <c r="H285" s="373">
        <f t="shared" si="37"/>
        <v>0</v>
      </c>
      <c r="I285" s="376">
        <f t="shared" si="38"/>
        <v>0</v>
      </c>
      <c r="J285" s="373">
        <f t="shared" si="39"/>
        <v>0</v>
      </c>
      <c r="K285" s="368">
        <f t="shared" si="40"/>
        <v>0</v>
      </c>
      <c r="L285" s="372">
        <f t="shared" si="41"/>
        <v>0</v>
      </c>
      <c r="M285" s="113">
        <f>L285*D285*'B) D RI'!S287</f>
        <v>0</v>
      </c>
    </row>
    <row r="286" spans="1:13" x14ac:dyDescent="0.25">
      <c r="A286" s="296">
        <f>'A) Base RI'!A288</f>
        <v>5904</v>
      </c>
      <c r="B286" s="32" t="str">
        <f>'A) Base RI'!B288</f>
        <v>Chamblon</v>
      </c>
      <c r="C286" s="294">
        <f>'B) D RI'!U288</f>
        <v>21694.056363636359</v>
      </c>
      <c r="D286" s="32">
        <f>'B) D RI'!AA288</f>
        <v>559</v>
      </c>
      <c r="E286" s="200">
        <f t="shared" si="34"/>
        <v>38.808687591478282</v>
      </c>
      <c r="F286" s="365">
        <f t="shared" si="35"/>
        <v>0.80567175695561055</v>
      </c>
      <c r="G286" s="376">
        <f t="shared" si="36"/>
        <v>0</v>
      </c>
      <c r="H286" s="373">
        <f t="shared" si="37"/>
        <v>0</v>
      </c>
      <c r="I286" s="376">
        <f t="shared" si="38"/>
        <v>0</v>
      </c>
      <c r="J286" s="373">
        <f t="shared" si="39"/>
        <v>0</v>
      </c>
      <c r="K286" s="368">
        <f t="shared" si="40"/>
        <v>0</v>
      </c>
      <c r="L286" s="372">
        <f t="shared" si="41"/>
        <v>0</v>
      </c>
      <c r="M286" s="113">
        <f>L286*D286*'B) D RI'!S288</f>
        <v>0</v>
      </c>
    </row>
    <row r="287" spans="1:13" x14ac:dyDescent="0.25">
      <c r="A287" s="296">
        <f>'A) Base RI'!A289</f>
        <v>5905</v>
      </c>
      <c r="B287" s="32" t="str">
        <f>'A) Base RI'!B289</f>
        <v>Champvent</v>
      </c>
      <c r="C287" s="294">
        <f>'B) D RI'!U289</f>
        <v>21673.362816901412</v>
      </c>
      <c r="D287" s="32">
        <f>'B) D RI'!AA289</f>
        <v>696</v>
      </c>
      <c r="E287" s="200">
        <f t="shared" si="34"/>
        <v>31.139889104743407</v>
      </c>
      <c r="F287" s="365">
        <f t="shared" si="35"/>
        <v>0.64646682800813149</v>
      </c>
      <c r="G287" s="376">
        <f t="shared" si="36"/>
        <v>0</v>
      </c>
      <c r="H287" s="373">
        <f t="shared" si="37"/>
        <v>0</v>
      </c>
      <c r="I287" s="376">
        <f t="shared" si="38"/>
        <v>0</v>
      </c>
      <c r="J287" s="373">
        <f t="shared" si="39"/>
        <v>0</v>
      </c>
      <c r="K287" s="368">
        <f t="shared" si="40"/>
        <v>0</v>
      </c>
      <c r="L287" s="372">
        <f t="shared" si="41"/>
        <v>0</v>
      </c>
      <c r="M287" s="113">
        <f>L287*D287*'B) D RI'!S289</f>
        <v>0</v>
      </c>
    </row>
    <row r="288" spans="1:13" x14ac:dyDescent="0.25">
      <c r="A288" s="296">
        <f>'A) Base RI'!A290</f>
        <v>5907</v>
      </c>
      <c r="B288" s="32" t="str">
        <f>'A) Base RI'!B290</f>
        <v>Chavannes-le-Chêne</v>
      </c>
      <c r="C288" s="294">
        <f>'B) D RI'!U290</f>
        <v>9891.0456000000013</v>
      </c>
      <c r="D288" s="32">
        <f>'B) D RI'!AA290</f>
        <v>324</v>
      </c>
      <c r="E288" s="200">
        <f t="shared" si="34"/>
        <v>30.527918518518522</v>
      </c>
      <c r="F288" s="365">
        <f t="shared" si="35"/>
        <v>0.63376226498350541</v>
      </c>
      <c r="G288" s="376">
        <f t="shared" si="36"/>
        <v>0</v>
      </c>
      <c r="H288" s="373">
        <f t="shared" si="37"/>
        <v>0</v>
      </c>
      <c r="I288" s="376">
        <f t="shared" si="38"/>
        <v>0</v>
      </c>
      <c r="J288" s="373">
        <f t="shared" si="39"/>
        <v>0</v>
      </c>
      <c r="K288" s="368">
        <f t="shared" si="40"/>
        <v>0</v>
      </c>
      <c r="L288" s="372">
        <f t="shared" si="41"/>
        <v>0</v>
      </c>
      <c r="M288" s="113">
        <f>L288*D288*'B) D RI'!S290</f>
        <v>0</v>
      </c>
    </row>
    <row r="289" spans="1:13" x14ac:dyDescent="0.25">
      <c r="A289" s="296">
        <f>'A) Base RI'!A291</f>
        <v>5908</v>
      </c>
      <c r="B289" s="32" t="str">
        <f>'A) Base RI'!B291</f>
        <v>Chêne-Pâquier</v>
      </c>
      <c r="C289" s="294">
        <f>'B) D RI'!U291</f>
        <v>6502.4863291139245</v>
      </c>
      <c r="D289" s="32">
        <f>'B) D RI'!AA291</f>
        <v>144</v>
      </c>
      <c r="E289" s="200">
        <f t="shared" si="34"/>
        <v>45.156155063291145</v>
      </c>
      <c r="F289" s="365">
        <f t="shared" si="35"/>
        <v>0.9374457381854473</v>
      </c>
      <c r="G289" s="376">
        <f t="shared" si="36"/>
        <v>0</v>
      </c>
      <c r="H289" s="373">
        <f t="shared" si="37"/>
        <v>0</v>
      </c>
      <c r="I289" s="376">
        <f t="shared" si="38"/>
        <v>0</v>
      </c>
      <c r="J289" s="373">
        <f t="shared" si="39"/>
        <v>0</v>
      </c>
      <c r="K289" s="368">
        <f t="shared" si="40"/>
        <v>0</v>
      </c>
      <c r="L289" s="372">
        <f t="shared" si="41"/>
        <v>0</v>
      </c>
      <c r="M289" s="113">
        <f>L289*D289*'B) D RI'!S291</f>
        <v>0</v>
      </c>
    </row>
    <row r="290" spans="1:13" x14ac:dyDescent="0.25">
      <c r="A290" s="296">
        <f>'A) Base RI'!A292</f>
        <v>5909</v>
      </c>
      <c r="B290" s="32" t="str">
        <f>'A) Base RI'!B292</f>
        <v>Cheseaux-Noréaz</v>
      </c>
      <c r="C290" s="294">
        <f>'B) D RI'!U292</f>
        <v>39259.116417910453</v>
      </c>
      <c r="D290" s="32">
        <f>'B) D RI'!AA292</f>
        <v>741</v>
      </c>
      <c r="E290" s="200">
        <f t="shared" si="34"/>
        <v>52.981263721876452</v>
      </c>
      <c r="F290" s="365">
        <f t="shared" si="35"/>
        <v>1.0998956800050552</v>
      </c>
      <c r="G290" s="376">
        <f t="shared" si="36"/>
        <v>4.8119103140760444</v>
      </c>
      <c r="H290" s="373">
        <f t="shared" si="37"/>
        <v>0</v>
      </c>
      <c r="I290" s="376">
        <f t="shared" si="38"/>
        <v>0</v>
      </c>
      <c r="J290" s="373">
        <f t="shared" si="39"/>
        <v>0</v>
      </c>
      <c r="K290" s="368">
        <f t="shared" si="40"/>
        <v>0</v>
      </c>
      <c r="L290" s="372">
        <f t="shared" si="41"/>
        <v>0.96238206281520888</v>
      </c>
      <c r="M290" s="113">
        <f>L290*D290*'B) D RI'!S292</f>
        <v>47779.382272586678</v>
      </c>
    </row>
    <row r="291" spans="1:13" x14ac:dyDescent="0.25">
      <c r="A291" s="296">
        <f>'A) Base RI'!A293</f>
        <v>5910</v>
      </c>
      <c r="B291" s="32" t="str">
        <f>'A) Base RI'!B293</f>
        <v>Cronay</v>
      </c>
      <c r="C291" s="294">
        <f>'B) D RI'!U293</f>
        <v>9976.0020779220758</v>
      </c>
      <c r="D291" s="32">
        <f>'B) D RI'!AA293</f>
        <v>393</v>
      </c>
      <c r="E291" s="200">
        <f t="shared" si="34"/>
        <v>25.384229205908589</v>
      </c>
      <c r="F291" s="365">
        <f t="shared" si="35"/>
        <v>0.52697882388012163</v>
      </c>
      <c r="G291" s="376">
        <f t="shared" si="36"/>
        <v>0</v>
      </c>
      <c r="H291" s="373">
        <f t="shared" si="37"/>
        <v>0</v>
      </c>
      <c r="I291" s="376">
        <f t="shared" si="38"/>
        <v>0</v>
      </c>
      <c r="J291" s="373">
        <f t="shared" si="39"/>
        <v>0</v>
      </c>
      <c r="K291" s="368">
        <f t="shared" si="40"/>
        <v>0</v>
      </c>
      <c r="L291" s="372">
        <f t="shared" si="41"/>
        <v>0</v>
      </c>
      <c r="M291" s="113">
        <f>L291*D291*'B) D RI'!S293</f>
        <v>0</v>
      </c>
    </row>
    <row r="292" spans="1:13" x14ac:dyDescent="0.25">
      <c r="A292" s="296">
        <f>'A) Base RI'!A294</f>
        <v>5911</v>
      </c>
      <c r="B292" s="32" t="str">
        <f>'A) Base RI'!B294</f>
        <v>Cuarny</v>
      </c>
      <c r="C292" s="294">
        <f>'B) D RI'!U294</f>
        <v>6939.4670129870128</v>
      </c>
      <c r="D292" s="32">
        <f>'B) D RI'!AA294</f>
        <v>234</v>
      </c>
      <c r="E292" s="200">
        <f t="shared" si="34"/>
        <v>29.655841935841934</v>
      </c>
      <c r="F292" s="365">
        <f t="shared" si="35"/>
        <v>0.61565787866771637</v>
      </c>
      <c r="G292" s="376">
        <f t="shared" si="36"/>
        <v>0</v>
      </c>
      <c r="H292" s="373">
        <f t="shared" si="37"/>
        <v>0</v>
      </c>
      <c r="I292" s="376">
        <f t="shared" si="38"/>
        <v>0</v>
      </c>
      <c r="J292" s="373">
        <f t="shared" si="39"/>
        <v>0</v>
      </c>
      <c r="K292" s="368">
        <f t="shared" si="40"/>
        <v>0</v>
      </c>
      <c r="L292" s="372">
        <f t="shared" si="41"/>
        <v>0</v>
      </c>
      <c r="M292" s="113">
        <f>L292*D292*'B) D RI'!S294</f>
        <v>0</v>
      </c>
    </row>
    <row r="293" spans="1:13" x14ac:dyDescent="0.25">
      <c r="A293" s="296">
        <f>'A) Base RI'!A295</f>
        <v>5912</v>
      </c>
      <c r="B293" s="32" t="str">
        <f>'A) Base RI'!B295</f>
        <v>Démoret</v>
      </c>
      <c r="C293" s="294">
        <f>'B) D RI'!U295</f>
        <v>4070.6311111111104</v>
      </c>
      <c r="D293" s="32">
        <f>'B) D RI'!AA295</f>
        <v>158</v>
      </c>
      <c r="E293" s="200">
        <f t="shared" si="34"/>
        <v>25.763488045007026</v>
      </c>
      <c r="F293" s="365">
        <f t="shared" si="35"/>
        <v>0.5348522706313712</v>
      </c>
      <c r="G293" s="376">
        <f t="shared" si="36"/>
        <v>0</v>
      </c>
      <c r="H293" s="373">
        <f t="shared" si="37"/>
        <v>0</v>
      </c>
      <c r="I293" s="376">
        <f t="shared" si="38"/>
        <v>0</v>
      </c>
      <c r="J293" s="373">
        <f t="shared" si="39"/>
        <v>0</v>
      </c>
      <c r="K293" s="368">
        <f t="shared" si="40"/>
        <v>0</v>
      </c>
      <c r="L293" s="372">
        <f t="shared" si="41"/>
        <v>0</v>
      </c>
      <c r="M293" s="113">
        <f>L293*D293*'B) D RI'!S295</f>
        <v>0</v>
      </c>
    </row>
    <row r="294" spans="1:13" x14ac:dyDescent="0.25">
      <c r="A294" s="296">
        <f>'A) Base RI'!A296</f>
        <v>5913</v>
      </c>
      <c r="B294" s="32" t="str">
        <f>'A) Base RI'!B296</f>
        <v>Donneloye</v>
      </c>
      <c r="C294" s="294">
        <f>'B) D RI'!U296</f>
        <v>19880.828493150682</v>
      </c>
      <c r="D294" s="32">
        <f>'B) D RI'!AA296</f>
        <v>829</v>
      </c>
      <c r="E294" s="200">
        <f t="shared" si="34"/>
        <v>23.981699026719763</v>
      </c>
      <c r="F294" s="365">
        <f t="shared" si="35"/>
        <v>0.49786217439315339</v>
      </c>
      <c r="G294" s="376">
        <f t="shared" si="36"/>
        <v>0</v>
      </c>
      <c r="H294" s="373">
        <f t="shared" si="37"/>
        <v>0</v>
      </c>
      <c r="I294" s="376">
        <f t="shared" si="38"/>
        <v>0</v>
      </c>
      <c r="J294" s="373">
        <f t="shared" si="39"/>
        <v>0</v>
      </c>
      <c r="K294" s="368">
        <f t="shared" si="40"/>
        <v>0</v>
      </c>
      <c r="L294" s="372">
        <f t="shared" si="41"/>
        <v>0</v>
      </c>
      <c r="M294" s="113">
        <f>L294*D294*'B) D RI'!S296</f>
        <v>0</v>
      </c>
    </row>
    <row r="295" spans="1:13" x14ac:dyDescent="0.25">
      <c r="A295" s="296">
        <f>'A) Base RI'!A297</f>
        <v>5914</v>
      </c>
      <c r="B295" s="32" t="str">
        <f>'A) Base RI'!B297</f>
        <v>Ependes</v>
      </c>
      <c r="C295" s="294">
        <f>'B) D RI'!U297</f>
        <v>10662.074965986394</v>
      </c>
      <c r="D295" s="32">
        <f>'B) D RI'!AA297</f>
        <v>388</v>
      </c>
      <c r="E295" s="200">
        <f t="shared" si="34"/>
        <v>27.479574654604107</v>
      </c>
      <c r="F295" s="365">
        <f t="shared" si="35"/>
        <v>0.570478379104714</v>
      </c>
      <c r="G295" s="376">
        <f t="shared" si="36"/>
        <v>0</v>
      </c>
      <c r="H295" s="373">
        <f t="shared" si="37"/>
        <v>0</v>
      </c>
      <c r="I295" s="376">
        <f t="shared" si="38"/>
        <v>0</v>
      </c>
      <c r="J295" s="373">
        <f t="shared" si="39"/>
        <v>0</v>
      </c>
      <c r="K295" s="368">
        <f t="shared" si="40"/>
        <v>0</v>
      </c>
      <c r="L295" s="372">
        <f t="shared" si="41"/>
        <v>0</v>
      </c>
      <c r="M295" s="113">
        <f>L295*D295*'B) D RI'!S297</f>
        <v>0</v>
      </c>
    </row>
    <row r="296" spans="1:13" x14ac:dyDescent="0.25">
      <c r="A296" s="296">
        <f>'A) Base RI'!A298</f>
        <v>5919</v>
      </c>
      <c r="B296" s="32" t="str">
        <f>'A) Base RI'!B298</f>
        <v>Mathod</v>
      </c>
      <c r="C296" s="294">
        <f>'B) D RI'!U298</f>
        <v>21565.598078703704</v>
      </c>
      <c r="D296" s="32">
        <f>'B) D RI'!AA298</f>
        <v>651</v>
      </c>
      <c r="E296" s="200">
        <f t="shared" si="34"/>
        <v>33.126878769130116</v>
      </c>
      <c r="F296" s="365">
        <f t="shared" si="35"/>
        <v>0.68771690765036597</v>
      </c>
      <c r="G296" s="376">
        <f t="shared" si="36"/>
        <v>0</v>
      </c>
      <c r="H296" s="373">
        <f t="shared" si="37"/>
        <v>0</v>
      </c>
      <c r="I296" s="376">
        <f t="shared" si="38"/>
        <v>0</v>
      </c>
      <c r="J296" s="373">
        <f t="shared" si="39"/>
        <v>0</v>
      </c>
      <c r="K296" s="368">
        <f t="shared" si="40"/>
        <v>0</v>
      </c>
      <c r="L296" s="372">
        <f t="shared" si="41"/>
        <v>0</v>
      </c>
      <c r="M296" s="113">
        <f>L296*D296*'B) D RI'!S298</f>
        <v>0</v>
      </c>
    </row>
    <row r="297" spans="1:13" x14ac:dyDescent="0.25">
      <c r="A297" s="296">
        <f>'A) Base RI'!A299</f>
        <v>5921</v>
      </c>
      <c r="B297" s="32" t="str">
        <f>'A) Base RI'!B299</f>
        <v>Molondin</v>
      </c>
      <c r="C297" s="294">
        <f>'B) D RI'!U299</f>
        <v>5675.8933333333334</v>
      </c>
      <c r="D297" s="32">
        <f>'B) D RI'!AA299</f>
        <v>252</v>
      </c>
      <c r="E297" s="200">
        <f t="shared" si="34"/>
        <v>22.523386243386245</v>
      </c>
      <c r="F297" s="365">
        <f t="shared" si="35"/>
        <v>0.4675874731533945</v>
      </c>
      <c r="G297" s="376">
        <f t="shared" si="36"/>
        <v>0</v>
      </c>
      <c r="H297" s="373">
        <f t="shared" si="37"/>
        <v>0</v>
      </c>
      <c r="I297" s="376">
        <f t="shared" si="38"/>
        <v>0</v>
      </c>
      <c r="J297" s="373">
        <f t="shared" si="39"/>
        <v>0</v>
      </c>
      <c r="K297" s="368">
        <f t="shared" si="40"/>
        <v>0</v>
      </c>
      <c r="L297" s="372">
        <f t="shared" si="41"/>
        <v>0</v>
      </c>
      <c r="M297" s="113">
        <f>L297*D297*'B) D RI'!S299</f>
        <v>0</v>
      </c>
    </row>
    <row r="298" spans="1:13" x14ac:dyDescent="0.25">
      <c r="A298" s="296">
        <f>'A) Base RI'!A300</f>
        <v>5922</v>
      </c>
      <c r="B298" s="32" t="str">
        <f>'A) Base RI'!B300</f>
        <v>Montagny-près-Yverdon</v>
      </c>
      <c r="C298" s="294">
        <f>'B) D RI'!U300</f>
        <v>33326.398149606292</v>
      </c>
      <c r="D298" s="32">
        <f>'B) D RI'!AA300</f>
        <v>737</v>
      </c>
      <c r="E298" s="200">
        <f t="shared" si="34"/>
        <v>45.218993418733099</v>
      </c>
      <c r="F298" s="365">
        <f t="shared" si="35"/>
        <v>0.93875026795378291</v>
      </c>
      <c r="G298" s="376">
        <f t="shared" si="36"/>
        <v>0</v>
      </c>
      <c r="H298" s="373">
        <f t="shared" si="37"/>
        <v>0</v>
      </c>
      <c r="I298" s="376">
        <f t="shared" si="38"/>
        <v>0</v>
      </c>
      <c r="J298" s="373">
        <f t="shared" si="39"/>
        <v>0</v>
      </c>
      <c r="K298" s="368">
        <f t="shared" si="40"/>
        <v>0</v>
      </c>
      <c r="L298" s="372">
        <f t="shared" si="41"/>
        <v>0</v>
      </c>
      <c r="M298" s="113">
        <f>L298*D298*'B) D RI'!S300</f>
        <v>0</v>
      </c>
    </row>
    <row r="299" spans="1:13" x14ac:dyDescent="0.25">
      <c r="A299" s="296">
        <f>'A) Base RI'!A301</f>
        <v>5923</v>
      </c>
      <c r="B299" s="32" t="str">
        <f>'A) Base RI'!B301</f>
        <v>Oppens</v>
      </c>
      <c r="C299" s="294">
        <f>'B) D RI'!U301</f>
        <v>4799.240617283951</v>
      </c>
      <c r="D299" s="32">
        <f>'B) D RI'!AA301</f>
        <v>201</v>
      </c>
      <c r="E299" s="200">
        <f t="shared" si="34"/>
        <v>23.876818991462443</v>
      </c>
      <c r="F299" s="365">
        <f t="shared" si="35"/>
        <v>0.49568485566584125</v>
      </c>
      <c r="G299" s="376">
        <f t="shared" si="36"/>
        <v>0</v>
      </c>
      <c r="H299" s="373">
        <f t="shared" si="37"/>
        <v>0</v>
      </c>
      <c r="I299" s="376">
        <f t="shared" si="38"/>
        <v>0</v>
      </c>
      <c r="J299" s="373">
        <f t="shared" si="39"/>
        <v>0</v>
      </c>
      <c r="K299" s="368">
        <f t="shared" si="40"/>
        <v>0</v>
      </c>
      <c r="L299" s="372">
        <f t="shared" si="41"/>
        <v>0</v>
      </c>
      <c r="M299" s="113">
        <f>L299*D299*'B) D RI'!S301</f>
        <v>0</v>
      </c>
    </row>
    <row r="300" spans="1:13" x14ac:dyDescent="0.25">
      <c r="A300" s="296">
        <f>'A) Base RI'!A302</f>
        <v>5924</v>
      </c>
      <c r="B300" s="32" t="str">
        <f>'A) Base RI'!B302</f>
        <v>Orges</v>
      </c>
      <c r="C300" s="294">
        <f>'B) D RI'!U302</f>
        <v>12525.425270270271</v>
      </c>
      <c r="D300" s="32">
        <f>'B) D RI'!AA302</f>
        <v>343</v>
      </c>
      <c r="E300" s="200">
        <f t="shared" si="34"/>
        <v>36.517274840438105</v>
      </c>
      <c r="F300" s="365">
        <f t="shared" si="35"/>
        <v>0.75810182734411802</v>
      </c>
      <c r="G300" s="376">
        <f t="shared" si="36"/>
        <v>0</v>
      </c>
      <c r="H300" s="373">
        <f t="shared" si="37"/>
        <v>0</v>
      </c>
      <c r="I300" s="376">
        <f t="shared" si="38"/>
        <v>0</v>
      </c>
      <c r="J300" s="373">
        <f t="shared" si="39"/>
        <v>0</v>
      </c>
      <c r="K300" s="368">
        <f t="shared" si="40"/>
        <v>0</v>
      </c>
      <c r="L300" s="372">
        <f t="shared" si="41"/>
        <v>0</v>
      </c>
      <c r="M300" s="113">
        <f>L300*D300*'B) D RI'!S302</f>
        <v>0</v>
      </c>
    </row>
    <row r="301" spans="1:13" x14ac:dyDescent="0.25">
      <c r="A301" s="296">
        <f>'A) Base RI'!A303</f>
        <v>5925</v>
      </c>
      <c r="B301" s="32" t="str">
        <f>'A) Base RI'!B303</f>
        <v>Orzens</v>
      </c>
      <c r="C301" s="294">
        <f>'B) D RI'!U303</f>
        <v>5879.4616455696196</v>
      </c>
      <c r="D301" s="32">
        <f>'B) D RI'!AA303</f>
        <v>201</v>
      </c>
      <c r="E301" s="200">
        <f t="shared" si="34"/>
        <v>29.251052963032933</v>
      </c>
      <c r="F301" s="365">
        <f t="shared" si="35"/>
        <v>0.60725442410227792</v>
      </c>
      <c r="G301" s="376">
        <f t="shared" si="36"/>
        <v>0</v>
      </c>
      <c r="H301" s="373">
        <f t="shared" si="37"/>
        <v>0</v>
      </c>
      <c r="I301" s="376">
        <f t="shared" si="38"/>
        <v>0</v>
      </c>
      <c r="J301" s="373">
        <f t="shared" si="39"/>
        <v>0</v>
      </c>
      <c r="K301" s="368">
        <f t="shared" si="40"/>
        <v>0</v>
      </c>
      <c r="L301" s="372">
        <f t="shared" si="41"/>
        <v>0</v>
      </c>
      <c r="M301" s="113">
        <f>L301*D301*'B) D RI'!S303</f>
        <v>0</v>
      </c>
    </row>
    <row r="302" spans="1:13" x14ac:dyDescent="0.25">
      <c r="A302" s="296">
        <f>'A) Base RI'!A304</f>
        <v>5926</v>
      </c>
      <c r="B302" s="32" t="str">
        <f>'A) Base RI'!B304</f>
        <v>Pomy</v>
      </c>
      <c r="C302" s="294">
        <f>'B) D RI'!U304</f>
        <v>27363.186197183099</v>
      </c>
      <c r="D302" s="32">
        <f>'B) D RI'!AA304</f>
        <v>803</v>
      </c>
      <c r="E302" s="200">
        <f t="shared" si="34"/>
        <v>34.076197007699996</v>
      </c>
      <c r="F302" s="365">
        <f t="shared" si="35"/>
        <v>0.70742483751467156</v>
      </c>
      <c r="G302" s="376">
        <f t="shared" si="36"/>
        <v>0</v>
      </c>
      <c r="H302" s="373">
        <f t="shared" si="37"/>
        <v>0</v>
      </c>
      <c r="I302" s="376">
        <f t="shared" si="38"/>
        <v>0</v>
      </c>
      <c r="J302" s="373">
        <f t="shared" si="39"/>
        <v>0</v>
      </c>
      <c r="K302" s="368">
        <f t="shared" si="40"/>
        <v>0</v>
      </c>
      <c r="L302" s="372">
        <f t="shared" si="41"/>
        <v>0</v>
      </c>
      <c r="M302" s="113">
        <f>L302*D302*'B) D RI'!S304</f>
        <v>0</v>
      </c>
    </row>
    <row r="303" spans="1:13" x14ac:dyDescent="0.25">
      <c r="A303" s="296">
        <f>'A) Base RI'!A305</f>
        <v>5928</v>
      </c>
      <c r="B303" s="32" t="str">
        <f>'A) Base RI'!B305</f>
        <v>Rovray</v>
      </c>
      <c r="C303" s="294">
        <f>'B) D RI'!U305</f>
        <v>5563.4060139860139</v>
      </c>
      <c r="D303" s="32">
        <f>'B) D RI'!AA305</f>
        <v>204</v>
      </c>
      <c r="E303" s="200">
        <f t="shared" si="34"/>
        <v>27.271598107774579</v>
      </c>
      <c r="F303" s="365">
        <f t="shared" si="35"/>
        <v>0.56616076775816326</v>
      </c>
      <c r="G303" s="376">
        <f t="shared" si="36"/>
        <v>0</v>
      </c>
      <c r="H303" s="373">
        <f t="shared" si="37"/>
        <v>0</v>
      </c>
      <c r="I303" s="376">
        <f t="shared" si="38"/>
        <v>0</v>
      </c>
      <c r="J303" s="373">
        <f t="shared" si="39"/>
        <v>0</v>
      </c>
      <c r="K303" s="368">
        <f t="shared" si="40"/>
        <v>0</v>
      </c>
      <c r="L303" s="372">
        <f t="shared" si="41"/>
        <v>0</v>
      </c>
      <c r="M303" s="113">
        <f>L303*D303*'B) D RI'!S305</f>
        <v>0</v>
      </c>
    </row>
    <row r="304" spans="1:13" x14ac:dyDescent="0.25">
      <c r="A304" s="296">
        <f>'A) Base RI'!A306</f>
        <v>5929</v>
      </c>
      <c r="B304" s="32" t="str">
        <f>'A) Base RI'!B306</f>
        <v>Suchy</v>
      </c>
      <c r="C304" s="294">
        <f>'B) D RI'!U306</f>
        <v>19827.403178571429</v>
      </c>
      <c r="D304" s="32">
        <f>'B) D RI'!AA306</f>
        <v>656</v>
      </c>
      <c r="E304" s="200">
        <f t="shared" si="34"/>
        <v>30.224699967334494</v>
      </c>
      <c r="F304" s="365">
        <f t="shared" si="35"/>
        <v>0.6274674212762007</v>
      </c>
      <c r="G304" s="376">
        <f t="shared" si="36"/>
        <v>0</v>
      </c>
      <c r="H304" s="373">
        <f t="shared" si="37"/>
        <v>0</v>
      </c>
      <c r="I304" s="376">
        <f t="shared" si="38"/>
        <v>0</v>
      </c>
      <c r="J304" s="373">
        <f t="shared" si="39"/>
        <v>0</v>
      </c>
      <c r="K304" s="368">
        <f t="shared" si="40"/>
        <v>0</v>
      </c>
      <c r="L304" s="372">
        <f t="shared" si="41"/>
        <v>0</v>
      </c>
      <c r="M304" s="113">
        <f>L304*D304*'B) D RI'!S306</f>
        <v>0</v>
      </c>
    </row>
    <row r="305" spans="1:13" x14ac:dyDescent="0.25">
      <c r="A305" s="296">
        <f>'A) Base RI'!A307</f>
        <v>5930</v>
      </c>
      <c r="B305" s="32" t="str">
        <f>'A) Base RI'!B307</f>
        <v>Suscévaz</v>
      </c>
      <c r="C305" s="294">
        <f>'B) D RI'!U307</f>
        <v>5769.1548611111102</v>
      </c>
      <c r="D305" s="32">
        <f>'B) D RI'!AA307</f>
        <v>204</v>
      </c>
      <c r="E305" s="200">
        <f t="shared" si="34"/>
        <v>28.28017088779956</v>
      </c>
      <c r="F305" s="365">
        <f t="shared" si="35"/>
        <v>0.58709882709822614</v>
      </c>
      <c r="G305" s="376">
        <f t="shared" si="36"/>
        <v>0</v>
      </c>
      <c r="H305" s="373">
        <f t="shared" si="37"/>
        <v>0</v>
      </c>
      <c r="I305" s="376">
        <f t="shared" si="38"/>
        <v>0</v>
      </c>
      <c r="J305" s="373">
        <f t="shared" si="39"/>
        <v>0</v>
      </c>
      <c r="K305" s="368">
        <f t="shared" si="40"/>
        <v>0</v>
      </c>
      <c r="L305" s="372">
        <f t="shared" si="41"/>
        <v>0</v>
      </c>
      <c r="M305" s="113">
        <f>L305*D305*'B) D RI'!S307</f>
        <v>0</v>
      </c>
    </row>
    <row r="306" spans="1:13" x14ac:dyDescent="0.25">
      <c r="A306" s="296">
        <f>'A) Base RI'!A308</f>
        <v>5931</v>
      </c>
      <c r="B306" s="32" t="str">
        <f>'A) Base RI'!B308</f>
        <v>Treycovagnes</v>
      </c>
      <c r="C306" s="294">
        <f>'B) D RI'!U308</f>
        <v>15383.603066666663</v>
      </c>
      <c r="D306" s="32">
        <f>'B) D RI'!AA308</f>
        <v>485</v>
      </c>
      <c r="E306" s="200">
        <f t="shared" si="34"/>
        <v>31.718769209621986</v>
      </c>
      <c r="F306" s="365">
        <f t="shared" si="35"/>
        <v>0.65848442973879606</v>
      </c>
      <c r="G306" s="376">
        <f t="shared" si="36"/>
        <v>0</v>
      </c>
      <c r="H306" s="373">
        <f t="shared" si="37"/>
        <v>0</v>
      </c>
      <c r="I306" s="376">
        <f t="shared" si="38"/>
        <v>0</v>
      </c>
      <c r="J306" s="373">
        <f t="shared" si="39"/>
        <v>0</v>
      </c>
      <c r="K306" s="368">
        <f t="shared" si="40"/>
        <v>0</v>
      </c>
      <c r="L306" s="372">
        <f t="shared" si="41"/>
        <v>0</v>
      </c>
      <c r="M306" s="113">
        <f>L306*D306*'B) D RI'!S308</f>
        <v>0</v>
      </c>
    </row>
    <row r="307" spans="1:13" x14ac:dyDescent="0.25">
      <c r="A307" s="296">
        <f>'A) Base RI'!A309</f>
        <v>5932</v>
      </c>
      <c r="B307" s="32" t="str">
        <f>'A) Base RI'!B309</f>
        <v>Ursins</v>
      </c>
      <c r="C307" s="294">
        <f>'B) D RI'!U309</f>
        <v>6819.4023999999999</v>
      </c>
      <c r="D307" s="32">
        <f>'B) D RI'!AA309</f>
        <v>238</v>
      </c>
      <c r="E307" s="200">
        <f t="shared" si="34"/>
        <v>28.652951260504203</v>
      </c>
      <c r="F307" s="365">
        <f t="shared" si="35"/>
        <v>0.59483778031914014</v>
      </c>
      <c r="G307" s="376">
        <f t="shared" si="36"/>
        <v>0</v>
      </c>
      <c r="H307" s="373">
        <f t="shared" si="37"/>
        <v>0</v>
      </c>
      <c r="I307" s="376">
        <f t="shared" si="38"/>
        <v>0</v>
      </c>
      <c r="J307" s="373">
        <f t="shared" si="39"/>
        <v>0</v>
      </c>
      <c r="K307" s="368">
        <f t="shared" si="40"/>
        <v>0</v>
      </c>
      <c r="L307" s="372">
        <f t="shared" si="41"/>
        <v>0</v>
      </c>
      <c r="M307" s="113">
        <f>L307*D307*'B) D RI'!S309</f>
        <v>0</v>
      </c>
    </row>
    <row r="308" spans="1:13" x14ac:dyDescent="0.25">
      <c r="A308" s="296">
        <f>'A) Base RI'!A310</f>
        <v>5933</v>
      </c>
      <c r="B308" s="32" t="str">
        <f>'A) Base RI'!B310</f>
        <v>Valeyres-sous-Montagny</v>
      </c>
      <c r="C308" s="294">
        <f>'B) D RI'!U310</f>
        <v>22572.377872340428</v>
      </c>
      <c r="D308" s="32">
        <f>'B) D RI'!AA310</f>
        <v>714</v>
      </c>
      <c r="E308" s="200">
        <f t="shared" si="34"/>
        <v>31.613974611121048</v>
      </c>
      <c r="F308" s="365">
        <f t="shared" si="35"/>
        <v>0.6563088846860371</v>
      </c>
      <c r="G308" s="376">
        <f t="shared" si="36"/>
        <v>0</v>
      </c>
      <c r="H308" s="373">
        <f t="shared" si="37"/>
        <v>0</v>
      </c>
      <c r="I308" s="376">
        <f t="shared" si="38"/>
        <v>0</v>
      </c>
      <c r="J308" s="373">
        <f t="shared" si="39"/>
        <v>0</v>
      </c>
      <c r="K308" s="368">
        <f t="shared" si="40"/>
        <v>0</v>
      </c>
      <c r="L308" s="372">
        <f t="shared" si="41"/>
        <v>0</v>
      </c>
      <c r="M308" s="113">
        <f>L308*D308*'B) D RI'!S310</f>
        <v>0</v>
      </c>
    </row>
    <row r="309" spans="1:13" x14ac:dyDescent="0.25">
      <c r="A309" s="296">
        <f>'A) Base RI'!A311</f>
        <v>5934</v>
      </c>
      <c r="B309" s="32" t="str">
        <f>'A) Base RI'!B311</f>
        <v>Valeyres-sous-Ursins</v>
      </c>
      <c r="C309" s="294">
        <f>'B) D RI'!U311</f>
        <v>7577.3788607594925</v>
      </c>
      <c r="D309" s="32">
        <f>'B) D RI'!AA311</f>
        <v>241</v>
      </c>
      <c r="E309" s="200">
        <f t="shared" si="34"/>
        <v>31.441406061242706</v>
      </c>
      <c r="F309" s="365">
        <f t="shared" si="35"/>
        <v>0.65272634646059369</v>
      </c>
      <c r="G309" s="376">
        <f t="shared" si="36"/>
        <v>0</v>
      </c>
      <c r="H309" s="373">
        <f t="shared" si="37"/>
        <v>0</v>
      </c>
      <c r="I309" s="376">
        <f t="shared" si="38"/>
        <v>0</v>
      </c>
      <c r="J309" s="373">
        <f t="shared" si="39"/>
        <v>0</v>
      </c>
      <c r="K309" s="368">
        <f t="shared" si="40"/>
        <v>0</v>
      </c>
      <c r="L309" s="372">
        <f t="shared" si="41"/>
        <v>0</v>
      </c>
      <c r="M309" s="113">
        <f>L309*D309*'B) D RI'!S311</f>
        <v>0</v>
      </c>
    </row>
    <row r="310" spans="1:13" x14ac:dyDescent="0.25">
      <c r="A310" s="296">
        <f>'A) Base RI'!A312</f>
        <v>5935</v>
      </c>
      <c r="B310" s="32" t="str">
        <f>'A) Base RI'!B312</f>
        <v>Villars-Epeney</v>
      </c>
      <c r="C310" s="294">
        <f>'B) D RI'!U312</f>
        <v>3928.2205000000004</v>
      </c>
      <c r="D310" s="32">
        <f>'B) D RI'!AA312</f>
        <v>101</v>
      </c>
      <c r="E310" s="200">
        <f t="shared" si="34"/>
        <v>38.893272277227723</v>
      </c>
      <c r="F310" s="365">
        <f t="shared" si="35"/>
        <v>0.80742774244774185</v>
      </c>
      <c r="G310" s="376">
        <f t="shared" si="36"/>
        <v>0</v>
      </c>
      <c r="H310" s="373">
        <f t="shared" si="37"/>
        <v>0</v>
      </c>
      <c r="I310" s="376">
        <f t="shared" si="38"/>
        <v>0</v>
      </c>
      <c r="J310" s="373">
        <f t="shared" si="39"/>
        <v>0</v>
      </c>
      <c r="K310" s="368">
        <f t="shared" si="40"/>
        <v>0</v>
      </c>
      <c r="L310" s="372">
        <f t="shared" si="41"/>
        <v>0</v>
      </c>
      <c r="M310" s="113">
        <f>L310*D310*'B) D RI'!S312</f>
        <v>0</v>
      </c>
    </row>
    <row r="311" spans="1:13" x14ac:dyDescent="0.25">
      <c r="A311" s="296">
        <f>'A) Base RI'!A313</f>
        <v>5937</v>
      </c>
      <c r="B311" s="32" t="str">
        <f>'A) Base RI'!B313</f>
        <v>Vugelles-La Mothe</v>
      </c>
      <c r="C311" s="294">
        <f>'B) D RI'!U313</f>
        <v>3187.6957755102044</v>
      </c>
      <c r="D311" s="32">
        <f>'B) D RI'!AA313</f>
        <v>138</v>
      </c>
      <c r="E311" s="200">
        <f t="shared" si="34"/>
        <v>23.099244750073943</v>
      </c>
      <c r="F311" s="365">
        <f t="shared" si="35"/>
        <v>0.47954234624069747</v>
      </c>
      <c r="G311" s="376">
        <f t="shared" si="36"/>
        <v>0</v>
      </c>
      <c r="H311" s="373">
        <f t="shared" si="37"/>
        <v>0</v>
      </c>
      <c r="I311" s="376">
        <f t="shared" si="38"/>
        <v>0</v>
      </c>
      <c r="J311" s="373">
        <f t="shared" si="39"/>
        <v>0</v>
      </c>
      <c r="K311" s="368">
        <f t="shared" si="40"/>
        <v>0</v>
      </c>
      <c r="L311" s="372">
        <f t="shared" si="41"/>
        <v>0</v>
      </c>
      <c r="M311" s="113">
        <f>L311*D311*'B) D RI'!S313</f>
        <v>0</v>
      </c>
    </row>
    <row r="312" spans="1:13" x14ac:dyDescent="0.25">
      <c r="A312" s="296">
        <f>'A) Base RI'!A314</f>
        <v>5938</v>
      </c>
      <c r="B312" s="32" t="str">
        <f>'A) Base RI'!B314</f>
        <v>Yverdon-les-Bains</v>
      </c>
      <c r="C312" s="294">
        <f>'B) D RI'!U314</f>
        <v>796551.402</v>
      </c>
      <c r="D312" s="32">
        <f>'B) D RI'!AA314</f>
        <v>29981</v>
      </c>
      <c r="E312" s="200">
        <f t="shared" si="34"/>
        <v>26.56854014208999</v>
      </c>
      <c r="F312" s="365">
        <f t="shared" si="35"/>
        <v>0.55156522274985642</v>
      </c>
      <c r="G312" s="376">
        <f t="shared" si="36"/>
        <v>0</v>
      </c>
      <c r="H312" s="373">
        <f t="shared" si="37"/>
        <v>0</v>
      </c>
      <c r="I312" s="376">
        <f t="shared" si="38"/>
        <v>0</v>
      </c>
      <c r="J312" s="373">
        <f t="shared" si="39"/>
        <v>0</v>
      </c>
      <c r="K312" s="368">
        <f t="shared" si="40"/>
        <v>0</v>
      </c>
      <c r="L312" s="372">
        <f t="shared" si="41"/>
        <v>0</v>
      </c>
      <c r="M312" s="113">
        <f>L312*D312*'B) D RI'!S314</f>
        <v>0</v>
      </c>
    </row>
    <row r="313" spans="1:13" x14ac:dyDescent="0.25">
      <c r="A313" s="296">
        <f>'A) Base RI'!A315</f>
        <v>5939</v>
      </c>
      <c r="B313" s="32" t="str">
        <f>'A) Base RI'!B315</f>
        <v>Yvonand</v>
      </c>
      <c r="C313" s="294">
        <f>'B) D RI'!U315</f>
        <v>92890.042937062928</v>
      </c>
      <c r="D313" s="32">
        <f>'B) D RI'!AA315</f>
        <v>3467</v>
      </c>
      <c r="E313" s="200">
        <f t="shared" si="34"/>
        <v>26.7926284791067</v>
      </c>
      <c r="F313" s="365">
        <f t="shared" si="35"/>
        <v>0.55621731627329629</v>
      </c>
      <c r="G313" s="377">
        <f t="shared" si="36"/>
        <v>0</v>
      </c>
      <c r="H313" s="373">
        <f t="shared" si="37"/>
        <v>0</v>
      </c>
      <c r="I313" s="377">
        <f t="shared" si="38"/>
        <v>0</v>
      </c>
      <c r="J313" s="373">
        <f t="shared" si="39"/>
        <v>0</v>
      </c>
      <c r="K313" s="369">
        <f t="shared" si="40"/>
        <v>0</v>
      </c>
      <c r="L313" s="378">
        <f t="shared" si="41"/>
        <v>0</v>
      </c>
      <c r="M313" s="113">
        <f>L313*D313*'B) D RI'!S315</f>
        <v>0</v>
      </c>
    </row>
    <row r="314" spans="1:13" x14ac:dyDescent="0.25">
      <c r="A314" s="7"/>
      <c r="B314" s="118">
        <f>COUNTA(B5:B313)</f>
        <v>309</v>
      </c>
      <c r="C314" s="295">
        <f>SUM(C5:C313)</f>
        <v>39272473.833379671</v>
      </c>
      <c r="D314" s="273">
        <f>SUM(D5:D313)</f>
        <v>815300</v>
      </c>
      <c r="E314" s="59">
        <f>C314/D314</f>
        <v>48.169353407800408</v>
      </c>
      <c r="F314" s="60">
        <v>1</v>
      </c>
      <c r="G314" s="30"/>
      <c r="H314" s="30"/>
      <c r="I314" s="30"/>
      <c r="J314" s="30"/>
      <c r="K314" s="30"/>
      <c r="L314" s="371"/>
      <c r="M314" s="37">
        <f>SUM(M5:M313)</f>
        <v>151537305.72789979</v>
      </c>
    </row>
    <row r="315" spans="1:13" x14ac:dyDescent="0.25">
      <c r="M315" s="6"/>
    </row>
    <row r="317" spans="1:13" x14ac:dyDescent="0.25">
      <c r="F317" s="15"/>
    </row>
    <row r="318" spans="1:13" x14ac:dyDescent="0.25">
      <c r="F318" s="15"/>
    </row>
    <row r="319" spans="1:13" x14ac:dyDescent="0.25">
      <c r="F319" s="15"/>
      <c r="G319" s="17"/>
      <c r="H319" s="17"/>
    </row>
    <row r="320" spans="1:13" x14ac:dyDescent="0.25">
      <c r="E320" s="28"/>
    </row>
  </sheetData>
  <mergeCells count="6">
    <mergeCell ref="A3:A4"/>
    <mergeCell ref="B3:B4"/>
    <mergeCell ref="F3:F4"/>
    <mergeCell ref="C3:E3"/>
    <mergeCell ref="M3:M4"/>
    <mergeCell ref="L3:L4"/>
  </mergeCells>
  <phoneticPr fontId="21" type="noConversion"/>
  <pageMargins left="0.78740157499999996" right="0.78740157499999996" top="0.984251969" bottom="0.984251969" header="0.4921259845" footer="0.4921259845"/>
  <pageSetup paperSize="9" orientation="portrait" horizontalDpi="4294967292" verticalDpi="4294967292"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8">
    <tabColor rgb="FF00B050"/>
  </sheetPr>
  <dimension ref="A1:AG332"/>
  <sheetViews>
    <sheetView workbookViewId="0">
      <selection activeCell="A9" sqref="A9:A10"/>
    </sheetView>
  </sheetViews>
  <sheetFormatPr baseColWidth="10" defaultColWidth="10.75" defaultRowHeight="15" x14ac:dyDescent="0.25"/>
  <cols>
    <col min="1" max="1" width="7.25" style="13" customWidth="1"/>
    <col min="2" max="2" width="18" style="13" customWidth="1"/>
    <col min="3" max="3" width="13.625" style="13" customWidth="1"/>
    <col min="4" max="4" width="12.75" style="13" customWidth="1"/>
    <col min="5" max="5" width="10.75" style="13" bestFit="1" customWidth="1"/>
    <col min="6" max="6" width="15.125" style="13" customWidth="1"/>
    <col min="7" max="7" width="12.125" style="13" customWidth="1"/>
    <col min="8" max="8" width="9.25" style="13" customWidth="1"/>
    <col min="9" max="10" width="12.125" style="13" customWidth="1"/>
    <col min="11" max="11" width="9.25" style="13" customWidth="1"/>
    <col min="12" max="12" width="13" style="13" bestFit="1" customWidth="1"/>
    <col min="13" max="13" width="12.125" style="13" customWidth="1"/>
    <col min="14" max="14" width="14" style="13" customWidth="1"/>
    <col min="15" max="20" width="12.125" style="13" customWidth="1"/>
    <col min="21" max="23" width="8.125" style="13" customWidth="1"/>
    <col min="24" max="31" width="11" style="13" customWidth="1"/>
    <col min="32" max="32" width="9.25" style="13" customWidth="1"/>
    <col min="33" max="33" width="11" style="13" customWidth="1"/>
    <col min="34" max="16384" width="10.75" style="13"/>
  </cols>
  <sheetData>
    <row r="1" spans="1:33" s="43" customFormat="1" ht="20.25" customHeight="1" x14ac:dyDescent="0.25">
      <c r="A1" s="51" t="s">
        <v>93</v>
      </c>
      <c r="B1" s="42"/>
      <c r="C1" s="68"/>
      <c r="D1" s="68"/>
      <c r="E1" s="68"/>
      <c r="F1" s="68"/>
      <c r="G1" s="68"/>
      <c r="H1" s="68"/>
      <c r="I1" s="68"/>
      <c r="J1" s="68"/>
      <c r="K1" s="13"/>
      <c r="L1" s="13"/>
      <c r="M1" s="68"/>
      <c r="N1" s="13"/>
      <c r="O1" s="13"/>
      <c r="P1" s="13"/>
      <c r="Q1" s="13"/>
      <c r="R1" s="13"/>
      <c r="S1" s="13"/>
      <c r="T1" s="13"/>
      <c r="U1" s="13"/>
      <c r="V1" s="13"/>
      <c r="W1" s="13"/>
      <c r="X1" s="13"/>
      <c r="Y1" s="13"/>
      <c r="Z1" s="13"/>
      <c r="AA1" s="13"/>
      <c r="AB1" s="13"/>
      <c r="AC1" s="13"/>
      <c r="AD1" s="13"/>
      <c r="AE1" s="13"/>
      <c r="AF1" s="13"/>
      <c r="AG1" s="13"/>
    </row>
    <row r="2" spans="1:33" s="53" customFormat="1" x14ac:dyDescent="0.25">
      <c r="A2" s="27"/>
      <c r="D2" s="13"/>
      <c r="E2" s="13"/>
      <c r="F2" s="13"/>
      <c r="G2" s="13"/>
      <c r="K2" s="13"/>
      <c r="L2" s="13"/>
      <c r="N2" s="13"/>
      <c r="O2" s="13"/>
      <c r="P2" s="13"/>
      <c r="Q2" s="13"/>
      <c r="R2" s="13"/>
      <c r="S2" s="13"/>
      <c r="T2" s="13"/>
      <c r="U2" s="13"/>
      <c r="V2" s="13"/>
      <c r="W2" s="13"/>
      <c r="X2" s="13"/>
      <c r="Y2" s="13"/>
      <c r="Z2" s="13"/>
      <c r="AA2" s="13"/>
      <c r="AB2" s="13"/>
      <c r="AC2" s="13"/>
      <c r="AD2" s="13"/>
      <c r="AE2" s="13"/>
      <c r="AF2" s="13"/>
      <c r="AG2" s="13"/>
    </row>
    <row r="3" spans="1:33" s="53" customFormat="1" x14ac:dyDescent="0.25">
      <c r="A3" s="583" t="s">
        <v>92</v>
      </c>
      <c r="B3" s="584"/>
      <c r="C3" s="585"/>
      <c r="D3" s="61" t="s">
        <v>534</v>
      </c>
      <c r="E3" s="64" t="s">
        <v>534</v>
      </c>
      <c r="F3" s="13"/>
      <c r="G3" s="13"/>
      <c r="K3" s="13"/>
      <c r="L3" s="13"/>
      <c r="N3" s="13"/>
      <c r="O3" s="13"/>
      <c r="P3" s="13"/>
      <c r="Q3" s="13"/>
      <c r="R3" s="13"/>
      <c r="S3" s="13"/>
      <c r="T3" s="13"/>
      <c r="U3" s="13"/>
      <c r="V3" s="13"/>
      <c r="W3" s="13"/>
      <c r="X3" s="13"/>
      <c r="Y3" s="13"/>
      <c r="Z3" s="13"/>
      <c r="AA3" s="13"/>
      <c r="AB3" s="13"/>
      <c r="AC3" s="13"/>
      <c r="AD3" s="13"/>
      <c r="AE3" s="13"/>
      <c r="AF3" s="13"/>
      <c r="AG3" s="13"/>
    </row>
    <row r="4" spans="1:33" s="53" customFormat="1" x14ac:dyDescent="0.25">
      <c r="A4" s="79" t="s">
        <v>405</v>
      </c>
      <c r="B4" s="80"/>
      <c r="C4" s="89">
        <f>+Paramètres!B56</f>
        <v>844273246</v>
      </c>
      <c r="D4" s="87">
        <f>C4/$E$4</f>
        <v>21.497837125870316</v>
      </c>
      <c r="E4" s="92">
        <f>+'D) Ecrêtage'!C314</f>
        <v>39272473.833379671</v>
      </c>
      <c r="F4" s="13"/>
      <c r="G4" s="13"/>
      <c r="K4" s="13"/>
      <c r="L4" s="370"/>
      <c r="N4" s="13"/>
      <c r="O4" s="13"/>
      <c r="P4" s="13"/>
      <c r="Q4" s="13"/>
      <c r="R4" s="13"/>
      <c r="S4" s="13"/>
      <c r="T4" s="13"/>
      <c r="U4" s="13"/>
      <c r="V4" s="13"/>
      <c r="W4" s="13"/>
      <c r="X4" s="13"/>
      <c r="Y4" s="13"/>
      <c r="Z4" s="13"/>
      <c r="AA4" s="13"/>
      <c r="AB4" s="13"/>
      <c r="AC4" s="13"/>
      <c r="AD4" s="13"/>
      <c r="AE4" s="13"/>
      <c r="AF4" s="13"/>
      <c r="AG4" s="13"/>
    </row>
    <row r="5" spans="1:33" s="53" customFormat="1" x14ac:dyDescent="0.25">
      <c r="A5" s="81" t="s">
        <v>374</v>
      </c>
      <c r="B5" s="82"/>
      <c r="C5" s="9">
        <f>-'C) Prél. conj.'!H314</f>
        <v>-162151386.64999998</v>
      </c>
      <c r="D5" s="33">
        <f>C5/$E$4</f>
        <v>-4.1288813976414005</v>
      </c>
      <c r="E5" s="72"/>
      <c r="F5" s="13"/>
      <c r="G5" s="13"/>
      <c r="K5" s="13"/>
      <c r="L5" s="13"/>
      <c r="N5" s="13"/>
      <c r="O5" s="13"/>
      <c r="P5" s="13"/>
      <c r="Q5" s="13"/>
      <c r="R5" s="13"/>
      <c r="S5" s="13"/>
      <c r="T5" s="13"/>
      <c r="U5" s="13"/>
      <c r="V5" s="13"/>
      <c r="W5" s="13"/>
      <c r="X5" s="13"/>
      <c r="Y5" s="13"/>
      <c r="Z5" s="13"/>
      <c r="AA5" s="13"/>
      <c r="AB5" s="13"/>
      <c r="AC5" s="13"/>
      <c r="AD5" s="13"/>
      <c r="AE5" s="13"/>
      <c r="AF5" s="13"/>
      <c r="AG5" s="13"/>
    </row>
    <row r="6" spans="1:33" s="53" customFormat="1" x14ac:dyDescent="0.25">
      <c r="A6" s="83" t="s">
        <v>375</v>
      </c>
      <c r="B6" s="84"/>
      <c r="C6" s="90">
        <f>-'D) Ecrêtage'!M314</f>
        <v>-151537305.72789979</v>
      </c>
      <c r="D6" s="33">
        <f>C6/$E$4</f>
        <v>-3.8586137041130457</v>
      </c>
      <c r="E6" s="72"/>
      <c r="F6" s="13"/>
      <c r="G6" s="13"/>
      <c r="K6" s="13"/>
      <c r="L6" s="13"/>
      <c r="N6" s="13"/>
      <c r="O6" s="13"/>
      <c r="P6" s="13"/>
      <c r="Q6" s="13"/>
      <c r="R6" s="13"/>
      <c r="S6" s="13"/>
      <c r="T6" s="13"/>
      <c r="U6" s="13"/>
      <c r="V6" s="13"/>
      <c r="W6" s="13"/>
      <c r="X6" s="13"/>
      <c r="Y6" s="13"/>
      <c r="Z6" s="13"/>
      <c r="AA6" s="13"/>
      <c r="AB6" s="13"/>
      <c r="AC6" s="13"/>
      <c r="AD6" s="13"/>
      <c r="AE6" s="13"/>
      <c r="AF6" s="13"/>
      <c r="AG6" s="13"/>
    </row>
    <row r="7" spans="1:33" s="53" customFormat="1" x14ac:dyDescent="0.25">
      <c r="A7" s="75" t="s">
        <v>289</v>
      </c>
      <c r="B7" s="77"/>
      <c r="C7" s="91">
        <f>C4+C6+C5</f>
        <v>530584553.62210023</v>
      </c>
      <c r="D7" s="19">
        <f>C7/$E$4</f>
        <v>13.51034202411587</v>
      </c>
      <c r="E7" s="72"/>
      <c r="F7" s="13"/>
      <c r="G7" s="13"/>
      <c r="K7" s="13"/>
      <c r="L7" s="13"/>
      <c r="N7" s="13"/>
      <c r="O7" s="13"/>
      <c r="P7" s="13"/>
      <c r="Q7" s="13"/>
      <c r="R7" s="13"/>
      <c r="S7" s="13"/>
      <c r="T7" s="13"/>
      <c r="U7" s="13"/>
      <c r="V7" s="13"/>
      <c r="W7" s="13"/>
      <c r="X7" s="13"/>
      <c r="Y7" s="13"/>
      <c r="Z7" s="13"/>
      <c r="AA7" s="13"/>
      <c r="AB7" s="13"/>
      <c r="AC7" s="13"/>
      <c r="AD7" s="13"/>
      <c r="AE7" s="13"/>
      <c r="AF7" s="13"/>
      <c r="AG7" s="13"/>
    </row>
    <row r="8" spans="1:33" s="53" customFormat="1" x14ac:dyDescent="0.25">
      <c r="A8" s="27"/>
      <c r="D8" s="13"/>
      <c r="E8" s="13"/>
      <c r="F8" s="13"/>
      <c r="G8" s="13"/>
      <c r="K8" s="13"/>
      <c r="L8" s="13"/>
      <c r="N8" s="13"/>
      <c r="O8" s="13"/>
      <c r="P8" s="13"/>
      <c r="Q8" s="13"/>
      <c r="R8" s="13"/>
      <c r="S8" s="13"/>
      <c r="T8" s="13"/>
      <c r="U8" s="13"/>
      <c r="V8" s="13"/>
      <c r="W8" s="13"/>
      <c r="X8" s="13"/>
      <c r="Y8" s="13"/>
      <c r="Z8" s="13"/>
      <c r="AA8" s="13"/>
      <c r="AB8" s="13"/>
      <c r="AC8" s="13"/>
      <c r="AD8" s="13"/>
      <c r="AE8" s="13"/>
      <c r="AF8" s="13"/>
      <c r="AG8" s="13"/>
    </row>
    <row r="9" spans="1:33" ht="38.25" customHeight="1" x14ac:dyDescent="0.25">
      <c r="A9" s="572" t="s">
        <v>46</v>
      </c>
      <c r="B9" s="572" t="s">
        <v>96</v>
      </c>
      <c r="C9" s="572" t="s">
        <v>303</v>
      </c>
      <c r="D9" s="572" t="s">
        <v>434</v>
      </c>
      <c r="E9" s="588" t="s">
        <v>471</v>
      </c>
      <c r="F9" s="286" t="s">
        <v>533</v>
      </c>
      <c r="G9" s="586" t="s">
        <v>404</v>
      </c>
    </row>
    <row r="10" spans="1:33" x14ac:dyDescent="0.25">
      <c r="A10" s="574"/>
      <c r="B10" s="574"/>
      <c r="C10" s="574"/>
      <c r="D10" s="574"/>
      <c r="E10" s="589"/>
      <c r="F10" s="300">
        <f>D7</f>
        <v>13.51034202411587</v>
      </c>
      <c r="G10" s="587"/>
    </row>
    <row r="11" spans="1:33" x14ac:dyDescent="0.25">
      <c r="A11" s="49">
        <f>'A) Base RI'!A7</f>
        <v>5401</v>
      </c>
      <c r="B11" s="292" t="str">
        <f>'A) Base RI'!B7</f>
        <v>Aigle</v>
      </c>
      <c r="C11" s="10">
        <f>'A) Base RI'!AO7</f>
        <v>10518</v>
      </c>
      <c r="D11" s="14">
        <f>'C) Prél. conj.'!H5</f>
        <v>1096618.04</v>
      </c>
      <c r="E11" s="10">
        <f>'D) Ecrêtage'!M5</f>
        <v>0</v>
      </c>
      <c r="F11" s="14">
        <f>$F$10*'D) Ecrêtage'!C5</f>
        <v>3846715.9470172413</v>
      </c>
      <c r="G11" s="55">
        <f>D11+F11+E11</f>
        <v>4943333.9870172413</v>
      </c>
      <c r="I11" s="36"/>
      <c r="J11" s="407"/>
    </row>
    <row r="12" spans="1:33" x14ac:dyDescent="0.25">
      <c r="A12" s="49">
        <f>'A) Base RI'!A8</f>
        <v>5402</v>
      </c>
      <c r="B12" s="292" t="str">
        <f>'A) Base RI'!B8</f>
        <v>Bex</v>
      </c>
      <c r="C12" s="10">
        <f>'A) Base RI'!AO8</f>
        <v>7828</v>
      </c>
      <c r="D12" s="442">
        <f>'C) Prél. conj.'!H6</f>
        <v>618427.77</v>
      </c>
      <c r="E12" s="10">
        <f>'D) Ecrêtage'!M6</f>
        <v>0</v>
      </c>
      <c r="F12" s="442">
        <f>$F$10*'D) Ecrêtage'!C6</f>
        <v>2421853.1486381534</v>
      </c>
      <c r="G12" s="55">
        <f t="shared" ref="G12:G75" si="0">D12+F12+E12</f>
        <v>3040280.9186381535</v>
      </c>
      <c r="I12" s="36"/>
      <c r="J12" s="407"/>
    </row>
    <row r="13" spans="1:33" x14ac:dyDescent="0.25">
      <c r="A13" s="49">
        <f>'A) Base RI'!A9</f>
        <v>5403</v>
      </c>
      <c r="B13" s="292" t="str">
        <f>'A) Base RI'!B9</f>
        <v>Chessel</v>
      </c>
      <c r="C13" s="10">
        <f>'A) Base RI'!AO9</f>
        <v>444</v>
      </c>
      <c r="D13" s="442">
        <f>'C) Prél. conj.'!H7</f>
        <v>58736.57</v>
      </c>
      <c r="E13" s="10">
        <f>'D) Ecrêtage'!M7</f>
        <v>0</v>
      </c>
      <c r="F13" s="442">
        <f>$F$10*'D) Ecrêtage'!C7</f>
        <v>145881.16413892072</v>
      </c>
      <c r="G13" s="55">
        <f t="shared" si="0"/>
        <v>204617.73413892073</v>
      </c>
      <c r="I13" s="36"/>
      <c r="J13" s="407"/>
    </row>
    <row r="14" spans="1:33" x14ac:dyDescent="0.25">
      <c r="A14" s="49">
        <f>'A) Base RI'!A10</f>
        <v>5404</v>
      </c>
      <c r="B14" s="292" t="str">
        <f>'A) Base RI'!B10</f>
        <v>Corbeyrier</v>
      </c>
      <c r="C14" s="10">
        <f>'A) Base RI'!AO10</f>
        <v>445</v>
      </c>
      <c r="D14" s="442">
        <f>'C) Prél. conj.'!H8</f>
        <v>60407.75</v>
      </c>
      <c r="E14" s="10">
        <f>'D) Ecrêtage'!M8</f>
        <v>0</v>
      </c>
      <c r="F14" s="442">
        <f>$F$10*'D) Ecrêtage'!C8</f>
        <v>152232.78123471828</v>
      </c>
      <c r="G14" s="55">
        <f t="shared" si="0"/>
        <v>212640.53123471828</v>
      </c>
      <c r="I14" s="36"/>
      <c r="J14" s="407"/>
    </row>
    <row r="15" spans="1:33" x14ac:dyDescent="0.25">
      <c r="A15" s="49">
        <f>'A) Base RI'!A11</f>
        <v>5405</v>
      </c>
      <c r="B15" s="292" t="str">
        <f>'A) Base RI'!B11</f>
        <v>Gryon</v>
      </c>
      <c r="C15" s="10">
        <f>'A) Base RI'!AO11</f>
        <v>1378</v>
      </c>
      <c r="D15" s="442">
        <f>'C) Prél. conj.'!H9</f>
        <v>422771.57</v>
      </c>
      <c r="E15" s="10">
        <f>'D) Ecrêtage'!M9</f>
        <v>26583.84775955039</v>
      </c>
      <c r="F15" s="442">
        <f>$F$10*'D) Ecrêtage'!C9</f>
        <v>921213.39830972208</v>
      </c>
      <c r="G15" s="55">
        <f t="shared" si="0"/>
        <v>1370568.8160692726</v>
      </c>
      <c r="I15" s="36"/>
      <c r="J15" s="407"/>
    </row>
    <row r="16" spans="1:33" x14ac:dyDescent="0.25">
      <c r="A16" s="49">
        <f>'A) Base RI'!A12</f>
        <v>5406</v>
      </c>
      <c r="B16" s="292" t="str">
        <f>'A) Base RI'!B12</f>
        <v>Lavey-Morcles</v>
      </c>
      <c r="C16" s="10">
        <f>'A) Base RI'!AO12</f>
        <v>944</v>
      </c>
      <c r="D16" s="442">
        <f>'C) Prél. conj.'!H10</f>
        <v>105236.46000000002</v>
      </c>
      <c r="E16" s="10">
        <f>'D) Ecrêtage'!M10</f>
        <v>0</v>
      </c>
      <c r="F16" s="442">
        <f>$F$10*'D) Ecrêtage'!C10</f>
        <v>295100.25453558349</v>
      </c>
      <c r="G16" s="55">
        <f t="shared" si="0"/>
        <v>400336.71453558351</v>
      </c>
      <c r="I16" s="36"/>
      <c r="J16" s="407"/>
    </row>
    <row r="17" spans="1:10" x14ac:dyDescent="0.25">
      <c r="A17" s="49">
        <f>'A) Base RI'!A13</f>
        <v>5407</v>
      </c>
      <c r="B17" s="292" t="str">
        <f>'A) Base RI'!B13</f>
        <v>Leysin</v>
      </c>
      <c r="C17" s="10">
        <f>'A) Base RI'!AO13</f>
        <v>3645</v>
      </c>
      <c r="D17" s="442">
        <f>'C) Prél. conj.'!H11</f>
        <v>394177.18</v>
      </c>
      <c r="E17" s="10">
        <f>'D) Ecrêtage'!M11</f>
        <v>0</v>
      </c>
      <c r="F17" s="442">
        <f>$F$10*'D) Ecrêtage'!C11</f>
        <v>1227038.9986620524</v>
      </c>
      <c r="G17" s="55">
        <f t="shared" si="0"/>
        <v>1621216.1786620524</v>
      </c>
      <c r="I17" s="36"/>
      <c r="J17" s="407"/>
    </row>
    <row r="18" spans="1:10" x14ac:dyDescent="0.25">
      <c r="A18" s="49">
        <f>'A) Base RI'!A14</f>
        <v>5408</v>
      </c>
      <c r="B18" s="292" t="str">
        <f>'A) Base RI'!B14</f>
        <v>Noville</v>
      </c>
      <c r="C18" s="10">
        <f>'A) Base RI'!AO14</f>
        <v>1170</v>
      </c>
      <c r="D18" s="442">
        <f>'C) Prél. conj.'!H12</f>
        <v>153977.38500000001</v>
      </c>
      <c r="E18" s="10">
        <f>'D) Ecrêtage'!M12</f>
        <v>0</v>
      </c>
      <c r="F18" s="442">
        <f>$F$10*'D) Ecrêtage'!C12</f>
        <v>592294.00933030329</v>
      </c>
      <c r="G18" s="55">
        <f t="shared" si="0"/>
        <v>746271.3943303033</v>
      </c>
    </row>
    <row r="19" spans="1:10" x14ac:dyDescent="0.25">
      <c r="A19" s="49">
        <f>'A) Base RI'!A15</f>
        <v>5409</v>
      </c>
      <c r="B19" s="292" t="str">
        <f>'A) Base RI'!B15</f>
        <v>Ollon</v>
      </c>
      <c r="C19" s="10">
        <f>'A) Base RI'!AO15</f>
        <v>7634</v>
      </c>
      <c r="D19" s="442">
        <f>'C) Prél. conj.'!H13</f>
        <v>1748442.625</v>
      </c>
      <c r="E19" s="10">
        <f>'D) Ecrêtage'!M13</f>
        <v>291882.46552321181</v>
      </c>
      <c r="F19" s="442">
        <f>$F$10*'D) Ecrêtage'!C13</f>
        <v>5258046.6429451006</v>
      </c>
      <c r="G19" s="55">
        <f t="shared" si="0"/>
        <v>7298371.7334683128</v>
      </c>
    </row>
    <row r="20" spans="1:10" x14ac:dyDescent="0.25">
      <c r="A20" s="49">
        <f>'A) Base RI'!A16</f>
        <v>5410</v>
      </c>
      <c r="B20" s="292" t="str">
        <f>'A) Base RI'!B16</f>
        <v>Ormont-Dessous</v>
      </c>
      <c r="C20" s="10">
        <f>'A) Base RI'!AO16</f>
        <v>1180</v>
      </c>
      <c r="D20" s="442">
        <f>'C) Prél. conj.'!H14</f>
        <v>219597.095</v>
      </c>
      <c r="E20" s="10">
        <f>'D) Ecrêtage'!M14</f>
        <v>0</v>
      </c>
      <c r="F20" s="442">
        <f>$F$10*'D) Ecrêtage'!C14</f>
        <v>533963.10207566875</v>
      </c>
      <c r="G20" s="55">
        <f t="shared" si="0"/>
        <v>753560.19707566872</v>
      </c>
    </row>
    <row r="21" spans="1:10" x14ac:dyDescent="0.25">
      <c r="A21" s="49">
        <f>'A) Base RI'!A17</f>
        <v>5411</v>
      </c>
      <c r="B21" s="292" t="str">
        <f>'A) Base RI'!B17</f>
        <v>Ormont-Dessus</v>
      </c>
      <c r="C21" s="10">
        <f>'A) Base RI'!AO17</f>
        <v>1466</v>
      </c>
      <c r="D21" s="442">
        <f>'C) Prél. conj.'!H15</f>
        <v>463290.61499999993</v>
      </c>
      <c r="E21" s="10">
        <f>'D) Ecrêtage'!M15</f>
        <v>0</v>
      </c>
      <c r="F21" s="442">
        <f>$F$10*'D) Ecrêtage'!C15</f>
        <v>919370.47299144662</v>
      </c>
      <c r="G21" s="55">
        <f t="shared" si="0"/>
        <v>1382661.0879914465</v>
      </c>
    </row>
    <row r="22" spans="1:10" x14ac:dyDescent="0.25">
      <c r="A22" s="49">
        <f>'A) Base RI'!A18</f>
        <v>5412</v>
      </c>
      <c r="B22" s="292" t="str">
        <f>'A) Base RI'!B18</f>
        <v>Rennaz</v>
      </c>
      <c r="C22" s="10">
        <f>'A) Base RI'!AO18</f>
        <v>889</v>
      </c>
      <c r="D22" s="442">
        <f>'C) Prél. conj.'!H16</f>
        <v>302976.09999999998</v>
      </c>
      <c r="E22" s="10">
        <f>'D) Ecrêtage'!M16</f>
        <v>0</v>
      </c>
      <c r="F22" s="442">
        <f>$F$10*'D) Ecrêtage'!C16</f>
        <v>327953.8447693612</v>
      </c>
      <c r="G22" s="55">
        <f t="shared" si="0"/>
        <v>630929.94476936117</v>
      </c>
    </row>
    <row r="23" spans="1:10" x14ac:dyDescent="0.25">
      <c r="A23" s="49">
        <f>'A) Base RI'!A19</f>
        <v>5413</v>
      </c>
      <c r="B23" s="292" t="str">
        <f>'A) Base RI'!B19</f>
        <v>Roche</v>
      </c>
      <c r="C23" s="10">
        <f>'A) Base RI'!AO19</f>
        <v>1868</v>
      </c>
      <c r="D23" s="442">
        <f>'C) Prél. conj.'!H17</f>
        <v>222798.35499999998</v>
      </c>
      <c r="E23" s="10">
        <f>'D) Ecrêtage'!M17</f>
        <v>0</v>
      </c>
      <c r="F23" s="442">
        <f>$F$10*'D) Ecrêtage'!C17</f>
        <v>648597.31722638092</v>
      </c>
      <c r="G23" s="55">
        <f t="shared" si="0"/>
        <v>871395.67222638091</v>
      </c>
    </row>
    <row r="24" spans="1:10" x14ac:dyDescent="0.25">
      <c r="A24" s="49">
        <f>'A) Base RI'!A20</f>
        <v>5414</v>
      </c>
      <c r="B24" s="292" t="str">
        <f>'A) Base RI'!B20</f>
        <v>Villeneuve</v>
      </c>
      <c r="C24" s="10">
        <f>'A) Base RI'!AO20</f>
        <v>5837</v>
      </c>
      <c r="D24" s="442">
        <f>'C) Prél. conj.'!H18</f>
        <v>880054.3899999999</v>
      </c>
      <c r="E24" s="10">
        <f>'D) Ecrêtage'!M18</f>
        <v>0</v>
      </c>
      <c r="F24" s="442">
        <f>$F$10*'D) Ecrêtage'!C18</f>
        <v>2154476.126718252</v>
      </c>
      <c r="G24" s="55">
        <f t="shared" si="0"/>
        <v>3034530.5167182516</v>
      </c>
    </row>
    <row r="25" spans="1:10" x14ac:dyDescent="0.25">
      <c r="A25" s="49">
        <f>'A) Base RI'!A21</f>
        <v>5415</v>
      </c>
      <c r="B25" s="292" t="str">
        <f>'A) Base RI'!B21</f>
        <v>Yvorne</v>
      </c>
      <c r="C25" s="10">
        <f>'A) Base RI'!AO21</f>
        <v>1070</v>
      </c>
      <c r="D25" s="442">
        <f>'C) Prél. conj.'!H19</f>
        <v>183300.465</v>
      </c>
      <c r="E25" s="10">
        <f>'D) Ecrêtage'!M19</f>
        <v>0</v>
      </c>
      <c r="F25" s="442">
        <f>$F$10*'D) Ecrêtage'!C19</f>
        <v>515487.371396687</v>
      </c>
      <c r="G25" s="55">
        <f t="shared" si="0"/>
        <v>698787.83639668697</v>
      </c>
    </row>
    <row r="26" spans="1:10" x14ac:dyDescent="0.25">
      <c r="A26" s="49">
        <f>'A) Base RI'!A22</f>
        <v>5421</v>
      </c>
      <c r="B26" s="292" t="str">
        <f>'A) Base RI'!B22</f>
        <v>Apples</v>
      </c>
      <c r="C26" s="10">
        <f>'A) Base RI'!AO22</f>
        <v>1457</v>
      </c>
      <c r="D26" s="442">
        <f>'C) Prél. conj.'!H20</f>
        <v>102260.75499999999</v>
      </c>
      <c r="E26" s="10">
        <f>'D) Ecrêtage'!M20</f>
        <v>0</v>
      </c>
      <c r="F26" s="442">
        <f>$F$10*'D) Ecrêtage'!C20</f>
        <v>895919.43875907292</v>
      </c>
      <c r="G26" s="55">
        <f t="shared" si="0"/>
        <v>998180.19375907292</v>
      </c>
    </row>
    <row r="27" spans="1:10" x14ac:dyDescent="0.25">
      <c r="A27" s="49">
        <f>'A) Base RI'!A23</f>
        <v>5422</v>
      </c>
      <c r="B27" s="292" t="str">
        <f>'A) Base RI'!B23</f>
        <v>Aubonne</v>
      </c>
      <c r="C27" s="10">
        <f>'A) Base RI'!AO23</f>
        <v>3241</v>
      </c>
      <c r="D27" s="442">
        <f>'C) Prél. conj.'!H21</f>
        <v>823931.61499999999</v>
      </c>
      <c r="E27" s="10">
        <f>'D) Ecrêtage'!M21</f>
        <v>1615253.8928632408</v>
      </c>
      <c r="F27" s="442">
        <f>$F$10*'D) Ecrêtage'!C21</f>
        <v>3274747.4767205515</v>
      </c>
      <c r="G27" s="55">
        <f t="shared" si="0"/>
        <v>5713932.9845837923</v>
      </c>
    </row>
    <row r="28" spans="1:10" x14ac:dyDescent="0.25">
      <c r="A28" s="49">
        <f>'A) Base RI'!A24</f>
        <v>5423</v>
      </c>
      <c r="B28" s="292" t="str">
        <f>'A) Base RI'!B24</f>
        <v>Ballens</v>
      </c>
      <c r="C28" s="10">
        <f>'A) Base RI'!AO24</f>
        <v>562</v>
      </c>
      <c r="D28" s="442">
        <f>'C) Prél. conj.'!H22</f>
        <v>38805.050000000003</v>
      </c>
      <c r="E28" s="10">
        <f>'D) Ecrêtage'!M22</f>
        <v>0</v>
      </c>
      <c r="F28" s="442">
        <f>$F$10*'D) Ecrêtage'!C22</f>
        <v>231226.06508308818</v>
      </c>
      <c r="G28" s="55">
        <f t="shared" si="0"/>
        <v>270031.11508308817</v>
      </c>
    </row>
    <row r="29" spans="1:10" x14ac:dyDescent="0.25">
      <c r="A29" s="49">
        <f>'A) Base RI'!A25</f>
        <v>5424</v>
      </c>
      <c r="B29" s="292" t="str">
        <f>'A) Base RI'!B25</f>
        <v>Berolle</v>
      </c>
      <c r="C29" s="10">
        <f>'A) Base RI'!AO25</f>
        <v>313</v>
      </c>
      <c r="D29" s="442">
        <f>'C) Prél. conj.'!H23</f>
        <v>21959.35</v>
      </c>
      <c r="E29" s="10">
        <f>'D) Ecrêtage'!M23</f>
        <v>0</v>
      </c>
      <c r="F29" s="442">
        <f>$F$10*'D) Ecrêtage'!C23</f>
        <v>123146.45618564235</v>
      </c>
      <c r="G29" s="55">
        <f t="shared" si="0"/>
        <v>145105.80618564234</v>
      </c>
    </row>
    <row r="30" spans="1:10" x14ac:dyDescent="0.25">
      <c r="A30" s="49">
        <f>'A) Base RI'!A26</f>
        <v>5425</v>
      </c>
      <c r="B30" s="292" t="str">
        <f>'A) Base RI'!B26</f>
        <v>Bière</v>
      </c>
      <c r="C30" s="10">
        <f>'A) Base RI'!AO26</f>
        <v>1627</v>
      </c>
      <c r="D30" s="442">
        <f>'C) Prél. conj.'!H24</f>
        <v>143589.85499999998</v>
      </c>
      <c r="E30" s="10">
        <f>'D) Ecrêtage'!M24</f>
        <v>0</v>
      </c>
      <c r="F30" s="442">
        <f>$F$10*'D) Ecrêtage'!C24</f>
        <v>543277.4564828811</v>
      </c>
      <c r="G30" s="55">
        <f t="shared" si="0"/>
        <v>686867.31148288108</v>
      </c>
    </row>
    <row r="31" spans="1:10" x14ac:dyDescent="0.25">
      <c r="A31" s="49">
        <f>'A) Base RI'!A27</f>
        <v>5426</v>
      </c>
      <c r="B31" s="292" t="str">
        <f>'A) Base RI'!B27</f>
        <v>Bougy-Villars</v>
      </c>
      <c r="C31" s="10">
        <f>'A) Base RI'!AO27</f>
        <v>477</v>
      </c>
      <c r="D31" s="442">
        <f>'C) Prél. conj.'!H25</f>
        <v>144309.745</v>
      </c>
      <c r="E31" s="10">
        <f>'D) Ecrêtage'!M25</f>
        <v>800247.87838053564</v>
      </c>
      <c r="F31" s="442">
        <f>$F$10*'D) Ecrêtage'!C25</f>
        <v>751212.50791451149</v>
      </c>
      <c r="G31" s="55">
        <f t="shared" si="0"/>
        <v>1695770.1312950472</v>
      </c>
    </row>
    <row r="32" spans="1:10" x14ac:dyDescent="0.25">
      <c r="A32" s="49">
        <f>'A) Base RI'!A28</f>
        <v>5427</v>
      </c>
      <c r="B32" s="292" t="str">
        <f>'A) Base RI'!B28</f>
        <v>Féchy</v>
      </c>
      <c r="C32" s="10">
        <f>'A) Base RI'!AO28</f>
        <v>869</v>
      </c>
      <c r="D32" s="442">
        <f>'C) Prél. conj.'!H26</f>
        <v>102389.95</v>
      </c>
      <c r="E32" s="10">
        <f>'D) Ecrêtage'!M26</f>
        <v>712588.94751742552</v>
      </c>
      <c r="F32" s="442">
        <f>$F$10*'D) Ecrêtage'!C26</f>
        <v>1040566.9249491487</v>
      </c>
      <c r="G32" s="55">
        <f t="shared" si="0"/>
        <v>1855545.8224665741</v>
      </c>
    </row>
    <row r="33" spans="1:7" x14ac:dyDescent="0.25">
      <c r="A33" s="49">
        <f>'A) Base RI'!A29</f>
        <v>5428</v>
      </c>
      <c r="B33" s="292" t="str">
        <f>'A) Base RI'!B29</f>
        <v>Gimel</v>
      </c>
      <c r="C33" s="10">
        <f>'A) Base RI'!AO29</f>
        <v>2307</v>
      </c>
      <c r="D33" s="442">
        <f>'C) Prél. conj.'!H27</f>
        <v>492739.685</v>
      </c>
      <c r="E33" s="10">
        <f>'D) Ecrêtage'!M27</f>
        <v>0</v>
      </c>
      <c r="F33" s="442">
        <f>$F$10*'D) Ecrêtage'!C27</f>
        <v>948334.45017256739</v>
      </c>
      <c r="G33" s="55">
        <f t="shared" si="0"/>
        <v>1441074.1351725673</v>
      </c>
    </row>
    <row r="34" spans="1:7" x14ac:dyDescent="0.25">
      <c r="A34" s="49">
        <f>'A) Base RI'!A30</f>
        <v>5429</v>
      </c>
      <c r="B34" s="292" t="str">
        <f>'A) Base RI'!B30</f>
        <v>Longirod</v>
      </c>
      <c r="C34" s="10">
        <f>'A) Base RI'!AO30</f>
        <v>494</v>
      </c>
      <c r="D34" s="442">
        <f>'C) Prél. conj.'!H28</f>
        <v>46681.75</v>
      </c>
      <c r="E34" s="10">
        <f>'D) Ecrêtage'!M28</f>
        <v>0</v>
      </c>
      <c r="F34" s="442">
        <f>$F$10*'D) Ecrêtage'!C28</f>
        <v>218067.37640232182</v>
      </c>
      <c r="G34" s="55">
        <f t="shared" si="0"/>
        <v>264749.12640232185</v>
      </c>
    </row>
    <row r="35" spans="1:7" x14ac:dyDescent="0.25">
      <c r="A35" s="49">
        <f>'A) Base RI'!A31</f>
        <v>5430</v>
      </c>
      <c r="B35" s="292" t="str">
        <f>'A) Base RI'!B31</f>
        <v>Marchissy</v>
      </c>
      <c r="C35" s="10">
        <f>'A) Base RI'!AO31</f>
        <v>481</v>
      </c>
      <c r="D35" s="442">
        <f>'C) Prél. conj.'!H29</f>
        <v>43957.315000000002</v>
      </c>
      <c r="E35" s="10">
        <f>'D) Ecrêtage'!M29</f>
        <v>0</v>
      </c>
      <c r="F35" s="442">
        <f>$F$10*'D) Ecrêtage'!C29</f>
        <v>200607.64761596799</v>
      </c>
      <c r="G35" s="55">
        <f t="shared" si="0"/>
        <v>244564.96261596799</v>
      </c>
    </row>
    <row r="36" spans="1:7" x14ac:dyDescent="0.25">
      <c r="A36" s="49">
        <f>'A) Base RI'!A32</f>
        <v>5431</v>
      </c>
      <c r="B36" s="292" t="str">
        <f>'A) Base RI'!B32</f>
        <v>Mollens</v>
      </c>
      <c r="C36" s="10">
        <f>'A) Base RI'!AO32</f>
        <v>330</v>
      </c>
      <c r="D36" s="442">
        <f>'C) Prél. conj.'!H30</f>
        <v>86656.78</v>
      </c>
      <c r="E36" s="10">
        <f>'D) Ecrêtage'!M30</f>
        <v>0</v>
      </c>
      <c r="F36" s="442">
        <f>$F$10*'D) Ecrêtage'!C30</f>
        <v>126098.4358720911</v>
      </c>
      <c r="G36" s="55">
        <f t="shared" si="0"/>
        <v>212755.2158720911</v>
      </c>
    </row>
    <row r="37" spans="1:7" x14ac:dyDescent="0.25">
      <c r="A37" s="49">
        <f>'A) Base RI'!A33</f>
        <v>5432</v>
      </c>
      <c r="B37" s="292" t="str">
        <f>'A) Base RI'!B33</f>
        <v>Montherod</v>
      </c>
      <c r="C37" s="10">
        <f>'A) Base RI'!AO33</f>
        <v>523</v>
      </c>
      <c r="D37" s="442">
        <f>'C) Prél. conj.'!H31</f>
        <v>60275.345000000001</v>
      </c>
      <c r="E37" s="10">
        <f>'D) Ecrêtage'!M31</f>
        <v>0</v>
      </c>
      <c r="F37" s="442">
        <f>$F$10*'D) Ecrêtage'!C31</f>
        <v>221968.29938863192</v>
      </c>
      <c r="G37" s="55">
        <f t="shared" si="0"/>
        <v>282243.64438863192</v>
      </c>
    </row>
    <row r="38" spans="1:7" x14ac:dyDescent="0.25">
      <c r="A38" s="49">
        <f>'A) Base RI'!A34</f>
        <v>5434</v>
      </c>
      <c r="B38" s="292" t="str">
        <f>'A) Base RI'!B34</f>
        <v>Saint-George</v>
      </c>
      <c r="C38" s="10">
        <f>'A) Base RI'!AO34</f>
        <v>1074</v>
      </c>
      <c r="D38" s="442">
        <f>'C) Prél. conj.'!H32</f>
        <v>115039.07999999999</v>
      </c>
      <c r="E38" s="10">
        <f>'D) Ecrêtage'!M32</f>
        <v>0</v>
      </c>
      <c r="F38" s="442">
        <f>$F$10*'D) Ecrêtage'!C32</f>
        <v>551178.37320125662</v>
      </c>
      <c r="G38" s="55">
        <f t="shared" si="0"/>
        <v>666217.45320125658</v>
      </c>
    </row>
    <row r="39" spans="1:7" x14ac:dyDescent="0.25">
      <c r="A39" s="49">
        <f>'A) Base RI'!A35</f>
        <v>5435</v>
      </c>
      <c r="B39" s="292" t="str">
        <f>'A) Base RI'!B35</f>
        <v>Saint-Livres</v>
      </c>
      <c r="C39" s="10">
        <f>'A) Base RI'!AO35</f>
        <v>683</v>
      </c>
      <c r="D39" s="442">
        <f>'C) Prél. conj.'!H33</f>
        <v>69711.464999999997</v>
      </c>
      <c r="E39" s="10">
        <f>'D) Ecrêtage'!M33</f>
        <v>0</v>
      </c>
      <c r="F39" s="442">
        <f>$F$10*'D) Ecrêtage'!C33</f>
        <v>355950.36319980951</v>
      </c>
      <c r="G39" s="55">
        <f t="shared" si="0"/>
        <v>425661.82819980953</v>
      </c>
    </row>
    <row r="40" spans="1:7" x14ac:dyDescent="0.25">
      <c r="A40" s="49">
        <f>'A) Base RI'!A36</f>
        <v>5436</v>
      </c>
      <c r="B40" s="292" t="str">
        <f>'A) Base RI'!B36</f>
        <v>Saint-Oyens</v>
      </c>
      <c r="C40" s="10">
        <f>'A) Base RI'!AO36</f>
        <v>461</v>
      </c>
      <c r="D40" s="442">
        <f>'C) Prél. conj.'!H34</f>
        <v>30911.230000000003</v>
      </c>
      <c r="E40" s="10">
        <f>'D) Ecrêtage'!M34</f>
        <v>0</v>
      </c>
      <c r="F40" s="442">
        <f>$F$10*'D) Ecrêtage'!C34</f>
        <v>226374.40680064942</v>
      </c>
      <c r="G40" s="55">
        <f t="shared" si="0"/>
        <v>257285.63680064943</v>
      </c>
    </row>
    <row r="41" spans="1:7" x14ac:dyDescent="0.25">
      <c r="A41" s="49">
        <f>'A) Base RI'!A37</f>
        <v>5437</v>
      </c>
      <c r="B41" s="292" t="str">
        <f>'A) Base RI'!B37</f>
        <v>Saubraz</v>
      </c>
      <c r="C41" s="10">
        <f>'A) Base RI'!AO37</f>
        <v>423</v>
      </c>
      <c r="D41" s="442">
        <f>'C) Prél. conj.'!H35</f>
        <v>53779.3</v>
      </c>
      <c r="E41" s="10">
        <f>'D) Ecrêtage'!M35</f>
        <v>0</v>
      </c>
      <c r="F41" s="442">
        <f>$F$10*'D) Ecrêtage'!C35</f>
        <v>180929.22872601671</v>
      </c>
      <c r="G41" s="55">
        <f t="shared" si="0"/>
        <v>234708.5287260167</v>
      </c>
    </row>
    <row r="42" spans="1:7" x14ac:dyDescent="0.25">
      <c r="A42" s="49">
        <f>'A) Base RI'!A38</f>
        <v>5451</v>
      </c>
      <c r="B42" s="292" t="str">
        <f>'A) Base RI'!B38</f>
        <v>Avenches</v>
      </c>
      <c r="C42" s="10">
        <f>'A) Base RI'!AO38</f>
        <v>4482</v>
      </c>
      <c r="D42" s="442">
        <f>'C) Prél. conj.'!H36</f>
        <v>472539.95499999996</v>
      </c>
      <c r="E42" s="10">
        <f>'D) Ecrêtage'!M36</f>
        <v>0</v>
      </c>
      <c r="F42" s="442">
        <f>$F$10*'D) Ecrêtage'!C36</f>
        <v>1749600.2608954245</v>
      </c>
      <c r="G42" s="55">
        <f t="shared" si="0"/>
        <v>2222140.2158954246</v>
      </c>
    </row>
    <row r="43" spans="1:7" x14ac:dyDescent="0.25">
      <c r="A43" s="49">
        <f>'A) Base RI'!A39</f>
        <v>5456</v>
      </c>
      <c r="B43" s="292" t="str">
        <f>'A) Base RI'!B39</f>
        <v>Cudrefin</v>
      </c>
      <c r="C43" s="10">
        <f>'A) Base RI'!AO39</f>
        <v>1780</v>
      </c>
      <c r="D43" s="442">
        <f>'C) Prél. conj.'!H37</f>
        <v>182610.155</v>
      </c>
      <c r="E43" s="10">
        <f>'D) Ecrêtage'!M37</f>
        <v>0</v>
      </c>
      <c r="F43" s="442">
        <f>$F$10*'D) Ecrêtage'!C37</f>
        <v>867727.83573012566</v>
      </c>
      <c r="G43" s="55">
        <f t="shared" si="0"/>
        <v>1050337.9907301257</v>
      </c>
    </row>
    <row r="44" spans="1:7" x14ac:dyDescent="0.25">
      <c r="A44" s="49">
        <f>'A) Base RI'!A40</f>
        <v>5458</v>
      </c>
      <c r="B44" s="292" t="str">
        <f>'A) Base RI'!B40</f>
        <v>Faoug</v>
      </c>
      <c r="C44" s="10">
        <f>'A) Base RI'!AO40</f>
        <v>881</v>
      </c>
      <c r="D44" s="442">
        <f>'C) Prél. conj.'!H38</f>
        <v>82590.789999999994</v>
      </c>
      <c r="E44" s="10">
        <f>'D) Ecrêtage'!M38</f>
        <v>0</v>
      </c>
      <c r="F44" s="442">
        <f>$F$10*'D) Ecrêtage'!C38</f>
        <v>435011.45189887343</v>
      </c>
      <c r="G44" s="55">
        <f t="shared" si="0"/>
        <v>517602.24189887341</v>
      </c>
    </row>
    <row r="45" spans="1:7" x14ac:dyDescent="0.25">
      <c r="A45" s="49">
        <f>'A) Base RI'!A41</f>
        <v>5464</v>
      </c>
      <c r="B45" s="292" t="str">
        <f>'A) Base RI'!B41</f>
        <v>Vully-les-Lacs</v>
      </c>
      <c r="C45" s="10">
        <f>'A) Base RI'!AO41</f>
        <v>3360</v>
      </c>
      <c r="D45" s="442">
        <f>'C) Prél. conj.'!H39</f>
        <v>232415.77000000002</v>
      </c>
      <c r="E45" s="10">
        <f>'D) Ecrêtage'!M39</f>
        <v>0</v>
      </c>
      <c r="F45" s="442">
        <f>$F$10*'D) Ecrêtage'!C39</f>
        <v>1507717.9480594238</v>
      </c>
      <c r="G45" s="55">
        <f t="shared" si="0"/>
        <v>1740133.7180594238</v>
      </c>
    </row>
    <row r="46" spans="1:7" x14ac:dyDescent="0.25">
      <c r="A46" s="49">
        <f>'A) Base RI'!A42</f>
        <v>5471</v>
      </c>
      <c r="B46" s="292" t="str">
        <f>'A) Base RI'!B42</f>
        <v>Bettens</v>
      </c>
      <c r="C46" s="10">
        <f>'A) Base RI'!AO42</f>
        <v>636</v>
      </c>
      <c r="D46" s="442">
        <f>'C) Prél. conj.'!H40</f>
        <v>35288.25</v>
      </c>
      <c r="E46" s="10">
        <f>'D) Ecrêtage'!M40</f>
        <v>0</v>
      </c>
      <c r="F46" s="442">
        <f>$F$10*'D) Ecrêtage'!C40</f>
        <v>275412.141942747</v>
      </c>
      <c r="G46" s="55">
        <f t="shared" si="0"/>
        <v>310700.391942747</v>
      </c>
    </row>
    <row r="47" spans="1:7" x14ac:dyDescent="0.25">
      <c r="A47" s="49">
        <f>'A) Base RI'!A43</f>
        <v>5472</v>
      </c>
      <c r="B47" s="292" t="str">
        <f>'A) Base RI'!B43</f>
        <v>Bournens</v>
      </c>
      <c r="C47" s="10">
        <f>'A) Base RI'!AO43</f>
        <v>490</v>
      </c>
      <c r="D47" s="442">
        <f>'C) Prél. conj.'!H41</f>
        <v>87179.075000000012</v>
      </c>
      <c r="E47" s="10">
        <f>'D) Ecrêtage'!M41</f>
        <v>0</v>
      </c>
      <c r="F47" s="442">
        <f>$F$10*'D) Ecrêtage'!C41</f>
        <v>272140.99981085368</v>
      </c>
      <c r="G47" s="55">
        <f t="shared" si="0"/>
        <v>359320.07481085369</v>
      </c>
    </row>
    <row r="48" spans="1:7" x14ac:dyDescent="0.25">
      <c r="A48" s="49">
        <f>'A) Base RI'!A44</f>
        <v>5473</v>
      </c>
      <c r="B48" s="292" t="str">
        <f>'A) Base RI'!B44</f>
        <v>Boussens</v>
      </c>
      <c r="C48" s="10">
        <f>'A) Base RI'!AO44</f>
        <v>999</v>
      </c>
      <c r="D48" s="442">
        <f>'C) Prél. conj.'!H42</f>
        <v>48525.184999999998</v>
      </c>
      <c r="E48" s="10">
        <f>'D) Ecrêtage'!M42</f>
        <v>0</v>
      </c>
      <c r="F48" s="442">
        <f>$F$10*'D) Ecrêtage'!C42</f>
        <v>510355.06941498886</v>
      </c>
      <c r="G48" s="55">
        <f t="shared" si="0"/>
        <v>558880.25441498891</v>
      </c>
    </row>
    <row r="49" spans="1:7" x14ac:dyDescent="0.25">
      <c r="A49" s="49">
        <f>'A) Base RI'!A45</f>
        <v>5474</v>
      </c>
      <c r="B49" s="292" t="str">
        <f>'A) Base RI'!B45</f>
        <v>La Chaux (Cossonay)</v>
      </c>
      <c r="C49" s="10">
        <f>'A) Base RI'!AO45</f>
        <v>391</v>
      </c>
      <c r="D49" s="442">
        <f>'C) Prél. conj.'!H43</f>
        <v>54275.21</v>
      </c>
      <c r="E49" s="10">
        <f>'D) Ecrêtage'!M43</f>
        <v>0</v>
      </c>
      <c r="F49" s="442">
        <f>$F$10*'D) Ecrêtage'!C43</f>
        <v>178100.37528725801</v>
      </c>
      <c r="G49" s="55">
        <f t="shared" si="0"/>
        <v>232375.585287258</v>
      </c>
    </row>
    <row r="50" spans="1:7" x14ac:dyDescent="0.25">
      <c r="A50" s="49">
        <f>'A) Base RI'!A46</f>
        <v>5475</v>
      </c>
      <c r="B50" s="292" t="str">
        <f>'A) Base RI'!B46</f>
        <v>Chavannes-le-Veyron</v>
      </c>
      <c r="C50" s="10">
        <f>'A) Base RI'!AO46</f>
        <v>152</v>
      </c>
      <c r="D50" s="442">
        <f>'C) Prél. conj.'!H44</f>
        <v>11763.9</v>
      </c>
      <c r="E50" s="10">
        <f>'D) Ecrêtage'!M44</f>
        <v>0</v>
      </c>
      <c r="F50" s="442">
        <f>$F$10*'D) Ecrêtage'!C44</f>
        <v>52348.043237806356</v>
      </c>
      <c r="G50" s="55">
        <f t="shared" si="0"/>
        <v>64111.943237806358</v>
      </c>
    </row>
    <row r="51" spans="1:7" x14ac:dyDescent="0.25">
      <c r="A51" s="49">
        <f>'A) Base RI'!A47</f>
        <v>5476</v>
      </c>
      <c r="B51" s="292" t="str">
        <f>'A) Base RI'!B47</f>
        <v>Chevilly</v>
      </c>
      <c r="C51" s="10">
        <f>'A) Base RI'!AO47</f>
        <v>317</v>
      </c>
      <c r="D51" s="442">
        <f>'C) Prél. conj.'!H45</f>
        <v>6615.55</v>
      </c>
      <c r="E51" s="10">
        <f>'D) Ecrêtage'!M45</f>
        <v>0</v>
      </c>
      <c r="F51" s="442">
        <f>$F$10*'D) Ecrêtage'!C45</f>
        <v>159954.29954299194</v>
      </c>
      <c r="G51" s="55">
        <f t="shared" si="0"/>
        <v>166569.84954299193</v>
      </c>
    </row>
    <row r="52" spans="1:7" x14ac:dyDescent="0.25">
      <c r="A52" s="49">
        <f>'A) Base RI'!A48</f>
        <v>5477</v>
      </c>
      <c r="B52" s="292" t="str">
        <f>'A) Base RI'!B48</f>
        <v>Cossonay</v>
      </c>
      <c r="C52" s="10">
        <f>'A) Base RI'!AO48</f>
        <v>4222</v>
      </c>
      <c r="D52" s="442">
        <f>'C) Prél. conj.'!H46</f>
        <v>731719.89999999991</v>
      </c>
      <c r="E52" s="10">
        <f>'D) Ecrêtage'!M46</f>
        <v>0</v>
      </c>
      <c r="F52" s="442">
        <f>$F$10*'D) Ecrêtage'!C46</f>
        <v>1609811.73287061</v>
      </c>
      <c r="G52" s="55">
        <f t="shared" si="0"/>
        <v>2341531.6328706099</v>
      </c>
    </row>
    <row r="53" spans="1:7" x14ac:dyDescent="0.25">
      <c r="A53" s="49">
        <f>'A) Base RI'!A49</f>
        <v>5478</v>
      </c>
      <c r="B53" s="292" t="str">
        <f>'A) Base RI'!B49</f>
        <v>Cottens</v>
      </c>
      <c r="C53" s="10">
        <f>'A) Base RI'!AO49</f>
        <v>491</v>
      </c>
      <c r="D53" s="442">
        <f>'C) Prél. conj.'!H47</f>
        <v>4638.7250000000004</v>
      </c>
      <c r="E53" s="10">
        <f>'D) Ecrêtage'!M47</f>
        <v>0</v>
      </c>
      <c r="F53" s="442">
        <f>$F$10*'D) Ecrêtage'!C47</f>
        <v>220103.70787433331</v>
      </c>
      <c r="G53" s="55">
        <f t="shared" si="0"/>
        <v>224742.43287433332</v>
      </c>
    </row>
    <row r="54" spans="1:7" x14ac:dyDescent="0.25">
      <c r="A54" s="49">
        <f>'A) Base RI'!A50</f>
        <v>5479</v>
      </c>
      <c r="B54" s="292" t="str">
        <f>'A) Base RI'!B50</f>
        <v>Cuarnens</v>
      </c>
      <c r="C54" s="10">
        <f>'A) Base RI'!AO50</f>
        <v>527</v>
      </c>
      <c r="D54" s="442">
        <f>'C) Prél. conj.'!H48</f>
        <v>83703.434999999998</v>
      </c>
      <c r="E54" s="10">
        <f>'D) Ecrêtage'!M48</f>
        <v>0</v>
      </c>
      <c r="F54" s="442">
        <f>$F$10*'D) Ecrêtage'!C48</f>
        <v>244118.07701724078</v>
      </c>
      <c r="G54" s="55">
        <f t="shared" si="0"/>
        <v>327821.51201724075</v>
      </c>
    </row>
    <row r="55" spans="1:7" x14ac:dyDescent="0.25">
      <c r="A55" s="49">
        <f>'A) Base RI'!A51</f>
        <v>5480</v>
      </c>
      <c r="B55" s="292" t="str">
        <f>'A) Base RI'!B51</f>
        <v>Daillens</v>
      </c>
      <c r="C55" s="10">
        <f>'A) Base RI'!AO51</f>
        <v>1048</v>
      </c>
      <c r="D55" s="442">
        <f>'C) Prél. conj.'!H49</f>
        <v>166502.655</v>
      </c>
      <c r="E55" s="10">
        <f>'D) Ecrêtage'!M49</f>
        <v>0</v>
      </c>
      <c r="F55" s="442">
        <f>$F$10*'D) Ecrêtage'!C49</f>
        <v>553619.24400183721</v>
      </c>
      <c r="G55" s="55">
        <f t="shared" si="0"/>
        <v>720121.89900183724</v>
      </c>
    </row>
    <row r="56" spans="1:7" x14ac:dyDescent="0.25">
      <c r="A56" s="49">
        <f>'A) Base RI'!A52</f>
        <v>5481</v>
      </c>
      <c r="B56" s="292" t="str">
        <f>'A) Base RI'!B52</f>
        <v>Dizy</v>
      </c>
      <c r="C56" s="10">
        <f>'A) Base RI'!AO52</f>
        <v>224</v>
      </c>
      <c r="D56" s="442">
        <f>'C) Prél. conj.'!H50</f>
        <v>3836.7750000000001</v>
      </c>
      <c r="E56" s="10">
        <f>'D) Ecrêtage'!M50</f>
        <v>0</v>
      </c>
      <c r="F56" s="442">
        <f>$F$10*'D) Ecrêtage'!C50</f>
        <v>109760.27753310377</v>
      </c>
      <c r="G56" s="55">
        <f t="shared" si="0"/>
        <v>113597.05253310376</v>
      </c>
    </row>
    <row r="57" spans="1:7" x14ac:dyDescent="0.25">
      <c r="A57" s="49">
        <f>'A) Base RI'!A53</f>
        <v>5482</v>
      </c>
      <c r="B57" s="292" t="str">
        <f>'A) Base RI'!B53</f>
        <v>Eclépens</v>
      </c>
      <c r="C57" s="10">
        <f>'A) Base RI'!AO53</f>
        <v>1220</v>
      </c>
      <c r="D57" s="442">
        <f>'C) Prél. conj.'!H51</f>
        <v>154170.92499999999</v>
      </c>
      <c r="E57" s="10">
        <f>'D) Ecrêtage'!M51</f>
        <v>113540.1207613571</v>
      </c>
      <c r="F57" s="442">
        <f>$F$10*'D) Ecrêtage'!C51</f>
        <v>958044.43082719366</v>
      </c>
      <c r="G57" s="55">
        <f t="shared" si="0"/>
        <v>1225755.4765885507</v>
      </c>
    </row>
    <row r="58" spans="1:7" x14ac:dyDescent="0.25">
      <c r="A58" s="49">
        <f>'A) Base RI'!A54</f>
        <v>5483</v>
      </c>
      <c r="B58" s="292" t="str">
        <f>'A) Base RI'!B54</f>
        <v>Ferreyres</v>
      </c>
      <c r="C58" s="10">
        <f>'A) Base RI'!AO54</f>
        <v>319</v>
      </c>
      <c r="D58" s="442">
        <f>'C) Prél. conj.'!H52</f>
        <v>9598.35</v>
      </c>
      <c r="E58" s="10">
        <f>'D) Ecrêtage'!M52</f>
        <v>0</v>
      </c>
      <c r="F58" s="442">
        <f>$F$10*'D) Ecrêtage'!C52</f>
        <v>146186.15645867132</v>
      </c>
      <c r="G58" s="55">
        <f t="shared" si="0"/>
        <v>155784.50645867133</v>
      </c>
    </row>
    <row r="59" spans="1:7" x14ac:dyDescent="0.25">
      <c r="A59" s="49">
        <f>'A) Base RI'!A55</f>
        <v>5484</v>
      </c>
      <c r="B59" s="292" t="str">
        <f>'A) Base RI'!B55</f>
        <v>Gollion</v>
      </c>
      <c r="C59" s="10">
        <f>'A) Base RI'!AO55</f>
        <v>996</v>
      </c>
      <c r="D59" s="442">
        <f>'C) Prél. conj.'!H53</f>
        <v>112383.175</v>
      </c>
      <c r="E59" s="10">
        <f>'D) Ecrêtage'!M53</f>
        <v>0</v>
      </c>
      <c r="F59" s="442">
        <f>$F$10*'D) Ecrêtage'!C53</f>
        <v>472821.24446574028</v>
      </c>
      <c r="G59" s="55">
        <f t="shared" si="0"/>
        <v>585204.41946574033</v>
      </c>
    </row>
    <row r="60" spans="1:7" x14ac:dyDescent="0.25">
      <c r="A60" s="49">
        <f>'A) Base RI'!A56</f>
        <v>5485</v>
      </c>
      <c r="B60" s="292" t="str">
        <f>'A) Base RI'!B56</f>
        <v>Grancy</v>
      </c>
      <c r="C60" s="10">
        <f>'A) Base RI'!AO56</f>
        <v>406</v>
      </c>
      <c r="D60" s="442">
        <f>'C) Prél. conj.'!H54</f>
        <v>81316.815000000002</v>
      </c>
      <c r="E60" s="10">
        <f>'D) Ecrêtage'!M54</f>
        <v>0</v>
      </c>
      <c r="F60" s="442">
        <f>$F$10*'D) Ecrêtage'!C54</f>
        <v>196472.15900532977</v>
      </c>
      <c r="G60" s="55">
        <f t="shared" si="0"/>
        <v>277788.97400532977</v>
      </c>
    </row>
    <row r="61" spans="1:7" x14ac:dyDescent="0.25">
      <c r="A61" s="49">
        <f>'A) Base RI'!A57</f>
        <v>5486</v>
      </c>
      <c r="B61" s="292" t="str">
        <f>'A) Base RI'!B57</f>
        <v>L'Isle</v>
      </c>
      <c r="C61" s="10">
        <f>'A) Base RI'!AO57</f>
        <v>1065</v>
      </c>
      <c r="D61" s="442">
        <f>'C) Prél. conj.'!H55</f>
        <v>72234.084999999992</v>
      </c>
      <c r="E61" s="10">
        <f>'D) Ecrêtage'!M55</f>
        <v>0</v>
      </c>
      <c r="F61" s="442">
        <f>$F$10*'D) Ecrêtage'!C55</f>
        <v>506091.4730770266</v>
      </c>
      <c r="G61" s="55">
        <f t="shared" si="0"/>
        <v>578325.55807702662</v>
      </c>
    </row>
    <row r="62" spans="1:7" x14ac:dyDescent="0.25">
      <c r="A62" s="49">
        <f>'A) Base RI'!A58</f>
        <v>5487</v>
      </c>
      <c r="B62" s="292" t="str">
        <f>'A) Base RI'!B58</f>
        <v>Lussery-Villars</v>
      </c>
      <c r="C62" s="10">
        <f>'A) Base RI'!AO58</f>
        <v>459</v>
      </c>
      <c r="D62" s="442">
        <f>'C) Prél. conj.'!H56</f>
        <v>15515.55</v>
      </c>
      <c r="E62" s="10">
        <f>'D) Ecrêtage'!M56</f>
        <v>0</v>
      </c>
      <c r="F62" s="442">
        <f>$F$10*'D) Ecrêtage'!C56</f>
        <v>174146.49109950662</v>
      </c>
      <c r="G62" s="55">
        <f t="shared" si="0"/>
        <v>189662.0410995066</v>
      </c>
    </row>
    <row r="63" spans="1:7" x14ac:dyDescent="0.25">
      <c r="A63" s="49">
        <f>'A) Base RI'!A59</f>
        <v>5488</v>
      </c>
      <c r="B63" s="292" t="str">
        <f>'A) Base RI'!B59</f>
        <v>Mauraz</v>
      </c>
      <c r="C63" s="10">
        <f>'A) Base RI'!AO59</f>
        <v>58</v>
      </c>
      <c r="D63" s="442">
        <f>'C) Prél. conj.'!H57</f>
        <v>0</v>
      </c>
      <c r="E63" s="10">
        <f>'D) Ecrêtage'!M57</f>
        <v>0</v>
      </c>
      <c r="F63" s="442">
        <f>$F$10*'D) Ecrêtage'!C57</f>
        <v>22051.081948237923</v>
      </c>
      <c r="G63" s="55">
        <f t="shared" si="0"/>
        <v>22051.081948237923</v>
      </c>
    </row>
    <row r="64" spans="1:7" x14ac:dyDescent="0.25">
      <c r="A64" s="49">
        <f>'A) Base RI'!A60</f>
        <v>5489</v>
      </c>
      <c r="B64" s="292" t="str">
        <f>'A) Base RI'!B60</f>
        <v>Mex</v>
      </c>
      <c r="C64" s="10">
        <f>'A) Base RI'!AO60</f>
        <v>791</v>
      </c>
      <c r="D64" s="442">
        <f>'C) Prél. conj.'!H58</f>
        <v>306422.98499999999</v>
      </c>
      <c r="E64" s="10">
        <f>'D) Ecrêtage'!M58</f>
        <v>327283.46927313105</v>
      </c>
      <c r="F64" s="442">
        <f>$F$10*'D) Ecrêtage'!C58</f>
        <v>790641.52984074678</v>
      </c>
      <c r="G64" s="55">
        <f t="shared" si="0"/>
        <v>1424347.9841138779</v>
      </c>
    </row>
    <row r="65" spans="1:7" x14ac:dyDescent="0.25">
      <c r="A65" s="49">
        <f>'A) Base RI'!A61</f>
        <v>5490</v>
      </c>
      <c r="B65" s="292" t="str">
        <f>'A) Base RI'!B61</f>
        <v>Moiry</v>
      </c>
      <c r="C65" s="10">
        <f>'A) Base RI'!AO61</f>
        <v>311</v>
      </c>
      <c r="D65" s="442">
        <f>'C) Prél. conj.'!H59</f>
        <v>19826.174999999999</v>
      </c>
      <c r="E65" s="10">
        <f>'D) Ecrêtage'!M59</f>
        <v>0</v>
      </c>
      <c r="F65" s="442">
        <f>$F$10*'D) Ecrêtage'!C59</f>
        <v>116944.29504198013</v>
      </c>
      <c r="G65" s="55">
        <f t="shared" si="0"/>
        <v>136770.47004198012</v>
      </c>
    </row>
    <row r="66" spans="1:7" x14ac:dyDescent="0.25">
      <c r="A66" s="49">
        <f>'A) Base RI'!A62</f>
        <v>5491</v>
      </c>
      <c r="B66" s="292" t="str">
        <f>'A) Base RI'!B62</f>
        <v>Mont-la-Ville</v>
      </c>
      <c r="C66" s="10">
        <f>'A) Base RI'!AO62</f>
        <v>490</v>
      </c>
      <c r="D66" s="442">
        <f>'C) Prél. conj.'!H60</f>
        <v>47073.445</v>
      </c>
      <c r="E66" s="10">
        <f>'D) Ecrêtage'!M60</f>
        <v>0</v>
      </c>
      <c r="F66" s="442">
        <f>$F$10*'D) Ecrêtage'!C60</f>
        <v>193512.47570353531</v>
      </c>
      <c r="G66" s="55">
        <f t="shared" si="0"/>
        <v>240585.92070353532</v>
      </c>
    </row>
    <row r="67" spans="1:7" x14ac:dyDescent="0.25">
      <c r="A67" s="49">
        <f>'A) Base RI'!A63</f>
        <v>5492</v>
      </c>
      <c r="B67" s="292" t="str">
        <f>'A) Base RI'!B63</f>
        <v>Montricher</v>
      </c>
      <c r="C67" s="10">
        <f>'A) Base RI'!AO63</f>
        <v>964</v>
      </c>
      <c r="D67" s="442">
        <f>'C) Prél. conj.'!H61</f>
        <v>161999.85500000001</v>
      </c>
      <c r="E67" s="10">
        <f>'D) Ecrêtage'!M61</f>
        <v>3152049.994987777</v>
      </c>
      <c r="F67" s="442">
        <f>$F$10*'D) Ecrêtage'!C61</f>
        <v>2123217.3539735139</v>
      </c>
      <c r="G67" s="55">
        <f t="shared" si="0"/>
        <v>5437267.2039612904</v>
      </c>
    </row>
    <row r="68" spans="1:7" x14ac:dyDescent="0.25">
      <c r="A68" s="49">
        <f>'A) Base RI'!A64</f>
        <v>5493</v>
      </c>
      <c r="B68" s="292" t="str">
        <f>'A) Base RI'!B64</f>
        <v>Orny</v>
      </c>
      <c r="C68" s="10">
        <f>'A) Base RI'!AO64</f>
        <v>462</v>
      </c>
      <c r="D68" s="442">
        <f>'C) Prél. conj.'!H62</f>
        <v>83257.72</v>
      </c>
      <c r="E68" s="10">
        <f>'D) Ecrêtage'!M62</f>
        <v>0</v>
      </c>
      <c r="F68" s="442">
        <f>$F$10*'D) Ecrêtage'!C62</f>
        <v>174080.99643695302</v>
      </c>
      <c r="G68" s="55">
        <f t="shared" si="0"/>
        <v>257338.71643695302</v>
      </c>
    </row>
    <row r="69" spans="1:7" x14ac:dyDescent="0.25">
      <c r="A69" s="49">
        <f>'A) Base RI'!A65</f>
        <v>5494</v>
      </c>
      <c r="B69" s="292" t="str">
        <f>'A) Base RI'!B65</f>
        <v>Pampigny</v>
      </c>
      <c r="C69" s="10">
        <f>'A) Base RI'!AO65</f>
        <v>1128</v>
      </c>
      <c r="D69" s="442">
        <f>'C) Prél. conj.'!H63</f>
        <v>104751.17</v>
      </c>
      <c r="E69" s="10">
        <f>'D) Ecrêtage'!M63</f>
        <v>0</v>
      </c>
      <c r="F69" s="442">
        <f>$F$10*'D) Ecrêtage'!C63</f>
        <v>494584.89074266533</v>
      </c>
      <c r="G69" s="55">
        <f t="shared" si="0"/>
        <v>599336.06074266532</v>
      </c>
    </row>
    <row r="70" spans="1:7" x14ac:dyDescent="0.25">
      <c r="A70" s="49">
        <f>'A) Base RI'!A66</f>
        <v>5495</v>
      </c>
      <c r="B70" s="292" t="str">
        <f>'A) Base RI'!B66</f>
        <v>Penthalaz</v>
      </c>
      <c r="C70" s="10">
        <f>'A) Base RI'!AO66</f>
        <v>3207</v>
      </c>
      <c r="D70" s="442">
        <f>'C) Prél. conj.'!H64</f>
        <v>288535.01500000001</v>
      </c>
      <c r="E70" s="10">
        <f>'D) Ecrêtage'!M64</f>
        <v>0</v>
      </c>
      <c r="F70" s="442">
        <f>$F$10*'D) Ecrêtage'!C64</f>
        <v>1261345.4280886708</v>
      </c>
      <c r="G70" s="55">
        <f t="shared" si="0"/>
        <v>1549880.4430886707</v>
      </c>
    </row>
    <row r="71" spans="1:7" x14ac:dyDescent="0.25">
      <c r="A71" s="49">
        <f>'A) Base RI'!A67</f>
        <v>5496</v>
      </c>
      <c r="B71" s="292" t="str">
        <f>'A) Base RI'!B67</f>
        <v>Penthaz</v>
      </c>
      <c r="C71" s="10">
        <f>'A) Base RI'!AO67</f>
        <v>1855</v>
      </c>
      <c r="D71" s="442">
        <f>'C) Prél. conj.'!H65</f>
        <v>180066.62</v>
      </c>
      <c r="E71" s="10">
        <f>'D) Ecrêtage'!M65</f>
        <v>0</v>
      </c>
      <c r="F71" s="442">
        <f>$F$10*'D) Ecrêtage'!C65</f>
        <v>812391.98582954961</v>
      </c>
      <c r="G71" s="55">
        <f t="shared" si="0"/>
        <v>992458.6058295496</v>
      </c>
    </row>
    <row r="72" spans="1:7" x14ac:dyDescent="0.25">
      <c r="A72" s="49">
        <f>'A) Base RI'!A68</f>
        <v>5497</v>
      </c>
      <c r="B72" s="292" t="str">
        <f>'A) Base RI'!B68</f>
        <v>Pompaples</v>
      </c>
      <c r="C72" s="10">
        <f>'A) Base RI'!AO68</f>
        <v>847</v>
      </c>
      <c r="D72" s="442">
        <f>'C) Prél. conj.'!H66</f>
        <v>80296.904999999999</v>
      </c>
      <c r="E72" s="10">
        <f>'D) Ecrêtage'!M66</f>
        <v>0</v>
      </c>
      <c r="F72" s="442">
        <f>$F$10*'D) Ecrêtage'!C66</f>
        <v>275570.25793991168</v>
      </c>
      <c r="G72" s="55">
        <f t="shared" si="0"/>
        <v>355867.16293991171</v>
      </c>
    </row>
    <row r="73" spans="1:7" x14ac:dyDescent="0.25">
      <c r="A73" s="49">
        <f>'A) Base RI'!A69</f>
        <v>5498</v>
      </c>
      <c r="B73" s="292" t="str">
        <f>'A) Base RI'!B69</f>
        <v>La Sarraz</v>
      </c>
      <c r="C73" s="10">
        <f>'A) Base RI'!AO69</f>
        <v>2598</v>
      </c>
      <c r="D73" s="442">
        <f>'C) Prél. conj.'!H67</f>
        <v>170564.90999999997</v>
      </c>
      <c r="E73" s="10">
        <f>'D) Ecrêtage'!M67</f>
        <v>0</v>
      </c>
      <c r="F73" s="442">
        <f>$F$10*'D) Ecrêtage'!C67</f>
        <v>1047162.8586985384</v>
      </c>
      <c r="G73" s="55">
        <f t="shared" si="0"/>
        <v>1217727.7686985384</v>
      </c>
    </row>
    <row r="74" spans="1:7" x14ac:dyDescent="0.25">
      <c r="A74" s="49">
        <f>'A) Base RI'!A70</f>
        <v>5499</v>
      </c>
      <c r="B74" s="292" t="str">
        <f>'A) Base RI'!B70</f>
        <v>Senarclens</v>
      </c>
      <c r="C74" s="10">
        <f>'A) Base RI'!AO70</f>
        <v>496</v>
      </c>
      <c r="D74" s="442">
        <f>'C) Prél. conj.'!H68</f>
        <v>125488.205</v>
      </c>
      <c r="E74" s="10">
        <f>'D) Ecrêtage'!M68</f>
        <v>0</v>
      </c>
      <c r="F74" s="442">
        <f>$F$10*'D) Ecrêtage'!C68</f>
        <v>265538.30728041183</v>
      </c>
      <c r="G74" s="55">
        <f t="shared" si="0"/>
        <v>391026.51228041184</v>
      </c>
    </row>
    <row r="75" spans="1:7" x14ac:dyDescent="0.25">
      <c r="A75" s="49">
        <f>'A) Base RI'!A71</f>
        <v>5500</v>
      </c>
      <c r="B75" s="292" t="str">
        <f>'A) Base RI'!B71</f>
        <v>Sévery</v>
      </c>
      <c r="C75" s="10">
        <f>'A) Base RI'!AO71</f>
        <v>214</v>
      </c>
      <c r="D75" s="442">
        <f>'C) Prél. conj.'!H69</f>
        <v>13843.275000000001</v>
      </c>
      <c r="E75" s="10">
        <f>'D) Ecrêtage'!M69</f>
        <v>0</v>
      </c>
      <c r="F75" s="442">
        <f>$F$10*'D) Ecrêtage'!C69</f>
        <v>101545.62395187005</v>
      </c>
      <c r="G75" s="55">
        <f t="shared" si="0"/>
        <v>115388.89895187004</v>
      </c>
    </row>
    <row r="76" spans="1:7" x14ac:dyDescent="0.25">
      <c r="A76" s="49">
        <f>'A) Base RI'!A72</f>
        <v>5501</v>
      </c>
      <c r="B76" s="292" t="str">
        <f>'A) Base RI'!B72</f>
        <v>Sullens</v>
      </c>
      <c r="C76" s="10">
        <f>'A) Base RI'!AO72</f>
        <v>1041</v>
      </c>
      <c r="D76" s="442">
        <f>'C) Prél. conj.'!H70</f>
        <v>3188006.4449999998</v>
      </c>
      <c r="E76" s="10">
        <f>'D) Ecrêtage'!M70</f>
        <v>0</v>
      </c>
      <c r="F76" s="442">
        <f>$F$10*'D) Ecrêtage'!C70</f>
        <v>566368.95916397194</v>
      </c>
      <c r="G76" s="55">
        <f t="shared" ref="G76:G139" si="1">D76+F76+E76</f>
        <v>3754375.4041639715</v>
      </c>
    </row>
    <row r="77" spans="1:7" x14ac:dyDescent="0.25">
      <c r="A77" s="49">
        <f>'A) Base RI'!A73</f>
        <v>5503</v>
      </c>
      <c r="B77" s="292" t="str">
        <f>'A) Base RI'!B73</f>
        <v>Vufflens-la-Ville</v>
      </c>
      <c r="C77" s="10">
        <f>'A) Base RI'!AO73</f>
        <v>1349</v>
      </c>
      <c r="D77" s="442">
        <f>'C) Prél. conj.'!H71</f>
        <v>146798.26</v>
      </c>
      <c r="E77" s="10">
        <f>'D) Ecrêtage'!M71</f>
        <v>22745.489521888387</v>
      </c>
      <c r="F77" s="442">
        <f>$F$10*'D) Ecrêtage'!C71</f>
        <v>900840.99583430204</v>
      </c>
      <c r="G77" s="55">
        <f t="shared" si="1"/>
        <v>1070384.7453561905</v>
      </c>
    </row>
    <row r="78" spans="1:7" x14ac:dyDescent="0.25">
      <c r="A78" s="49">
        <f>'A) Base RI'!A74</f>
        <v>5511</v>
      </c>
      <c r="B78" s="292" t="str">
        <f>'A) Base RI'!B74</f>
        <v>Assens</v>
      </c>
      <c r="C78" s="10">
        <f>'A) Base RI'!AO74</f>
        <v>1141</v>
      </c>
      <c r="D78" s="442">
        <f>'C) Prél. conj.'!H72</f>
        <v>64368.14</v>
      </c>
      <c r="E78" s="10">
        <f>'D) Ecrêtage'!M72</f>
        <v>0</v>
      </c>
      <c r="F78" s="442">
        <f>$F$10*'D) Ecrêtage'!C72</f>
        <v>600868.98357450648</v>
      </c>
      <c r="G78" s="55">
        <f t="shared" si="1"/>
        <v>665237.12357450649</v>
      </c>
    </row>
    <row r="79" spans="1:7" x14ac:dyDescent="0.25">
      <c r="A79" s="49">
        <f>'A) Base RI'!A75</f>
        <v>5512</v>
      </c>
      <c r="B79" s="292" t="str">
        <f>'A) Base RI'!B75</f>
        <v>Bercher</v>
      </c>
      <c r="C79" s="10">
        <f>'A) Base RI'!AO75</f>
        <v>1323</v>
      </c>
      <c r="D79" s="442">
        <f>'C) Prél. conj.'!H73</f>
        <v>84184.134999999995</v>
      </c>
      <c r="E79" s="10">
        <f>'D) Ecrêtage'!M73</f>
        <v>0</v>
      </c>
      <c r="F79" s="442">
        <f>$F$10*'D) Ecrêtage'!C73</f>
        <v>544648.94060609187</v>
      </c>
      <c r="G79" s="55">
        <f t="shared" si="1"/>
        <v>628833.07560609188</v>
      </c>
    </row>
    <row r="80" spans="1:7" x14ac:dyDescent="0.25">
      <c r="A80" s="49">
        <f>'A) Base RI'!A76</f>
        <v>5513</v>
      </c>
      <c r="B80" s="292" t="str">
        <f>'A) Base RI'!B76</f>
        <v>Bioley-Orjulaz</v>
      </c>
      <c r="C80" s="10">
        <f>'A) Base RI'!AO76</f>
        <v>525</v>
      </c>
      <c r="D80" s="442">
        <f>'C) Prél. conj.'!H74</f>
        <v>127502.325</v>
      </c>
      <c r="E80" s="10">
        <f>'D) Ecrêtage'!M74</f>
        <v>0</v>
      </c>
      <c r="F80" s="442">
        <f>$F$10*'D) Ecrêtage'!C74</f>
        <v>305941.18651146296</v>
      </c>
      <c r="G80" s="55">
        <f t="shared" si="1"/>
        <v>433443.51151146297</v>
      </c>
    </row>
    <row r="81" spans="1:7" x14ac:dyDescent="0.25">
      <c r="A81" s="49">
        <f>'A) Base RI'!A77</f>
        <v>5514</v>
      </c>
      <c r="B81" s="292" t="str">
        <f>'A) Base RI'!B77</f>
        <v>Bottens</v>
      </c>
      <c r="C81" s="10">
        <f>'A) Base RI'!AO77</f>
        <v>1330</v>
      </c>
      <c r="D81" s="442">
        <f>'C) Prél. conj.'!H75</f>
        <v>93273.864999999991</v>
      </c>
      <c r="E81" s="10">
        <f>'D) Ecrêtage'!M75</f>
        <v>0</v>
      </c>
      <c r="F81" s="442">
        <f>$F$10*'D) Ecrêtage'!C75</f>
        <v>597026.99703251792</v>
      </c>
      <c r="G81" s="55">
        <f t="shared" si="1"/>
        <v>690300.86203251791</v>
      </c>
    </row>
    <row r="82" spans="1:7" x14ac:dyDescent="0.25">
      <c r="A82" s="49">
        <f>'A) Base RI'!A78</f>
        <v>5515</v>
      </c>
      <c r="B82" s="292" t="str">
        <f>'A) Base RI'!B78</f>
        <v>Bretigny-sur-Morrens</v>
      </c>
      <c r="C82" s="10">
        <f>'A) Base RI'!AO78</f>
        <v>859</v>
      </c>
      <c r="D82" s="442">
        <f>'C) Prél. conj.'!H76</f>
        <v>118806.405</v>
      </c>
      <c r="E82" s="10">
        <f>'D) Ecrêtage'!M76</f>
        <v>0</v>
      </c>
      <c r="F82" s="442">
        <f>$F$10*'D) Ecrêtage'!C76</f>
        <v>399723.50578825036</v>
      </c>
      <c r="G82" s="55">
        <f t="shared" si="1"/>
        <v>518529.91078825039</v>
      </c>
    </row>
    <row r="83" spans="1:7" x14ac:dyDescent="0.25">
      <c r="A83" s="49">
        <f>'A) Base RI'!A79</f>
        <v>5516</v>
      </c>
      <c r="B83" s="292" t="str">
        <f>'A) Base RI'!B79</f>
        <v>Cugy</v>
      </c>
      <c r="C83" s="10">
        <f>'A) Base RI'!AO79</f>
        <v>2760</v>
      </c>
      <c r="D83" s="442">
        <f>'C) Prél. conj.'!H77</f>
        <v>386903.65500000003</v>
      </c>
      <c r="E83" s="10">
        <f>'D) Ecrêtage'!M77</f>
        <v>0</v>
      </c>
      <c r="F83" s="442">
        <f>$F$10*'D) Ecrêtage'!C77</f>
        <v>1446447.7934885153</v>
      </c>
      <c r="G83" s="55">
        <f t="shared" si="1"/>
        <v>1833351.4484885153</v>
      </c>
    </row>
    <row r="84" spans="1:7" x14ac:dyDescent="0.25">
      <c r="A84" s="49">
        <f>'A) Base RI'!A80</f>
        <v>5518</v>
      </c>
      <c r="B84" s="292" t="str">
        <f>'A) Base RI'!B80</f>
        <v>Echallens</v>
      </c>
      <c r="C84" s="10">
        <f>'A) Base RI'!AO80</f>
        <v>5731</v>
      </c>
      <c r="D84" s="442">
        <f>'C) Prél. conj.'!H78</f>
        <v>610232.1</v>
      </c>
      <c r="E84" s="10">
        <f>'D) Ecrêtage'!M78</f>
        <v>0</v>
      </c>
      <c r="F84" s="442">
        <f>$F$10*'D) Ecrêtage'!C78</f>
        <v>2415055.6865154458</v>
      </c>
      <c r="G84" s="55">
        <f t="shared" si="1"/>
        <v>3025287.7865154459</v>
      </c>
    </row>
    <row r="85" spans="1:7" x14ac:dyDescent="0.25">
      <c r="A85" s="49">
        <f>'A) Base RI'!A81</f>
        <v>5520</v>
      </c>
      <c r="B85" s="292" t="str">
        <f>'A) Base RI'!B81</f>
        <v>Essertines-sur-Yverdon</v>
      </c>
      <c r="C85" s="10">
        <f>'A) Base RI'!AO81</f>
        <v>1036</v>
      </c>
      <c r="D85" s="442">
        <f>'C) Prél. conj.'!H79</f>
        <v>132109.23500000002</v>
      </c>
      <c r="E85" s="10">
        <f>'D) Ecrêtage'!M79</f>
        <v>0</v>
      </c>
      <c r="F85" s="442">
        <f>$F$10*'D) Ecrêtage'!C79</f>
        <v>401713.89836251392</v>
      </c>
      <c r="G85" s="55">
        <f t="shared" si="1"/>
        <v>533823.13336251397</v>
      </c>
    </row>
    <row r="86" spans="1:7" x14ac:dyDescent="0.25">
      <c r="A86" s="49">
        <f>'A) Base RI'!A82</f>
        <v>5521</v>
      </c>
      <c r="B86" s="292" t="str">
        <f>'A) Base RI'!B82</f>
        <v>Etagnières</v>
      </c>
      <c r="C86" s="10">
        <f>'A) Base RI'!AO82</f>
        <v>1148</v>
      </c>
      <c r="D86" s="442">
        <f>'C) Prél. conj.'!H80</f>
        <v>94823.5</v>
      </c>
      <c r="E86" s="10">
        <f>'D) Ecrêtage'!M80</f>
        <v>0</v>
      </c>
      <c r="F86" s="442">
        <f>$F$10*'D) Ecrêtage'!C80</f>
        <v>632247.72683345852</v>
      </c>
      <c r="G86" s="55">
        <f t="shared" si="1"/>
        <v>727071.22683345852</v>
      </c>
    </row>
    <row r="87" spans="1:7" x14ac:dyDescent="0.25">
      <c r="A87" s="49">
        <f>'A) Base RI'!A83</f>
        <v>5522</v>
      </c>
      <c r="B87" s="292" t="str">
        <f>'A) Base RI'!B83</f>
        <v>Fey</v>
      </c>
      <c r="C87" s="10">
        <f>'A) Base RI'!AO83</f>
        <v>749</v>
      </c>
      <c r="D87" s="442">
        <f>'C) Prél. conj.'!H81</f>
        <v>27906.3</v>
      </c>
      <c r="E87" s="10">
        <f>'D) Ecrêtage'!M81</f>
        <v>0</v>
      </c>
      <c r="F87" s="442">
        <f>$F$10*'D) Ecrêtage'!C81</f>
        <v>320559.08719532832</v>
      </c>
      <c r="G87" s="55">
        <f t="shared" si="1"/>
        <v>348465.38719532831</v>
      </c>
    </row>
    <row r="88" spans="1:7" x14ac:dyDescent="0.25">
      <c r="A88" s="49">
        <f>'A) Base RI'!A84</f>
        <v>5523</v>
      </c>
      <c r="B88" s="292" t="str">
        <f>'A) Base RI'!B84</f>
        <v>Froideville</v>
      </c>
      <c r="C88" s="10">
        <f>'A) Base RI'!AO84</f>
        <v>2694</v>
      </c>
      <c r="D88" s="442">
        <f>'C) Prél. conj.'!H82</f>
        <v>141798.26500000001</v>
      </c>
      <c r="E88" s="10">
        <f>'D) Ecrêtage'!M82</f>
        <v>0</v>
      </c>
      <c r="F88" s="442">
        <f>$F$10*'D) Ecrêtage'!C82</f>
        <v>1160117.4895594651</v>
      </c>
      <c r="G88" s="55">
        <f t="shared" si="1"/>
        <v>1301915.7545594652</v>
      </c>
    </row>
    <row r="89" spans="1:7" x14ac:dyDescent="0.25">
      <c r="A89" s="49">
        <f>'A) Base RI'!A85</f>
        <v>5527</v>
      </c>
      <c r="B89" s="292" t="str">
        <f>'A) Base RI'!B85</f>
        <v>Morrens</v>
      </c>
      <c r="C89" s="10">
        <f>'A) Base RI'!AO85</f>
        <v>1153</v>
      </c>
      <c r="D89" s="442">
        <f>'C) Prél. conj.'!H83</f>
        <v>81572.100000000006</v>
      </c>
      <c r="E89" s="10">
        <f>'D) Ecrêtage'!M83</f>
        <v>0</v>
      </c>
      <c r="F89" s="442">
        <f>$F$10*'D) Ecrêtage'!C83</f>
        <v>548036.27800918533</v>
      </c>
      <c r="G89" s="55">
        <f t="shared" si="1"/>
        <v>629608.37800918531</v>
      </c>
    </row>
    <row r="90" spans="1:7" x14ac:dyDescent="0.25">
      <c r="A90" s="49">
        <f>'A) Base RI'!A86</f>
        <v>5529</v>
      </c>
      <c r="B90" s="292" t="str">
        <f>'A) Base RI'!B86</f>
        <v>Oulens-sous-Echallens</v>
      </c>
      <c r="C90" s="10">
        <f>'A) Base RI'!AO86</f>
        <v>618</v>
      </c>
      <c r="D90" s="442">
        <f>'C) Prél. conj.'!H84</f>
        <v>22048.87</v>
      </c>
      <c r="E90" s="10">
        <f>'D) Ecrêtage'!M84</f>
        <v>0</v>
      </c>
      <c r="F90" s="442">
        <f>$F$10*'D) Ecrêtage'!C84</f>
        <v>272925.73505310714</v>
      </c>
      <c r="G90" s="55">
        <f t="shared" si="1"/>
        <v>294974.60505310714</v>
      </c>
    </row>
    <row r="91" spans="1:7" x14ac:dyDescent="0.25">
      <c r="A91" s="49">
        <f>'A) Base RI'!A87</f>
        <v>5530</v>
      </c>
      <c r="B91" s="292" t="str">
        <f>'A) Base RI'!B87</f>
        <v>Pailly</v>
      </c>
      <c r="C91" s="10">
        <f>'A) Base RI'!AO87</f>
        <v>567</v>
      </c>
      <c r="D91" s="442">
        <f>'C) Prél. conj.'!H85</f>
        <v>12499.82</v>
      </c>
      <c r="E91" s="10">
        <f>'D) Ecrêtage'!M85</f>
        <v>0</v>
      </c>
      <c r="F91" s="442">
        <f>$F$10*'D) Ecrêtage'!C85</f>
        <v>247266.40801436195</v>
      </c>
      <c r="G91" s="55">
        <f t="shared" si="1"/>
        <v>259766.22801436196</v>
      </c>
    </row>
    <row r="92" spans="1:7" x14ac:dyDescent="0.25">
      <c r="A92" s="49">
        <f>'A) Base RI'!A88</f>
        <v>5531</v>
      </c>
      <c r="B92" s="292" t="str">
        <f>'A) Base RI'!B88</f>
        <v>Penthéréaz</v>
      </c>
      <c r="C92" s="10">
        <f>'A) Base RI'!AO88</f>
        <v>419</v>
      </c>
      <c r="D92" s="442">
        <f>'C) Prél. conj.'!H86</f>
        <v>28005.84</v>
      </c>
      <c r="E92" s="10">
        <f>'D) Ecrêtage'!M86</f>
        <v>0</v>
      </c>
      <c r="F92" s="442">
        <f>$F$10*'D) Ecrêtage'!C86</f>
        <v>187024.51177479536</v>
      </c>
      <c r="G92" s="55">
        <f t="shared" si="1"/>
        <v>215030.35177479536</v>
      </c>
    </row>
    <row r="93" spans="1:7" x14ac:dyDescent="0.25">
      <c r="A93" s="49">
        <f>'A) Base RI'!A89</f>
        <v>5533</v>
      </c>
      <c r="B93" s="292" t="str">
        <f>'A) Base RI'!B89</f>
        <v>Poliez-Pittet</v>
      </c>
      <c r="C93" s="10">
        <f>'A) Base RI'!AO89</f>
        <v>829</v>
      </c>
      <c r="D93" s="442">
        <f>'C) Prél. conj.'!H87</f>
        <v>170475.03999999998</v>
      </c>
      <c r="E93" s="10">
        <f>'D) Ecrêtage'!M87</f>
        <v>0</v>
      </c>
      <c r="F93" s="442">
        <f>$F$10*'D) Ecrêtage'!C87</f>
        <v>367348.4686328778</v>
      </c>
      <c r="G93" s="55">
        <f t="shared" si="1"/>
        <v>537823.50863287784</v>
      </c>
    </row>
    <row r="94" spans="1:7" x14ac:dyDescent="0.25">
      <c r="A94" s="49">
        <f>'A) Base RI'!A90</f>
        <v>5534</v>
      </c>
      <c r="B94" s="292" t="str">
        <f>'A) Base RI'!B90</f>
        <v>Rueyres</v>
      </c>
      <c r="C94" s="10">
        <f>'A) Base RI'!AO90</f>
        <v>266</v>
      </c>
      <c r="D94" s="442">
        <f>'C) Prél. conj.'!H88</f>
        <v>25255.22</v>
      </c>
      <c r="E94" s="10">
        <f>'D) Ecrêtage'!M88</f>
        <v>0</v>
      </c>
      <c r="F94" s="442">
        <f>$F$10*'D) Ecrêtage'!C88</f>
        <v>131798.13141308949</v>
      </c>
      <c r="G94" s="55">
        <f t="shared" si="1"/>
        <v>157053.35141308949</v>
      </c>
    </row>
    <row r="95" spans="1:7" x14ac:dyDescent="0.25">
      <c r="A95" s="49">
        <f>'A) Base RI'!A91</f>
        <v>5535</v>
      </c>
      <c r="B95" s="292" t="str">
        <f>'A) Base RI'!B91</f>
        <v>Saint-Barthélemy</v>
      </c>
      <c r="C95" s="10">
        <f>'A) Base RI'!AO91</f>
        <v>784</v>
      </c>
      <c r="D95" s="442">
        <f>'C) Prél. conj.'!H89</f>
        <v>31063.825000000001</v>
      </c>
      <c r="E95" s="10">
        <f>'D) Ecrêtage'!M89</f>
        <v>0</v>
      </c>
      <c r="F95" s="442">
        <f>$F$10*'D) Ecrêtage'!C89</f>
        <v>303940.13976661011</v>
      </c>
      <c r="G95" s="55">
        <f t="shared" si="1"/>
        <v>335003.96476661012</v>
      </c>
    </row>
    <row r="96" spans="1:7" x14ac:dyDescent="0.25">
      <c r="A96" s="49">
        <f>'A) Base RI'!A92</f>
        <v>5537</v>
      </c>
      <c r="B96" s="292" t="str">
        <f>'A) Base RI'!B92</f>
        <v>Villars-le-Terroir</v>
      </c>
      <c r="C96" s="10">
        <f>'A) Base RI'!AO92</f>
        <v>1281</v>
      </c>
      <c r="D96" s="442">
        <f>'C) Prél. conj.'!H90</f>
        <v>97419.774999999994</v>
      </c>
      <c r="E96" s="10">
        <f>'D) Ecrêtage'!M90</f>
        <v>0</v>
      </c>
      <c r="F96" s="442">
        <f>$F$10*'D) Ecrêtage'!C90</f>
        <v>512896.76205385721</v>
      </c>
      <c r="G96" s="55">
        <f t="shared" si="1"/>
        <v>610316.53705385723</v>
      </c>
    </row>
    <row r="97" spans="1:7" x14ac:dyDescent="0.25">
      <c r="A97" s="49">
        <f>'A) Base RI'!A93</f>
        <v>5539</v>
      </c>
      <c r="B97" s="292" t="str">
        <f>'A) Base RI'!B93</f>
        <v>Vuarrens</v>
      </c>
      <c r="C97" s="10">
        <f>'A) Base RI'!AO93</f>
        <v>1060</v>
      </c>
      <c r="D97" s="442">
        <f>'C) Prél. conj.'!H91</f>
        <v>166253.19000000003</v>
      </c>
      <c r="E97" s="10">
        <f>'D) Ecrêtage'!M91</f>
        <v>0</v>
      </c>
      <c r="F97" s="442">
        <f>$F$10*'D) Ecrêtage'!C91</f>
        <v>485853.72298492998</v>
      </c>
      <c r="G97" s="55">
        <f t="shared" si="1"/>
        <v>652106.91298492998</v>
      </c>
    </row>
    <row r="98" spans="1:7" x14ac:dyDescent="0.25">
      <c r="A98" s="49">
        <f>'A) Base RI'!A94</f>
        <v>5540</v>
      </c>
      <c r="B98" s="292" t="str">
        <f>'A) Base RI'!B94</f>
        <v>Montilliez</v>
      </c>
      <c r="C98" s="10">
        <f>'A) Base RI'!AO94</f>
        <v>1857</v>
      </c>
      <c r="D98" s="442">
        <f>'C) Prél. conj.'!H92</f>
        <v>98609.705000000002</v>
      </c>
      <c r="E98" s="10">
        <f>'D) Ecrêtage'!M92</f>
        <v>0</v>
      </c>
      <c r="F98" s="442">
        <f>$F$10*'D) Ecrêtage'!C92</f>
        <v>895148.63227123197</v>
      </c>
      <c r="G98" s="55">
        <f t="shared" si="1"/>
        <v>993758.33727123193</v>
      </c>
    </row>
    <row r="99" spans="1:7" x14ac:dyDescent="0.25">
      <c r="A99" s="49">
        <f>'A) Base RI'!A95</f>
        <v>5541</v>
      </c>
      <c r="B99" s="292" t="str">
        <f>'A) Base RI'!B95</f>
        <v>Goumoëns</v>
      </c>
      <c r="C99" s="10">
        <f>'A) Base RI'!AO95</f>
        <v>1153</v>
      </c>
      <c r="D99" s="442">
        <f>'C) Prél. conj.'!H93</f>
        <v>129969.265</v>
      </c>
      <c r="E99" s="10">
        <f>'D) Ecrêtage'!M93</f>
        <v>0</v>
      </c>
      <c r="F99" s="442">
        <f>$F$10*'D) Ecrêtage'!C93</f>
        <v>499863.8925166417</v>
      </c>
      <c r="G99" s="55">
        <f t="shared" si="1"/>
        <v>629833.15751664166</v>
      </c>
    </row>
    <row r="100" spans="1:7" x14ac:dyDescent="0.25">
      <c r="A100" s="49">
        <f>'A) Base RI'!A96</f>
        <v>5551</v>
      </c>
      <c r="B100" s="292" t="str">
        <f>'A) Base RI'!B96</f>
        <v>Bonvillars</v>
      </c>
      <c r="C100" s="10">
        <f>'A) Base RI'!AO96</f>
        <v>489</v>
      </c>
      <c r="D100" s="442">
        <f>'C) Prél. conj.'!H94</f>
        <v>25014.264999999999</v>
      </c>
      <c r="E100" s="10">
        <f>'D) Ecrêtage'!M94</f>
        <v>0</v>
      </c>
      <c r="F100" s="442">
        <f>$F$10*'D) Ecrêtage'!C94</f>
        <v>258812.68719651015</v>
      </c>
      <c r="G100" s="55">
        <f t="shared" si="1"/>
        <v>283826.95219651016</v>
      </c>
    </row>
    <row r="101" spans="1:7" x14ac:dyDescent="0.25">
      <c r="A101" s="49">
        <f>'A) Base RI'!A97</f>
        <v>5552</v>
      </c>
      <c r="B101" s="292" t="str">
        <f>'A) Base RI'!B97</f>
        <v>Bullet</v>
      </c>
      <c r="C101" s="10">
        <f>'A) Base RI'!AO97</f>
        <v>657</v>
      </c>
      <c r="D101" s="442">
        <f>'C) Prél. conj.'!H95</f>
        <v>72144.509999999995</v>
      </c>
      <c r="E101" s="10">
        <f>'D) Ecrêtage'!M95</f>
        <v>0</v>
      </c>
      <c r="F101" s="442">
        <f>$F$10*'D) Ecrêtage'!C95</f>
        <v>237193.20490697853</v>
      </c>
      <c r="G101" s="55">
        <f t="shared" si="1"/>
        <v>309337.71490697854</v>
      </c>
    </row>
    <row r="102" spans="1:7" x14ac:dyDescent="0.25">
      <c r="A102" s="49">
        <f>'A) Base RI'!A98</f>
        <v>5553</v>
      </c>
      <c r="B102" s="292" t="str">
        <f>'A) Base RI'!B98</f>
        <v>Champagne</v>
      </c>
      <c r="C102" s="10">
        <f>'A) Base RI'!AO98</f>
        <v>1061</v>
      </c>
      <c r="D102" s="442">
        <f>'C) Prél. conj.'!H96</f>
        <v>157015.44</v>
      </c>
      <c r="E102" s="10">
        <f>'D) Ecrêtage'!M96</f>
        <v>0</v>
      </c>
      <c r="F102" s="442">
        <f>$F$10*'D) Ecrêtage'!C96</f>
        <v>522598.64466559683</v>
      </c>
      <c r="G102" s="55">
        <f t="shared" si="1"/>
        <v>679614.08466559683</v>
      </c>
    </row>
    <row r="103" spans="1:7" x14ac:dyDescent="0.25">
      <c r="A103" s="49">
        <f>'A) Base RI'!A99</f>
        <v>5554</v>
      </c>
      <c r="B103" s="292" t="str">
        <f>'A) Base RI'!B99</f>
        <v>Concise</v>
      </c>
      <c r="C103" s="10">
        <f>'A) Base RI'!AO99</f>
        <v>1001</v>
      </c>
      <c r="D103" s="442">
        <f>'C) Prél. conj.'!H97</f>
        <v>124657.66499999999</v>
      </c>
      <c r="E103" s="10">
        <f>'D) Ecrêtage'!M97</f>
        <v>0</v>
      </c>
      <c r="F103" s="442">
        <f>$F$10*'D) Ecrêtage'!C97</f>
        <v>436760.59502218629</v>
      </c>
      <c r="G103" s="55">
        <f t="shared" si="1"/>
        <v>561418.26002218632</v>
      </c>
    </row>
    <row r="104" spans="1:7" x14ac:dyDescent="0.25">
      <c r="A104" s="49">
        <f>'A) Base RI'!A100</f>
        <v>5555</v>
      </c>
      <c r="B104" s="292" t="str">
        <f>'A) Base RI'!B100</f>
        <v>Corcelles-près-Concise</v>
      </c>
      <c r="C104" s="10">
        <f>'A) Base RI'!AO100</f>
        <v>419</v>
      </c>
      <c r="D104" s="442">
        <f>'C) Prél. conj.'!H98</f>
        <v>91121.654999999999</v>
      </c>
      <c r="E104" s="10">
        <f>'D) Ecrêtage'!M98</f>
        <v>0</v>
      </c>
      <c r="F104" s="442">
        <f>$F$10*'D) Ecrêtage'!C98</f>
        <v>183734.2957931628</v>
      </c>
      <c r="G104" s="55">
        <f t="shared" si="1"/>
        <v>274855.9507931628</v>
      </c>
    </row>
    <row r="105" spans="1:7" x14ac:dyDescent="0.25">
      <c r="A105" s="49">
        <f>'A) Base RI'!A101</f>
        <v>5556</v>
      </c>
      <c r="B105" s="292" t="str">
        <f>'A) Base RI'!B101</f>
        <v>Fiez</v>
      </c>
      <c r="C105" s="10">
        <f>'A) Base RI'!AO101</f>
        <v>451</v>
      </c>
      <c r="D105" s="442">
        <f>'C) Prél. conj.'!H99</f>
        <v>45366.474999999999</v>
      </c>
      <c r="E105" s="10">
        <f>'D) Ecrêtage'!M99</f>
        <v>0</v>
      </c>
      <c r="F105" s="442">
        <f>$F$10*'D) Ecrêtage'!C99</f>
        <v>186664.66450293618</v>
      </c>
      <c r="G105" s="55">
        <f t="shared" si="1"/>
        <v>232031.13950293619</v>
      </c>
    </row>
    <row r="106" spans="1:7" x14ac:dyDescent="0.25">
      <c r="A106" s="49">
        <f>'A) Base RI'!A102</f>
        <v>5557</v>
      </c>
      <c r="B106" s="292" t="str">
        <f>'A) Base RI'!B102</f>
        <v>Fontaines-sur-Grandson</v>
      </c>
      <c r="C106" s="10">
        <f>'A) Base RI'!AO102</f>
        <v>219</v>
      </c>
      <c r="D106" s="442">
        <f>'C) Prél. conj.'!H100</f>
        <v>32454.875</v>
      </c>
      <c r="E106" s="10">
        <f>'D) Ecrêtage'!M100</f>
        <v>0</v>
      </c>
      <c r="F106" s="442">
        <f>$F$10*'D) Ecrêtage'!C100</f>
        <v>79445.236228319322</v>
      </c>
      <c r="G106" s="55">
        <f t="shared" si="1"/>
        <v>111900.11122831932</v>
      </c>
    </row>
    <row r="107" spans="1:7" x14ac:dyDescent="0.25">
      <c r="A107" s="49">
        <f>'A) Base RI'!A103</f>
        <v>5559</v>
      </c>
      <c r="B107" s="292" t="str">
        <f>'A) Base RI'!B103</f>
        <v>Giez</v>
      </c>
      <c r="C107" s="10">
        <f>'A) Base RI'!AO103</f>
        <v>414</v>
      </c>
      <c r="D107" s="442">
        <f>'C) Prél. conj.'!H101</f>
        <v>60017.704999999994</v>
      </c>
      <c r="E107" s="10">
        <f>'D) Ecrêtage'!M101</f>
        <v>0</v>
      </c>
      <c r="F107" s="442">
        <f>$F$10*'D) Ecrêtage'!C101</f>
        <v>228292.60717034718</v>
      </c>
      <c r="G107" s="55">
        <f t="shared" si="1"/>
        <v>288310.3121703472</v>
      </c>
    </row>
    <row r="108" spans="1:7" x14ac:dyDescent="0.25">
      <c r="A108" s="49">
        <f>'A) Base RI'!A104</f>
        <v>5560</v>
      </c>
      <c r="B108" s="292" t="str">
        <f>'A) Base RI'!B104</f>
        <v>Grandevent</v>
      </c>
      <c r="C108" s="10">
        <f>'A) Base RI'!AO104</f>
        <v>226</v>
      </c>
      <c r="D108" s="442">
        <f>'C) Prél. conj.'!H102</f>
        <v>14062.75</v>
      </c>
      <c r="E108" s="10">
        <f>'D) Ecrêtage'!M102</f>
        <v>0</v>
      </c>
      <c r="F108" s="442">
        <f>$F$10*'D) Ecrêtage'!C102</f>
        <v>83330.380952909181</v>
      </c>
      <c r="G108" s="55">
        <f t="shared" si="1"/>
        <v>97393.130952909181</v>
      </c>
    </row>
    <row r="109" spans="1:7" x14ac:dyDescent="0.25">
      <c r="A109" s="49">
        <f>'A) Base RI'!A105</f>
        <v>5561</v>
      </c>
      <c r="B109" s="292" t="str">
        <f>'A) Base RI'!B105</f>
        <v>Grandson</v>
      </c>
      <c r="C109" s="10">
        <f>'A) Base RI'!AO105</f>
        <v>3356</v>
      </c>
      <c r="D109" s="442">
        <f>'C) Prél. conj.'!H103</f>
        <v>455057.93</v>
      </c>
      <c r="E109" s="10">
        <f>'D) Ecrêtage'!M103</f>
        <v>0</v>
      </c>
      <c r="F109" s="442">
        <f>$F$10*'D) Ecrêtage'!C103</f>
        <v>1550353.8975763905</v>
      </c>
      <c r="G109" s="55">
        <f t="shared" si="1"/>
        <v>2005411.8275763905</v>
      </c>
    </row>
    <row r="110" spans="1:7" x14ac:dyDescent="0.25">
      <c r="A110" s="49">
        <f>'A) Base RI'!A106</f>
        <v>5562</v>
      </c>
      <c r="B110" s="292" t="str">
        <f>'A) Base RI'!B106</f>
        <v>Mauborget</v>
      </c>
      <c r="C110" s="10">
        <f>'A) Base RI'!AO106</f>
        <v>128</v>
      </c>
      <c r="D110" s="442">
        <f>'C) Prél. conj.'!H104</f>
        <v>12692.95</v>
      </c>
      <c r="E110" s="10">
        <f>'D) Ecrêtage'!M104</f>
        <v>0</v>
      </c>
      <c r="F110" s="442">
        <f>$F$10*'D) Ecrêtage'!C104</f>
        <v>81564.061713431875</v>
      </c>
      <c r="G110" s="55">
        <f t="shared" si="1"/>
        <v>94257.011713431872</v>
      </c>
    </row>
    <row r="111" spans="1:7" x14ac:dyDescent="0.25">
      <c r="A111" s="49">
        <f>'A) Base RI'!A107</f>
        <v>5563</v>
      </c>
      <c r="B111" s="292" t="str">
        <f>'A) Base RI'!B107</f>
        <v>Mutrux</v>
      </c>
      <c r="C111" s="10">
        <f>'A) Base RI'!AO107</f>
        <v>149</v>
      </c>
      <c r="D111" s="442">
        <f>'C) Prél. conj.'!H105</f>
        <v>11813.975</v>
      </c>
      <c r="E111" s="10">
        <f>'D) Ecrêtage'!M105</f>
        <v>0</v>
      </c>
      <c r="F111" s="442">
        <f>$F$10*'D) Ecrêtage'!C105</f>
        <v>55035.492838452978</v>
      </c>
      <c r="G111" s="55">
        <f t="shared" si="1"/>
        <v>66849.467838452983</v>
      </c>
    </row>
    <row r="112" spans="1:7" x14ac:dyDescent="0.25">
      <c r="A112" s="49">
        <f>'A) Base RI'!A108</f>
        <v>5564</v>
      </c>
      <c r="B112" s="292" t="str">
        <f>'A) Base RI'!B108</f>
        <v>Novalles</v>
      </c>
      <c r="C112" s="10">
        <f>'A) Base RI'!AO108</f>
        <v>99</v>
      </c>
      <c r="D112" s="442">
        <f>'C) Prél. conj.'!H106</f>
        <v>13421.65</v>
      </c>
      <c r="E112" s="10">
        <f>'D) Ecrêtage'!M106</f>
        <v>0</v>
      </c>
      <c r="F112" s="442">
        <f>$F$10*'D) Ecrêtage'!C106</f>
        <v>28256.940340022986</v>
      </c>
      <c r="G112" s="55">
        <f t="shared" si="1"/>
        <v>41678.590340022987</v>
      </c>
    </row>
    <row r="113" spans="1:7" x14ac:dyDescent="0.25">
      <c r="A113" s="49">
        <f>'A) Base RI'!A109</f>
        <v>5565</v>
      </c>
      <c r="B113" s="292" t="str">
        <f>'A) Base RI'!B109</f>
        <v>Onnens</v>
      </c>
      <c r="C113" s="10">
        <f>'A) Base RI'!AO109</f>
        <v>505</v>
      </c>
      <c r="D113" s="442">
        <f>'C) Prél. conj.'!H107</f>
        <v>32780.465000000004</v>
      </c>
      <c r="E113" s="10">
        <f>'D) Ecrêtage'!M107</f>
        <v>0</v>
      </c>
      <c r="F113" s="442">
        <f>$F$10*'D) Ecrêtage'!C107</f>
        <v>266026.49811218341</v>
      </c>
      <c r="G113" s="55">
        <f t="shared" si="1"/>
        <v>298806.96311218344</v>
      </c>
    </row>
    <row r="114" spans="1:7" x14ac:dyDescent="0.25">
      <c r="A114" s="49">
        <f>'A) Base RI'!A110</f>
        <v>5566</v>
      </c>
      <c r="B114" s="292" t="str">
        <f>'A) Base RI'!B110</f>
        <v>Provence</v>
      </c>
      <c r="C114" s="10">
        <f>'A) Base RI'!AO110</f>
        <v>392</v>
      </c>
      <c r="D114" s="442">
        <f>'C) Prél. conj.'!H108</f>
        <v>77539.764999999999</v>
      </c>
      <c r="E114" s="10">
        <f>'D) Ecrêtage'!M108</f>
        <v>0</v>
      </c>
      <c r="F114" s="442">
        <f>$F$10*'D) Ecrêtage'!C108</f>
        <v>102661.51019057297</v>
      </c>
      <c r="G114" s="55">
        <f t="shared" si="1"/>
        <v>180201.27519057295</v>
      </c>
    </row>
    <row r="115" spans="1:7" x14ac:dyDescent="0.25">
      <c r="A115" s="49">
        <f>'A) Base RI'!A111</f>
        <v>5568</v>
      </c>
      <c r="B115" s="292" t="str">
        <f>'A) Base RI'!B111</f>
        <v>Sainte-Croix</v>
      </c>
      <c r="C115" s="10">
        <f>'A) Base RI'!AO111</f>
        <v>4917</v>
      </c>
      <c r="D115" s="442">
        <f>'C) Prél. conj.'!H109</f>
        <v>1055458.1499999999</v>
      </c>
      <c r="E115" s="10">
        <f>'D) Ecrêtage'!M109</f>
        <v>0</v>
      </c>
      <c r="F115" s="442">
        <f>$F$10*'D) Ecrêtage'!C109</f>
        <v>1439060.5154816029</v>
      </c>
      <c r="G115" s="55">
        <f t="shared" si="1"/>
        <v>2494518.6654816028</v>
      </c>
    </row>
    <row r="116" spans="1:7" x14ac:dyDescent="0.25">
      <c r="A116" s="49">
        <f>'A) Base RI'!A112</f>
        <v>5571</v>
      </c>
      <c r="B116" s="292" t="str">
        <f>'A) Base RI'!B112</f>
        <v>Tévenon</v>
      </c>
      <c r="C116" s="10">
        <f>'A) Base RI'!AO112</f>
        <v>894</v>
      </c>
      <c r="D116" s="442">
        <f>'C) Prél. conj.'!H110</f>
        <v>75286.545000000013</v>
      </c>
      <c r="E116" s="10">
        <f>'D) Ecrêtage'!M110</f>
        <v>0</v>
      </c>
      <c r="F116" s="442">
        <f>$F$10*'D) Ecrêtage'!C110</f>
        <v>288852.29093013937</v>
      </c>
      <c r="G116" s="55">
        <f t="shared" si="1"/>
        <v>364138.83593013941</v>
      </c>
    </row>
    <row r="117" spans="1:7" x14ac:dyDescent="0.25">
      <c r="A117" s="49">
        <f>'A) Base RI'!A113</f>
        <v>5581</v>
      </c>
      <c r="B117" s="292" t="str">
        <f>'A) Base RI'!B113</f>
        <v>Belmont-sur-Lausanne</v>
      </c>
      <c r="C117" s="10">
        <f>'A) Base RI'!AO113</f>
        <v>3756</v>
      </c>
      <c r="D117" s="442">
        <f>'C) Prél. conj.'!H111</f>
        <v>815149.39500000002</v>
      </c>
      <c r="E117" s="10">
        <f>'D) Ecrêtage'!M111</f>
        <v>453910.45384434366</v>
      </c>
      <c r="F117" s="442">
        <f>$F$10*'D) Ecrêtage'!C111</f>
        <v>2870213.4024177934</v>
      </c>
      <c r="G117" s="55">
        <f t="shared" si="1"/>
        <v>4139273.2512621372</v>
      </c>
    </row>
    <row r="118" spans="1:7" x14ac:dyDescent="0.25">
      <c r="A118" s="49">
        <f>'A) Base RI'!A114</f>
        <v>5582</v>
      </c>
      <c r="B118" s="292" t="str">
        <f>'A) Base RI'!B114</f>
        <v>Cheseaux-sur-Lausanne</v>
      </c>
      <c r="C118" s="10">
        <f>'A) Base RI'!AO114</f>
        <v>4367</v>
      </c>
      <c r="D118" s="442">
        <f>'C) Prél. conj.'!H112</f>
        <v>440659.76999999996</v>
      </c>
      <c r="E118" s="10">
        <f>'D) Ecrêtage'!M112</f>
        <v>0</v>
      </c>
      <c r="F118" s="442">
        <f>$F$10*'D) Ecrêtage'!C112</f>
        <v>2212727.7865293743</v>
      </c>
      <c r="G118" s="55">
        <f t="shared" si="1"/>
        <v>2653387.5565293743</v>
      </c>
    </row>
    <row r="119" spans="1:7" x14ac:dyDescent="0.25">
      <c r="A119" s="49">
        <f>'A) Base RI'!A115</f>
        <v>5583</v>
      </c>
      <c r="B119" s="292" t="str">
        <f>'A) Base RI'!B115</f>
        <v>Crissier</v>
      </c>
      <c r="C119" s="10">
        <f>'A) Base RI'!AO115</f>
        <v>8700</v>
      </c>
      <c r="D119" s="442">
        <f>'C) Prél. conj.'!H113</f>
        <v>1443991.15</v>
      </c>
      <c r="E119" s="10">
        <f>'D) Ecrêtage'!M113</f>
        <v>0</v>
      </c>
      <c r="F119" s="442">
        <f>$F$10*'D) Ecrêtage'!C113</f>
        <v>4973093.5323815383</v>
      </c>
      <c r="G119" s="55">
        <f t="shared" si="1"/>
        <v>6417084.6823815387</v>
      </c>
    </row>
    <row r="120" spans="1:7" x14ac:dyDescent="0.25">
      <c r="A120" s="49">
        <f>'A) Base RI'!A116</f>
        <v>5584</v>
      </c>
      <c r="B120" s="292" t="str">
        <f>'A) Base RI'!B116</f>
        <v>Epalinges</v>
      </c>
      <c r="C120" s="10">
        <f>'A) Base RI'!AO116</f>
        <v>9755</v>
      </c>
      <c r="D120" s="442">
        <f>'C) Prél. conj.'!H114</f>
        <v>1862730.8699999999</v>
      </c>
      <c r="E120" s="10">
        <f>'D) Ecrêtage'!M114</f>
        <v>157687.98783909978</v>
      </c>
      <c r="F120" s="442">
        <f>$F$10*'D) Ecrêtage'!C114</f>
        <v>6513550.9409572575</v>
      </c>
      <c r="G120" s="55">
        <f t="shared" si="1"/>
        <v>8533969.7987963576</v>
      </c>
    </row>
    <row r="121" spans="1:7" x14ac:dyDescent="0.25">
      <c r="A121" s="49">
        <f>'A) Base RI'!A117</f>
        <v>5585</v>
      </c>
      <c r="B121" s="292" t="str">
        <f>'A) Base RI'!B117</f>
        <v>Jouxtens-Mézery</v>
      </c>
      <c r="C121" s="10">
        <f>'A) Base RI'!AO117</f>
        <v>1411</v>
      </c>
      <c r="D121" s="442">
        <f>'C) Prél. conj.'!H115</f>
        <v>548661.93999999994</v>
      </c>
      <c r="E121" s="10">
        <f>'D) Ecrêtage'!M115</f>
        <v>3286661.3187631969</v>
      </c>
      <c r="F121" s="442">
        <f>$F$10*'D) Ecrêtage'!C115</f>
        <v>2735681.7487880215</v>
      </c>
      <c r="G121" s="55">
        <f t="shared" si="1"/>
        <v>6571005.0075512184</v>
      </c>
    </row>
    <row r="122" spans="1:7" x14ac:dyDescent="0.25">
      <c r="A122" s="49">
        <f>'A) Base RI'!A118</f>
        <v>5586</v>
      </c>
      <c r="B122" s="292" t="str">
        <f>'A) Base RI'!B118</f>
        <v>Lausanne</v>
      </c>
      <c r="C122" s="10">
        <f>'A) Base RI'!AO118</f>
        <v>140430</v>
      </c>
      <c r="D122" s="442">
        <f>'C) Prél. conj.'!H116</f>
        <v>22622309.775000002</v>
      </c>
      <c r="E122" s="10">
        <f>'D) Ecrêtage'!M116</f>
        <v>0</v>
      </c>
      <c r="F122" s="442">
        <f>$F$10*'D) Ecrêtage'!C116</f>
        <v>84741786.723794654</v>
      </c>
      <c r="G122" s="55">
        <f t="shared" si="1"/>
        <v>107364096.49879466</v>
      </c>
    </row>
    <row r="123" spans="1:7" x14ac:dyDescent="0.25">
      <c r="A123" s="49">
        <f>'A) Base RI'!A119</f>
        <v>5587</v>
      </c>
      <c r="B123" s="292" t="str">
        <f>'A) Base RI'!B119</f>
        <v>Le Mont-sur-Lausanne</v>
      </c>
      <c r="C123" s="10">
        <f>'A) Base RI'!AO119</f>
        <v>9136</v>
      </c>
      <c r="D123" s="442">
        <f>'C) Prél. conj.'!H117</f>
        <v>1742426.08</v>
      </c>
      <c r="E123" s="10">
        <f>'D) Ecrêtage'!M117</f>
        <v>40947.252815131986</v>
      </c>
      <c r="F123" s="442">
        <f>$F$10*'D) Ecrêtage'!C117</f>
        <v>5983200.0682911938</v>
      </c>
      <c r="G123" s="55">
        <f t="shared" si="1"/>
        <v>7766573.4011063259</v>
      </c>
    </row>
    <row r="124" spans="1:7" x14ac:dyDescent="0.25">
      <c r="A124" s="49">
        <f>'A) Base RI'!A120</f>
        <v>5588</v>
      </c>
      <c r="B124" s="292" t="str">
        <f>'A) Base RI'!B120</f>
        <v>Paudex</v>
      </c>
      <c r="C124" s="10">
        <f>'A) Base RI'!AO120</f>
        <v>1538</v>
      </c>
      <c r="D124" s="442">
        <f>'C) Prél. conj.'!H118</f>
        <v>272959.22000000003</v>
      </c>
      <c r="E124" s="10">
        <f>'D) Ecrêtage'!M118</f>
        <v>1287422.4597956014</v>
      </c>
      <c r="F124" s="442">
        <f>$F$10*'D) Ecrêtage'!C118</f>
        <v>1829956.7452232712</v>
      </c>
      <c r="G124" s="55">
        <f t="shared" si="1"/>
        <v>3390338.4250188731</v>
      </c>
    </row>
    <row r="125" spans="1:7" x14ac:dyDescent="0.25">
      <c r="A125" s="49">
        <f>'A) Base RI'!A121</f>
        <v>5589</v>
      </c>
      <c r="B125" s="292" t="str">
        <f>'A) Base RI'!B121</f>
        <v>Prilly</v>
      </c>
      <c r="C125" s="10">
        <f>'A) Base RI'!AO121</f>
        <v>12383</v>
      </c>
      <c r="D125" s="442">
        <f>'C) Prél. conj.'!H119</f>
        <v>1321687.345</v>
      </c>
      <c r="E125" s="10">
        <f>'D) Ecrêtage'!M119</f>
        <v>0</v>
      </c>
      <c r="F125" s="442">
        <f>$F$10*'D) Ecrêtage'!C119</f>
        <v>6147438.3322778763</v>
      </c>
      <c r="G125" s="55">
        <f t="shared" si="1"/>
        <v>7469125.6772778761</v>
      </c>
    </row>
    <row r="126" spans="1:7" x14ac:dyDescent="0.25">
      <c r="A126" s="49">
        <f>'A) Base RI'!A122</f>
        <v>5590</v>
      </c>
      <c r="B126" s="292" t="str">
        <f>'A) Base RI'!B122</f>
        <v>Pully</v>
      </c>
      <c r="C126" s="10">
        <f>'A) Base RI'!AO122</f>
        <v>18688</v>
      </c>
      <c r="D126" s="442">
        <f>'C) Prél. conj.'!H120</f>
        <v>4525872.1949999994</v>
      </c>
      <c r="E126" s="10">
        <f>'D) Ecrêtage'!M120</f>
        <v>10278686.781461507</v>
      </c>
      <c r="F126" s="442">
        <f>$F$10*'D) Ecrêtage'!C120</f>
        <v>19981520.037978336</v>
      </c>
      <c r="G126" s="55">
        <f t="shared" si="1"/>
        <v>34786079.014439844</v>
      </c>
    </row>
    <row r="127" spans="1:7" x14ac:dyDescent="0.25">
      <c r="A127" s="49">
        <f>'A) Base RI'!A123</f>
        <v>5591</v>
      </c>
      <c r="B127" s="292" t="str">
        <f>'A) Base RI'!B123</f>
        <v>Renens</v>
      </c>
      <c r="C127" s="10">
        <f>'A) Base RI'!AO123</f>
        <v>20863</v>
      </c>
      <c r="D127" s="442">
        <f>'C) Prél. conj.'!H121</f>
        <v>2903746.5250000004</v>
      </c>
      <c r="E127" s="10">
        <f>'D) Ecrêtage'!M121</f>
        <v>0</v>
      </c>
      <c r="F127" s="442">
        <f>$F$10*'D) Ecrêtage'!C121</f>
        <v>8062277.7267626319</v>
      </c>
      <c r="G127" s="55">
        <f t="shared" si="1"/>
        <v>10966024.251762632</v>
      </c>
    </row>
    <row r="128" spans="1:7" x14ac:dyDescent="0.25">
      <c r="A128" s="49">
        <f>'A) Base RI'!A124</f>
        <v>5592</v>
      </c>
      <c r="B128" s="292" t="str">
        <f>'A) Base RI'!B124</f>
        <v>Romanel-sur-Lausanne</v>
      </c>
      <c r="C128" s="10">
        <f>'A) Base RI'!AO124</f>
        <v>3247</v>
      </c>
      <c r="D128" s="442">
        <f>'C) Prél. conj.'!H122</f>
        <v>273041.82</v>
      </c>
      <c r="E128" s="10">
        <f>'D) Ecrêtage'!M122</f>
        <v>0</v>
      </c>
      <c r="F128" s="442">
        <f>$F$10*'D) Ecrêtage'!C122</f>
        <v>1638699.7411728154</v>
      </c>
      <c r="G128" s="55">
        <f t="shared" si="1"/>
        <v>1911741.5611728155</v>
      </c>
    </row>
    <row r="129" spans="1:7" x14ac:dyDescent="0.25">
      <c r="A129" s="49">
        <f>'A) Base RI'!A125</f>
        <v>5601</v>
      </c>
      <c r="B129" s="292" t="str">
        <f>'A) Base RI'!B125</f>
        <v>Chexbres</v>
      </c>
      <c r="C129" s="10">
        <f>'A) Base RI'!AO125</f>
        <v>2251</v>
      </c>
      <c r="D129" s="442">
        <f>'C) Prél. conj.'!H123</f>
        <v>846747.38</v>
      </c>
      <c r="E129" s="10">
        <f>'D) Ecrêtage'!M123</f>
        <v>0</v>
      </c>
      <c r="F129" s="442">
        <f>$F$10*'D) Ecrêtage'!C123</f>
        <v>1324986.6612939897</v>
      </c>
      <c r="G129" s="55">
        <f t="shared" si="1"/>
        <v>2171734.0412939899</v>
      </c>
    </row>
    <row r="130" spans="1:7" x14ac:dyDescent="0.25">
      <c r="A130" s="49">
        <f>'A) Base RI'!A126</f>
        <v>5604</v>
      </c>
      <c r="B130" s="292" t="str">
        <f>'A) Base RI'!B126</f>
        <v>Forel (Lavaux)</v>
      </c>
      <c r="C130" s="10">
        <f>'A) Base RI'!AO126</f>
        <v>2105</v>
      </c>
      <c r="D130" s="442">
        <f>'C) Prél. conj.'!H124</f>
        <v>189037.215</v>
      </c>
      <c r="E130" s="10">
        <f>'D) Ecrêtage'!M124</f>
        <v>0</v>
      </c>
      <c r="F130" s="442">
        <f>$F$10*'D) Ecrêtage'!C124</f>
        <v>963421.33842359961</v>
      </c>
      <c r="G130" s="55">
        <f t="shared" si="1"/>
        <v>1152458.5534235996</v>
      </c>
    </row>
    <row r="131" spans="1:7" x14ac:dyDescent="0.25">
      <c r="A131" s="49">
        <f>'A) Base RI'!A127</f>
        <v>5606</v>
      </c>
      <c r="B131" s="292" t="str">
        <f>'A) Base RI'!B127</f>
        <v>Lutry</v>
      </c>
      <c r="C131" s="10">
        <f>'A) Base RI'!AO127</f>
        <v>10455</v>
      </c>
      <c r="D131" s="442">
        <f>'C) Prél. conj.'!H125</f>
        <v>2810555.15</v>
      </c>
      <c r="E131" s="10">
        <f>'D) Ecrêtage'!M125</f>
        <v>6123339.2780251773</v>
      </c>
      <c r="F131" s="442">
        <f>$F$10*'D) Ecrêtage'!C125</f>
        <v>11824661.684335127</v>
      </c>
      <c r="G131" s="55">
        <f t="shared" si="1"/>
        <v>20758556.112360306</v>
      </c>
    </row>
    <row r="132" spans="1:7" x14ac:dyDescent="0.25">
      <c r="A132" s="49">
        <f>'A) Base RI'!A128</f>
        <v>5607</v>
      </c>
      <c r="B132" s="292" t="str">
        <f>'A) Base RI'!B128</f>
        <v>Puidoux</v>
      </c>
      <c r="C132" s="10">
        <f>'A) Base RI'!AO128</f>
        <v>2894</v>
      </c>
      <c r="D132" s="442">
        <f>'C) Prél. conj.'!H126</f>
        <v>645578.245</v>
      </c>
      <c r="E132" s="10">
        <f>'D) Ecrêtage'!M126</f>
        <v>0</v>
      </c>
      <c r="F132" s="442">
        <f>$F$10*'D) Ecrêtage'!C126</f>
        <v>1390821.822064125</v>
      </c>
      <c r="G132" s="55">
        <f t="shared" si="1"/>
        <v>2036400.0670641251</v>
      </c>
    </row>
    <row r="133" spans="1:7" x14ac:dyDescent="0.25">
      <c r="A133" s="49">
        <f>'A) Base RI'!A129</f>
        <v>5609</v>
      </c>
      <c r="B133" s="292" t="str">
        <f>'A) Base RI'!B129</f>
        <v>Rivaz</v>
      </c>
      <c r="C133" s="10">
        <f>'A) Base RI'!AO129</f>
        <v>337</v>
      </c>
      <c r="D133" s="442">
        <f>'C) Prél. conj.'!H127</f>
        <v>32722.075000000001</v>
      </c>
      <c r="E133" s="10">
        <f>'D) Ecrêtage'!M127</f>
        <v>0</v>
      </c>
      <c r="F133" s="442">
        <f>$F$10*'D) Ecrêtage'!C127</f>
        <v>216825.45913099425</v>
      </c>
      <c r="G133" s="55">
        <f t="shared" si="1"/>
        <v>249547.53413099426</v>
      </c>
    </row>
    <row r="134" spans="1:7" x14ac:dyDescent="0.25">
      <c r="A134" s="49">
        <f>'A) Base RI'!A130</f>
        <v>5610</v>
      </c>
      <c r="B134" s="292" t="str">
        <f>'A) Base RI'!B130</f>
        <v>St-Saphorin (Lavaux)</v>
      </c>
      <c r="C134" s="10">
        <f>'A) Base RI'!AO130</f>
        <v>388</v>
      </c>
      <c r="D134" s="442">
        <f>'C) Prél. conj.'!H128</f>
        <v>63924.004999999997</v>
      </c>
      <c r="E134" s="10">
        <f>'D) Ecrêtage'!M128</f>
        <v>7545.8099732708406</v>
      </c>
      <c r="F134" s="442">
        <f>$F$10*'D) Ecrêtage'!C128</f>
        <v>259583.97879389932</v>
      </c>
      <c r="G134" s="55">
        <f t="shared" si="1"/>
        <v>331053.79376717017</v>
      </c>
    </row>
    <row r="135" spans="1:7" x14ac:dyDescent="0.25">
      <c r="A135" s="49">
        <f>'A) Base RI'!A131</f>
        <v>5611</v>
      </c>
      <c r="B135" s="292" t="str">
        <f>'A) Base RI'!B131</f>
        <v>Savigny</v>
      </c>
      <c r="C135" s="10">
        <f>'A) Base RI'!AO131</f>
        <v>3348</v>
      </c>
      <c r="D135" s="442">
        <f>'C) Prél. conj.'!H129</f>
        <v>526973.39</v>
      </c>
      <c r="E135" s="10">
        <f>'D) Ecrêtage'!M129</f>
        <v>0</v>
      </c>
      <c r="F135" s="442">
        <f>$F$10*'D) Ecrêtage'!C129</f>
        <v>1847070.9880054616</v>
      </c>
      <c r="G135" s="55">
        <f t="shared" si="1"/>
        <v>2374044.3780054618</v>
      </c>
    </row>
    <row r="136" spans="1:7" x14ac:dyDescent="0.25">
      <c r="A136" s="49">
        <f>'A) Base RI'!A132</f>
        <v>5613</v>
      </c>
      <c r="B136" s="292" t="str">
        <f>'A) Base RI'!B132</f>
        <v>Bourg-en-Lavaux</v>
      </c>
      <c r="C136" s="10">
        <f>'A) Base RI'!AO132</f>
        <v>5389</v>
      </c>
      <c r="D136" s="442">
        <f>'C) Prél. conj.'!H130</f>
        <v>855270.01</v>
      </c>
      <c r="E136" s="10">
        <f>'D) Ecrêtage'!M130</f>
        <v>1255085.3957072718</v>
      </c>
      <c r="F136" s="442">
        <f>$F$10*'D) Ecrêtage'!C130</f>
        <v>4645236.2596112164</v>
      </c>
      <c r="G136" s="55">
        <f t="shared" si="1"/>
        <v>6755591.6653184881</v>
      </c>
    </row>
    <row r="137" spans="1:7" x14ac:dyDescent="0.25">
      <c r="A137" s="49">
        <f>'A) Base RI'!A133</f>
        <v>5621</v>
      </c>
      <c r="B137" s="292" t="str">
        <f>'A) Base RI'!B133</f>
        <v>Aclens</v>
      </c>
      <c r="C137" s="10">
        <f>'A) Base RI'!AO133</f>
        <v>528</v>
      </c>
      <c r="D137" s="442">
        <f>'C) Prél. conj.'!H131</f>
        <v>146091.25</v>
      </c>
      <c r="E137" s="10">
        <f>'D) Ecrêtage'!M131</f>
        <v>98262.547898609497</v>
      </c>
      <c r="F137" s="442">
        <f>$F$10*'D) Ecrêtage'!C131</f>
        <v>437896.02382786467</v>
      </c>
      <c r="G137" s="55">
        <f t="shared" si="1"/>
        <v>682249.82172647421</v>
      </c>
    </row>
    <row r="138" spans="1:7" x14ac:dyDescent="0.25">
      <c r="A138" s="49">
        <f>'A) Base RI'!A134</f>
        <v>5622</v>
      </c>
      <c r="B138" s="292" t="str">
        <f>'A) Base RI'!B134</f>
        <v>Bremblens</v>
      </c>
      <c r="C138" s="10">
        <f>'A) Base RI'!AO134</f>
        <v>583</v>
      </c>
      <c r="D138" s="442">
        <f>'C) Prél. conj.'!H132</f>
        <v>55094.149999999994</v>
      </c>
      <c r="E138" s="10">
        <f>'D) Ecrêtage'!M132</f>
        <v>0</v>
      </c>
      <c r="F138" s="442">
        <f>$F$10*'D) Ecrêtage'!C132</f>
        <v>375630.76719349338</v>
      </c>
      <c r="G138" s="55">
        <f t="shared" si="1"/>
        <v>430724.91719349334</v>
      </c>
    </row>
    <row r="139" spans="1:7" x14ac:dyDescent="0.25">
      <c r="A139" s="49">
        <f>'A) Base RI'!A135</f>
        <v>5623</v>
      </c>
      <c r="B139" s="292" t="str">
        <f>'A) Base RI'!B135</f>
        <v>Buchillon</v>
      </c>
      <c r="C139" s="10">
        <f>'A) Base RI'!AO135</f>
        <v>686</v>
      </c>
      <c r="D139" s="442">
        <f>'C) Prél. conj.'!H133</f>
        <v>125243.375</v>
      </c>
      <c r="E139" s="10">
        <f>'D) Ecrêtage'!M133</f>
        <v>1302985.2129087525</v>
      </c>
      <c r="F139" s="442">
        <f>$F$10*'D) Ecrêtage'!C133</f>
        <v>1275295.391305526</v>
      </c>
      <c r="G139" s="55">
        <f t="shared" si="1"/>
        <v>2703523.9792142785</v>
      </c>
    </row>
    <row r="140" spans="1:7" x14ac:dyDescent="0.25">
      <c r="A140" s="49">
        <f>'A) Base RI'!A136</f>
        <v>5624</v>
      </c>
      <c r="B140" s="292" t="str">
        <f>'A) Base RI'!B136</f>
        <v>Bussigny</v>
      </c>
      <c r="C140" s="10">
        <f>'A) Base RI'!AO136</f>
        <v>9614</v>
      </c>
      <c r="D140" s="442">
        <f>'C) Prél. conj.'!H134</f>
        <v>1700258.7099999997</v>
      </c>
      <c r="E140" s="10">
        <f>'D) Ecrêtage'!M134</f>
        <v>0</v>
      </c>
      <c r="F140" s="442">
        <f>$F$10*'D) Ecrêtage'!C134</f>
        <v>4753966.3595142253</v>
      </c>
      <c r="G140" s="55">
        <f t="shared" ref="G140:G203" si="2">D140+F140+E140</f>
        <v>6454225.0695142252</v>
      </c>
    </row>
    <row r="141" spans="1:7" x14ac:dyDescent="0.25">
      <c r="A141" s="49">
        <f>'A) Base RI'!A137</f>
        <v>5625</v>
      </c>
      <c r="B141" s="292" t="str">
        <f>'A) Base RI'!B137</f>
        <v>Bussy-Chardonney</v>
      </c>
      <c r="C141" s="10">
        <f>'A) Base RI'!AO137</f>
        <v>404</v>
      </c>
      <c r="D141" s="442">
        <f>'C) Prél. conj.'!H135</f>
        <v>94117.075000000012</v>
      </c>
      <c r="E141" s="10">
        <f>'D) Ecrêtage'!M135</f>
        <v>0</v>
      </c>
      <c r="F141" s="442">
        <f>$F$10*'D) Ecrêtage'!C135</f>
        <v>239680.03493771114</v>
      </c>
      <c r="G141" s="55">
        <f t="shared" si="2"/>
        <v>333797.10993771115</v>
      </c>
    </row>
    <row r="142" spans="1:7" x14ac:dyDescent="0.25">
      <c r="A142" s="49">
        <f>'A) Base RI'!A138</f>
        <v>5627</v>
      </c>
      <c r="B142" s="292" t="str">
        <f>'A) Base RI'!B138</f>
        <v>Chavannes-près-Renens</v>
      </c>
      <c r="C142" s="10">
        <f>'A) Base RI'!AO138</f>
        <v>8487</v>
      </c>
      <c r="D142" s="442">
        <f>'C) Prél. conj.'!H136</f>
        <v>514823.30499999993</v>
      </c>
      <c r="E142" s="10">
        <f>'D) Ecrêtage'!M136</f>
        <v>0</v>
      </c>
      <c r="F142" s="442">
        <f>$F$10*'D) Ecrêtage'!C136</f>
        <v>2187347.36511049</v>
      </c>
      <c r="G142" s="55">
        <f t="shared" si="2"/>
        <v>2702170.6701104902</v>
      </c>
    </row>
    <row r="143" spans="1:7" x14ac:dyDescent="0.25">
      <c r="A143" s="49">
        <f>'A) Base RI'!A139</f>
        <v>5628</v>
      </c>
      <c r="B143" s="292" t="str">
        <f>'A) Base RI'!B139</f>
        <v>Chigny</v>
      </c>
      <c r="C143" s="10">
        <f>'A) Base RI'!AO139</f>
        <v>396</v>
      </c>
      <c r="D143" s="442">
        <f>'C) Prél. conj.'!H137</f>
        <v>64763.435000000005</v>
      </c>
      <c r="E143" s="10">
        <f>'D) Ecrêtage'!M137</f>
        <v>79566.992242139066</v>
      </c>
      <c r="F143" s="442">
        <f>$F$10*'D) Ecrêtage'!C137</f>
        <v>332685.82466218941</v>
      </c>
      <c r="G143" s="55">
        <f t="shared" si="2"/>
        <v>477016.25190432847</v>
      </c>
    </row>
    <row r="144" spans="1:7" x14ac:dyDescent="0.25">
      <c r="A144" s="49">
        <f>'A) Base RI'!A140</f>
        <v>5629</v>
      </c>
      <c r="B144" s="292" t="str">
        <f>'A) Base RI'!B140</f>
        <v>Clarmont</v>
      </c>
      <c r="C144" s="10">
        <f>'A) Base RI'!AO140</f>
        <v>201</v>
      </c>
      <c r="D144" s="442">
        <f>'C) Prél. conj.'!H138</f>
        <v>2032.925</v>
      </c>
      <c r="E144" s="10">
        <f>'D) Ecrêtage'!M138</f>
        <v>0</v>
      </c>
      <c r="F144" s="442">
        <f>$F$10*'D) Ecrêtage'!C138</f>
        <v>115125.13523827582</v>
      </c>
      <c r="G144" s="55">
        <f t="shared" si="2"/>
        <v>117158.06023827582</v>
      </c>
    </row>
    <row r="145" spans="1:7" x14ac:dyDescent="0.25">
      <c r="A145" s="49">
        <f>'A) Base RI'!A141</f>
        <v>5631</v>
      </c>
      <c r="B145" s="292" t="str">
        <f>'A) Base RI'!B141</f>
        <v>Denens</v>
      </c>
      <c r="C145" s="10">
        <f>'A) Base RI'!AO141</f>
        <v>742</v>
      </c>
      <c r="D145" s="442">
        <f>'C) Prél. conj.'!H139</f>
        <v>190554.69999999998</v>
      </c>
      <c r="E145" s="10">
        <f>'D) Ecrêtage'!M139</f>
        <v>108746.37742592714</v>
      </c>
      <c r="F145" s="442">
        <f>$F$10*'D) Ecrêtage'!C139</f>
        <v>587093.83589487849</v>
      </c>
      <c r="G145" s="55">
        <f t="shared" si="2"/>
        <v>886394.91332080564</v>
      </c>
    </row>
    <row r="146" spans="1:7" x14ac:dyDescent="0.25">
      <c r="A146" s="49">
        <f>'A) Base RI'!A142</f>
        <v>5632</v>
      </c>
      <c r="B146" s="292" t="str">
        <f>'A) Base RI'!B142</f>
        <v>Denges</v>
      </c>
      <c r="C146" s="10">
        <f>'A) Base RI'!AO142</f>
        <v>1730</v>
      </c>
      <c r="D146" s="442">
        <f>'C) Prél. conj.'!H140</f>
        <v>212486.59</v>
      </c>
      <c r="E146" s="10">
        <f>'D) Ecrêtage'!M140</f>
        <v>0</v>
      </c>
      <c r="F146" s="442">
        <f>$F$10*'D) Ecrêtage'!C140</f>
        <v>1033270.5091123724</v>
      </c>
      <c r="G146" s="55">
        <f t="shared" si="2"/>
        <v>1245757.0991123724</v>
      </c>
    </row>
    <row r="147" spans="1:7" x14ac:dyDescent="0.25">
      <c r="A147" s="49">
        <f>'A) Base RI'!A143</f>
        <v>5633</v>
      </c>
      <c r="B147" s="292" t="str">
        <f>'A) Base RI'!B143</f>
        <v>Echandens</v>
      </c>
      <c r="C147" s="10">
        <f>'A) Base RI'!AO143</f>
        <v>2743</v>
      </c>
      <c r="D147" s="442">
        <f>'C) Prél. conj.'!H141</f>
        <v>784178.67500000005</v>
      </c>
      <c r="E147" s="10">
        <f>'D) Ecrêtage'!M141</f>
        <v>197973.42958908231</v>
      </c>
      <c r="F147" s="442">
        <f>$F$10*'D) Ecrêtage'!C141</f>
        <v>2006150.3745249519</v>
      </c>
      <c r="G147" s="55">
        <f t="shared" si="2"/>
        <v>2988302.4791140342</v>
      </c>
    </row>
    <row r="148" spans="1:7" x14ac:dyDescent="0.25">
      <c r="A148" s="49">
        <f>'A) Base RI'!A144</f>
        <v>5634</v>
      </c>
      <c r="B148" s="292" t="str">
        <f>'A) Base RI'!B144</f>
        <v>Echichens</v>
      </c>
      <c r="C148" s="10">
        <f>'A) Base RI'!AO144</f>
        <v>3127</v>
      </c>
      <c r="D148" s="442">
        <f>'C) Prél. conj.'!H142</f>
        <v>425843.33</v>
      </c>
      <c r="E148" s="10">
        <f>'D) Ecrêtage'!M142</f>
        <v>178886.79699826759</v>
      </c>
      <c r="F148" s="442">
        <f>$F$10*'D) Ecrêtage'!C142</f>
        <v>2218095.5041342275</v>
      </c>
      <c r="G148" s="55">
        <f t="shared" si="2"/>
        <v>2822825.6311324951</v>
      </c>
    </row>
    <row r="149" spans="1:7" x14ac:dyDescent="0.25">
      <c r="A149" s="49">
        <f>'A) Base RI'!A145</f>
        <v>5635</v>
      </c>
      <c r="B149" s="292" t="str">
        <f>'A) Base RI'!B145</f>
        <v>Ecublens</v>
      </c>
      <c r="C149" s="10">
        <f>'A) Base RI'!AO145</f>
        <v>13164</v>
      </c>
      <c r="D149" s="442">
        <f>'C) Prél. conj.'!H143</f>
        <v>2202529.105</v>
      </c>
      <c r="E149" s="10">
        <f>'D) Ecrêtage'!M143</f>
        <v>595475.31041311112</v>
      </c>
      <c r="F149" s="442">
        <f>$F$10*'D) Ecrêtage'!C143</f>
        <v>9210532.3720041122</v>
      </c>
      <c r="G149" s="55">
        <f t="shared" si="2"/>
        <v>12008536.787417224</v>
      </c>
    </row>
    <row r="150" spans="1:7" x14ac:dyDescent="0.25">
      <c r="A150" s="49">
        <f>'A) Base RI'!A146</f>
        <v>5636</v>
      </c>
      <c r="B150" s="292" t="str">
        <f>'A) Base RI'!B146</f>
        <v>Etoy</v>
      </c>
      <c r="C150" s="10">
        <f>'A) Base RI'!AO146</f>
        <v>2909</v>
      </c>
      <c r="D150" s="442">
        <f>'C) Prél. conj.'!H144</f>
        <v>675000.80999999994</v>
      </c>
      <c r="E150" s="10">
        <f>'D) Ecrêtage'!M144</f>
        <v>382485.03598480509</v>
      </c>
      <c r="F150" s="442">
        <f>$F$10*'D) Ecrêtage'!C144</f>
        <v>2306424.2669146135</v>
      </c>
      <c r="G150" s="55">
        <f t="shared" si="2"/>
        <v>3363910.1128994189</v>
      </c>
    </row>
    <row r="151" spans="1:7" x14ac:dyDescent="0.25">
      <c r="A151" s="49">
        <f>'A) Base RI'!A147</f>
        <v>5637</v>
      </c>
      <c r="B151" s="292" t="str">
        <f>'A) Base RI'!B147</f>
        <v>Lavigny</v>
      </c>
      <c r="C151" s="10">
        <f>'A) Base RI'!AO147</f>
        <v>1008</v>
      </c>
      <c r="D151" s="442">
        <f>'C) Prél. conj.'!H145</f>
        <v>178849.11499999999</v>
      </c>
      <c r="E151" s="10">
        <f>'D) Ecrêtage'!M145</f>
        <v>0</v>
      </c>
      <c r="F151" s="442">
        <f>$F$10*'D) Ecrêtage'!C145</f>
        <v>556553.93691350613</v>
      </c>
      <c r="G151" s="55">
        <f t="shared" si="2"/>
        <v>735403.05191350612</v>
      </c>
    </row>
    <row r="152" spans="1:7" x14ac:dyDescent="0.25">
      <c r="A152" s="49">
        <f>'A) Base RI'!A148</f>
        <v>5638</v>
      </c>
      <c r="B152" s="292" t="str">
        <f>'A) Base RI'!B148</f>
        <v>Lonay</v>
      </c>
      <c r="C152" s="10">
        <f>'A) Base RI'!AO148</f>
        <v>2679</v>
      </c>
      <c r="D152" s="442">
        <f>'C) Prél. conj.'!H146</f>
        <v>1147868.5950000002</v>
      </c>
      <c r="E152" s="10">
        <f>'D) Ecrêtage'!M146</f>
        <v>180887.54242552962</v>
      </c>
      <c r="F152" s="442">
        <f>$F$10*'D) Ecrêtage'!C146</f>
        <v>1965619.9288390325</v>
      </c>
      <c r="G152" s="55">
        <f t="shared" si="2"/>
        <v>3294376.0662645623</v>
      </c>
    </row>
    <row r="153" spans="1:7" x14ac:dyDescent="0.25">
      <c r="A153" s="49">
        <f>'A) Base RI'!A149</f>
        <v>5639</v>
      </c>
      <c r="B153" s="292" t="str">
        <f>'A) Base RI'!B149</f>
        <v>Lully</v>
      </c>
      <c r="C153" s="10">
        <f>'A) Base RI'!AO149</f>
        <v>825</v>
      </c>
      <c r="D153" s="442">
        <f>'C) Prél. conj.'!H147</f>
        <v>80821.210000000006</v>
      </c>
      <c r="E153" s="10">
        <f>'D) Ecrêtage'!M147</f>
        <v>71777.207950488897</v>
      </c>
      <c r="F153" s="442">
        <f>$F$10*'D) Ecrêtage'!C147</f>
        <v>616383.6076820849</v>
      </c>
      <c r="G153" s="55">
        <f t="shared" si="2"/>
        <v>768982.02563257376</v>
      </c>
    </row>
    <row r="154" spans="1:7" x14ac:dyDescent="0.25">
      <c r="A154" s="49">
        <f>'A) Base RI'!A150</f>
        <v>5640</v>
      </c>
      <c r="B154" s="292" t="str">
        <f>'A) Base RI'!B150</f>
        <v>Lussy-sur-Morges</v>
      </c>
      <c r="C154" s="10">
        <f>'A) Base RI'!AO150</f>
        <v>722</v>
      </c>
      <c r="D154" s="442">
        <f>'C) Prél. conj.'!H148</f>
        <v>176008.05500000002</v>
      </c>
      <c r="E154" s="10">
        <f>'D) Ecrêtage'!M148</f>
        <v>426810.42256340245</v>
      </c>
      <c r="F154" s="442">
        <f>$F$10*'D) Ecrêtage'!C148</f>
        <v>770515.50921096921</v>
      </c>
      <c r="G154" s="55">
        <f t="shared" si="2"/>
        <v>1373333.9867743717</v>
      </c>
    </row>
    <row r="155" spans="1:7" x14ac:dyDescent="0.25">
      <c r="A155" s="49">
        <f>'A) Base RI'!A151</f>
        <v>5642</v>
      </c>
      <c r="B155" s="292" t="str">
        <f>'A) Base RI'!B151</f>
        <v>Morges</v>
      </c>
      <c r="C155" s="10">
        <f>'A) Base RI'!AO151</f>
        <v>16095</v>
      </c>
      <c r="D155" s="442">
        <f>'C) Prél. conj.'!H149</f>
        <v>3113594.7</v>
      </c>
      <c r="E155" s="10">
        <f>'D) Ecrêtage'!M149</f>
        <v>163846.77047946496</v>
      </c>
      <c r="F155" s="442">
        <f>$F$10*'D) Ecrêtage'!C149</f>
        <v>10639571.519019848</v>
      </c>
      <c r="G155" s="55">
        <f t="shared" si="2"/>
        <v>13917012.989499314</v>
      </c>
    </row>
    <row r="156" spans="1:7" x14ac:dyDescent="0.25">
      <c r="A156" s="49">
        <f>'A) Base RI'!A152</f>
        <v>5643</v>
      </c>
      <c r="B156" s="292" t="str">
        <f>'A) Base RI'!B152</f>
        <v>Préverenges</v>
      </c>
      <c r="C156" s="10">
        <f>'A) Base RI'!AO152</f>
        <v>5241</v>
      </c>
      <c r="D156" s="442">
        <f>'C) Prél. conj.'!H150</f>
        <v>468623.59499999997</v>
      </c>
      <c r="E156" s="10">
        <f>'D) Ecrêtage'!M150</f>
        <v>123522.38087147546</v>
      </c>
      <c r="F156" s="442">
        <f>$F$10*'D) Ecrêtage'!C150</f>
        <v>3544267.6171044083</v>
      </c>
      <c r="G156" s="55">
        <f t="shared" si="2"/>
        <v>4136413.5929758837</v>
      </c>
    </row>
    <row r="157" spans="1:7" x14ac:dyDescent="0.25">
      <c r="A157" s="49">
        <f>'A) Base RI'!A153</f>
        <v>5644</v>
      </c>
      <c r="B157" s="292" t="str">
        <f>'A) Base RI'!B153</f>
        <v>Reverolle</v>
      </c>
      <c r="C157" s="10">
        <f>'A) Base RI'!AO153</f>
        <v>407</v>
      </c>
      <c r="D157" s="442">
        <f>'C) Prél. conj.'!H151</f>
        <v>14428.269999999999</v>
      </c>
      <c r="E157" s="10">
        <f>'D) Ecrêtage'!M151</f>
        <v>0</v>
      </c>
      <c r="F157" s="442">
        <f>$F$10*'D) Ecrêtage'!C151</f>
        <v>216445.77181697264</v>
      </c>
      <c r="G157" s="55">
        <f t="shared" si="2"/>
        <v>230874.04181697263</v>
      </c>
    </row>
    <row r="158" spans="1:7" x14ac:dyDescent="0.25">
      <c r="A158" s="49">
        <f>'A) Base RI'!A154</f>
        <v>5645</v>
      </c>
      <c r="B158" s="292" t="str">
        <f>'A) Base RI'!B154</f>
        <v>Romanel-sur-Morges</v>
      </c>
      <c r="C158" s="10">
        <f>'A) Base RI'!AO154</f>
        <v>466</v>
      </c>
      <c r="D158" s="442">
        <f>'C) Prél. conj.'!H152</f>
        <v>100513.29000000001</v>
      </c>
      <c r="E158" s="10">
        <f>'D) Ecrêtage'!M152</f>
        <v>57485.476110413074</v>
      </c>
      <c r="F158" s="442">
        <f>$F$10*'D) Ecrêtage'!C152</f>
        <v>369712.32614842086</v>
      </c>
      <c r="G158" s="55">
        <f t="shared" si="2"/>
        <v>527711.09225883393</v>
      </c>
    </row>
    <row r="159" spans="1:7" x14ac:dyDescent="0.25">
      <c r="A159" s="49">
        <f>'A) Base RI'!A155</f>
        <v>5646</v>
      </c>
      <c r="B159" s="292" t="str">
        <f>'A) Base RI'!B155</f>
        <v>Saint-Prex</v>
      </c>
      <c r="C159" s="10">
        <f>'A) Base RI'!AO155</f>
        <v>5865</v>
      </c>
      <c r="D159" s="442">
        <f>'C) Prél. conj.'!H153</f>
        <v>1464267.6150000002</v>
      </c>
      <c r="E159" s="10">
        <f>'D) Ecrêtage'!M153</f>
        <v>4601071.2675050283</v>
      </c>
      <c r="F159" s="442">
        <f>$F$10*'D) Ecrêtage'!C153</f>
        <v>7310347.1858276101</v>
      </c>
      <c r="G159" s="55">
        <f t="shared" si="2"/>
        <v>13375686.068332639</v>
      </c>
    </row>
    <row r="160" spans="1:7" x14ac:dyDescent="0.25">
      <c r="A160" s="49">
        <f>'A) Base RI'!A156</f>
        <v>5648</v>
      </c>
      <c r="B160" s="292" t="str">
        <f>'A) Base RI'!B156</f>
        <v>Saint-Sulpice</v>
      </c>
      <c r="C160" s="10">
        <f>'A) Base RI'!AO156</f>
        <v>4909</v>
      </c>
      <c r="D160" s="442">
        <f>'C) Prél. conj.'!H154</f>
        <v>860522.28000000014</v>
      </c>
      <c r="E160" s="10">
        <f>'D) Ecrêtage'!M154</f>
        <v>2609992.850530636</v>
      </c>
      <c r="F160" s="442">
        <f>$F$10*'D) Ecrêtage'!C154</f>
        <v>5356586.9152498897</v>
      </c>
      <c r="G160" s="55">
        <f t="shared" si="2"/>
        <v>8827102.0457805265</v>
      </c>
    </row>
    <row r="161" spans="1:7" x14ac:dyDescent="0.25">
      <c r="A161" s="49">
        <f>'A) Base RI'!A157</f>
        <v>5649</v>
      </c>
      <c r="B161" s="292" t="str">
        <f>'A) Base RI'!B157</f>
        <v>Tolochenaz</v>
      </c>
      <c r="C161" s="10">
        <f>'A) Base RI'!AO157</f>
        <v>1889</v>
      </c>
      <c r="D161" s="442">
        <f>'C) Prél. conj.'!H155</f>
        <v>356423.54500000004</v>
      </c>
      <c r="E161" s="10">
        <f>'D) Ecrêtage'!M155</f>
        <v>3042623.6160215605</v>
      </c>
      <c r="F161" s="442">
        <f>$F$10*'D) Ecrêtage'!C155</f>
        <v>2912131.8730354393</v>
      </c>
      <c r="G161" s="55">
        <f t="shared" si="2"/>
        <v>6311179.0340569997</v>
      </c>
    </row>
    <row r="162" spans="1:7" x14ac:dyDescent="0.25">
      <c r="A162" s="49">
        <f>'A) Base RI'!A158</f>
        <v>5650</v>
      </c>
      <c r="B162" s="292" t="str">
        <f>'A) Base RI'!B158</f>
        <v>Vaux-sur-Morges</v>
      </c>
      <c r="C162" s="10">
        <f>'A) Base RI'!AO158</f>
        <v>194</v>
      </c>
      <c r="D162" s="442">
        <f>'C) Prél. conj.'!H156</f>
        <v>10529404.125</v>
      </c>
      <c r="E162" s="10">
        <f>'D) Ecrêtage'!M156</f>
        <v>1609269.1242403269</v>
      </c>
      <c r="F162" s="442">
        <f>$F$10*'D) Ecrêtage'!C156</f>
        <v>851184.36800017406</v>
      </c>
      <c r="G162" s="55">
        <f t="shared" si="2"/>
        <v>12989857.617240502</v>
      </c>
    </row>
    <row r="163" spans="1:7" x14ac:dyDescent="0.25">
      <c r="A163" s="49">
        <f>'A) Base RI'!A159</f>
        <v>5651</v>
      </c>
      <c r="B163" s="292" t="str">
        <f>'A) Base RI'!B159</f>
        <v>Villars-Sainte-Croix</v>
      </c>
      <c r="C163" s="10">
        <f>'A) Base RI'!AO159</f>
        <v>958</v>
      </c>
      <c r="D163" s="442">
        <f>'C) Prél. conj.'!H157</f>
        <v>196820.55</v>
      </c>
      <c r="E163" s="10">
        <f>'D) Ecrêtage'!M157</f>
        <v>124741.930667935</v>
      </c>
      <c r="F163" s="442">
        <f>$F$10*'D) Ecrêtage'!C157</f>
        <v>757869.25926004327</v>
      </c>
      <c r="G163" s="55">
        <f t="shared" si="2"/>
        <v>1079431.7399279783</v>
      </c>
    </row>
    <row r="164" spans="1:7" x14ac:dyDescent="0.25">
      <c r="A164" s="49">
        <f>'A) Base RI'!A160</f>
        <v>5652</v>
      </c>
      <c r="B164" s="292" t="str">
        <f>'A) Base RI'!B160</f>
        <v>Villars-sous-Yens</v>
      </c>
      <c r="C164" s="10">
        <f>'A) Base RI'!AO160</f>
        <v>615</v>
      </c>
      <c r="D164" s="442">
        <f>'C) Prél. conj.'!H158</f>
        <v>84572.459999999992</v>
      </c>
      <c r="E164" s="10">
        <f>'D) Ecrêtage'!M158</f>
        <v>0</v>
      </c>
      <c r="F164" s="442">
        <f>$F$10*'D) Ecrêtage'!C158</f>
        <v>346706.20688005642</v>
      </c>
      <c r="G164" s="55">
        <f t="shared" si="2"/>
        <v>431278.66688005638</v>
      </c>
    </row>
    <row r="165" spans="1:7" x14ac:dyDescent="0.25">
      <c r="A165" s="49">
        <f>'A) Base RI'!A161</f>
        <v>5653</v>
      </c>
      <c r="B165" s="292" t="str">
        <f>'A) Base RI'!B161</f>
        <v>Vufflens-le-Château</v>
      </c>
      <c r="C165" s="10">
        <f>'A) Base RI'!AO161</f>
        <v>870</v>
      </c>
      <c r="D165" s="442">
        <f>'C) Prél. conj.'!H159</f>
        <v>180159.61</v>
      </c>
      <c r="E165" s="10">
        <f>'D) Ecrêtage'!M159</f>
        <v>457350.96440569928</v>
      </c>
      <c r="F165" s="442">
        <f>$F$10*'D) Ecrêtage'!C159</f>
        <v>929322.8529817895</v>
      </c>
      <c r="G165" s="55">
        <f t="shared" si="2"/>
        <v>1566833.4273874885</v>
      </c>
    </row>
    <row r="166" spans="1:7" x14ac:dyDescent="0.25">
      <c r="A166" s="49">
        <f>'A) Base RI'!A162</f>
        <v>5654</v>
      </c>
      <c r="B166" s="292" t="str">
        <f>'A) Base RI'!B162</f>
        <v>Vullierens</v>
      </c>
      <c r="C166" s="10">
        <f>'A) Base RI'!AO162</f>
        <v>542</v>
      </c>
      <c r="D166" s="442">
        <f>'C) Prél. conj.'!H160</f>
        <v>81004.5</v>
      </c>
      <c r="E166" s="10">
        <f>'D) Ecrêtage'!M160</f>
        <v>0</v>
      </c>
      <c r="F166" s="442">
        <f>$F$10*'D) Ecrêtage'!C160</f>
        <v>260288.88951403101</v>
      </c>
      <c r="G166" s="55">
        <f t="shared" si="2"/>
        <v>341293.38951403101</v>
      </c>
    </row>
    <row r="167" spans="1:7" x14ac:dyDescent="0.25">
      <c r="A167" s="49">
        <f>'A) Base RI'!A163</f>
        <v>5655</v>
      </c>
      <c r="B167" s="292" t="str">
        <f>'A) Base RI'!B163</f>
        <v>Yens</v>
      </c>
      <c r="C167" s="10">
        <f>'A) Base RI'!AO163</f>
        <v>1480</v>
      </c>
      <c r="D167" s="442">
        <f>'C) Prél. conj.'!H161</f>
        <v>234547.5</v>
      </c>
      <c r="E167" s="10">
        <f>'D) Ecrêtage'!M161</f>
        <v>319428.45616370003</v>
      </c>
      <c r="F167" s="442">
        <f>$F$10*'D) Ecrêtage'!C161</f>
        <v>1228564.6015473946</v>
      </c>
      <c r="G167" s="55">
        <f t="shared" si="2"/>
        <v>1782540.5577110946</v>
      </c>
    </row>
    <row r="168" spans="1:7" x14ac:dyDescent="0.25">
      <c r="A168" s="49">
        <f>'A) Base RI'!A164</f>
        <v>5661</v>
      </c>
      <c r="B168" s="292" t="str">
        <f>'A) Base RI'!B164</f>
        <v>Boulens</v>
      </c>
      <c r="C168" s="10">
        <f>'A) Base RI'!AO164</f>
        <v>369</v>
      </c>
      <c r="D168" s="442">
        <f>'C) Prél. conj.'!H162</f>
        <v>17144.66</v>
      </c>
      <c r="E168" s="10">
        <f>'D) Ecrêtage'!M162</f>
        <v>0</v>
      </c>
      <c r="F168" s="442">
        <f>$F$10*'D) Ecrêtage'!C162</f>
        <v>137371.16421717723</v>
      </c>
      <c r="G168" s="55">
        <f t="shared" si="2"/>
        <v>154515.82421717723</v>
      </c>
    </row>
    <row r="169" spans="1:7" x14ac:dyDescent="0.25">
      <c r="A169" s="49">
        <f>'A) Base RI'!A165</f>
        <v>5663</v>
      </c>
      <c r="B169" s="292" t="str">
        <f>'A) Base RI'!B165</f>
        <v>Bussy-sur-Moudon</v>
      </c>
      <c r="C169" s="10">
        <f>'A) Base RI'!AO165</f>
        <v>219</v>
      </c>
      <c r="D169" s="442">
        <f>'C) Prél. conj.'!H163</f>
        <v>10601.375</v>
      </c>
      <c r="E169" s="10">
        <f>'D) Ecrêtage'!M163</f>
        <v>0</v>
      </c>
      <c r="F169" s="442">
        <f>$F$10*'D) Ecrêtage'!C163</f>
        <v>73065.665745368722</v>
      </c>
      <c r="G169" s="55">
        <f t="shared" si="2"/>
        <v>83667.040745368722</v>
      </c>
    </row>
    <row r="170" spans="1:7" x14ac:dyDescent="0.25">
      <c r="A170" s="49">
        <f>'A) Base RI'!A166</f>
        <v>5665</v>
      </c>
      <c r="B170" s="292" t="str">
        <f>'A) Base RI'!B166</f>
        <v>Chavannes-sur-Moudon</v>
      </c>
      <c r="C170" s="10">
        <f>'A) Base RI'!AO166</f>
        <v>223</v>
      </c>
      <c r="D170" s="442">
        <f>'C) Prél. conj.'!H164</f>
        <v>26468.95</v>
      </c>
      <c r="E170" s="10">
        <f>'D) Ecrêtage'!M164</f>
        <v>0</v>
      </c>
      <c r="F170" s="442">
        <f>$F$10*'D) Ecrêtage'!C164</f>
        <v>92340.785484976179</v>
      </c>
      <c r="G170" s="55">
        <f t="shared" si="2"/>
        <v>118809.73548497618</v>
      </c>
    </row>
    <row r="171" spans="1:7" x14ac:dyDescent="0.25">
      <c r="A171" s="49">
        <f>'A) Base RI'!A167</f>
        <v>5669</v>
      </c>
      <c r="B171" s="292" t="str">
        <f>'A) Base RI'!B167</f>
        <v>Curtilles</v>
      </c>
      <c r="C171" s="10">
        <f>'A) Base RI'!AO167</f>
        <v>301</v>
      </c>
      <c r="D171" s="442">
        <f>'C) Prél. conj.'!H165</f>
        <v>16157.399999999998</v>
      </c>
      <c r="E171" s="10">
        <f>'D) Ecrêtage'!M165</f>
        <v>0</v>
      </c>
      <c r="F171" s="442">
        <f>$F$10*'D) Ecrêtage'!C165</f>
        <v>138978.91552199807</v>
      </c>
      <c r="G171" s="55">
        <f t="shared" si="2"/>
        <v>155136.31552199807</v>
      </c>
    </row>
    <row r="172" spans="1:7" x14ac:dyDescent="0.25">
      <c r="A172" s="49">
        <f>'A) Base RI'!A168</f>
        <v>5671</v>
      </c>
      <c r="B172" s="292" t="str">
        <f>'A) Base RI'!B168</f>
        <v>Dompierre</v>
      </c>
      <c r="C172" s="10">
        <f>'A) Base RI'!AO168</f>
        <v>245</v>
      </c>
      <c r="D172" s="442">
        <f>'C) Prél. conj.'!H166</f>
        <v>29150.325000000001</v>
      </c>
      <c r="E172" s="10">
        <f>'D) Ecrêtage'!M166</f>
        <v>0</v>
      </c>
      <c r="F172" s="442">
        <f>$F$10*'D) Ecrêtage'!C166</f>
        <v>81522.292338317522</v>
      </c>
      <c r="G172" s="55">
        <f t="shared" si="2"/>
        <v>110672.61733831752</v>
      </c>
    </row>
    <row r="173" spans="1:7" x14ac:dyDescent="0.25">
      <c r="A173" s="49">
        <f>'A) Base RI'!A169</f>
        <v>5673</v>
      </c>
      <c r="B173" s="292" t="str">
        <f>'A) Base RI'!B169</f>
        <v>Hermenches</v>
      </c>
      <c r="C173" s="10">
        <f>'A) Base RI'!AO169</f>
        <v>384</v>
      </c>
      <c r="D173" s="442">
        <f>'C) Prél. conj.'!H167</f>
        <v>14088.325000000001</v>
      </c>
      <c r="E173" s="10">
        <f>'D) Ecrêtage'!M167</f>
        <v>0</v>
      </c>
      <c r="F173" s="442">
        <f>$F$10*'D) Ecrêtage'!C167</f>
        <v>143732.85986359188</v>
      </c>
      <c r="G173" s="55">
        <f t="shared" si="2"/>
        <v>157821.18486359189</v>
      </c>
    </row>
    <row r="174" spans="1:7" x14ac:dyDescent="0.25">
      <c r="A174" s="49">
        <f>'A) Base RI'!A170</f>
        <v>5674</v>
      </c>
      <c r="B174" s="292" t="str">
        <f>'A) Base RI'!B170</f>
        <v>Lovatens</v>
      </c>
      <c r="C174" s="10">
        <f>'A) Base RI'!AO170</f>
        <v>142</v>
      </c>
      <c r="D174" s="442">
        <f>'C) Prél. conj.'!H168</f>
        <v>37764.199999999997</v>
      </c>
      <c r="E174" s="10">
        <f>'D) Ecrêtage'!M168</f>
        <v>0</v>
      </c>
      <c r="F174" s="442">
        <f>$F$10*'D) Ecrêtage'!C168</f>
        <v>46350.498331179035</v>
      </c>
      <c r="G174" s="55">
        <f t="shared" si="2"/>
        <v>84114.698331179039</v>
      </c>
    </row>
    <row r="175" spans="1:7" x14ac:dyDescent="0.25">
      <c r="A175" s="49">
        <f>'A) Base RI'!A171</f>
        <v>5675</v>
      </c>
      <c r="B175" s="292" t="str">
        <f>'A) Base RI'!B171</f>
        <v>Lucens</v>
      </c>
      <c r="C175" s="10">
        <f>'A) Base RI'!AO171</f>
        <v>4309</v>
      </c>
      <c r="D175" s="442">
        <f>'C) Prél. conj.'!H169</f>
        <v>259829.43000000002</v>
      </c>
      <c r="E175" s="10">
        <f>'D) Ecrêtage'!M169</f>
        <v>0</v>
      </c>
      <c r="F175" s="442">
        <f>$F$10*'D) Ecrêtage'!C169</f>
        <v>1312586.7374650915</v>
      </c>
      <c r="G175" s="55">
        <f t="shared" si="2"/>
        <v>1572416.1674650915</v>
      </c>
    </row>
    <row r="176" spans="1:7" x14ac:dyDescent="0.25">
      <c r="A176" s="49">
        <f>'A) Base RI'!A172</f>
        <v>5678</v>
      </c>
      <c r="B176" s="292" t="str">
        <f>'A) Base RI'!B172</f>
        <v>Moudon</v>
      </c>
      <c r="C176" s="10">
        <f>'A) Base RI'!AO172</f>
        <v>6109</v>
      </c>
      <c r="D176" s="442">
        <f>'C) Prél. conj.'!H170</f>
        <v>658379.73499999999</v>
      </c>
      <c r="E176" s="10">
        <f>'D) Ecrêtage'!M170</f>
        <v>0</v>
      </c>
      <c r="F176" s="442">
        <f>$F$10*'D) Ecrêtage'!C170</f>
        <v>1688325.5467523353</v>
      </c>
      <c r="G176" s="55">
        <f t="shared" si="2"/>
        <v>2346705.2817523354</v>
      </c>
    </row>
    <row r="177" spans="1:7" x14ac:dyDescent="0.25">
      <c r="A177" s="49">
        <f>'A) Base RI'!A173</f>
        <v>5680</v>
      </c>
      <c r="B177" s="292" t="str">
        <f>'A) Base RI'!B173</f>
        <v>Ogens</v>
      </c>
      <c r="C177" s="10">
        <f>'A) Base RI'!AO173</f>
        <v>301</v>
      </c>
      <c r="D177" s="442">
        <f>'C) Prél. conj.'!H171</f>
        <v>51453.899999999994</v>
      </c>
      <c r="E177" s="10">
        <f>'D) Ecrêtage'!M171</f>
        <v>0</v>
      </c>
      <c r="F177" s="442">
        <f>$F$10*'D) Ecrêtage'!C171</f>
        <v>117203.09811826196</v>
      </c>
      <c r="G177" s="55">
        <f t="shared" si="2"/>
        <v>168656.99811826195</v>
      </c>
    </row>
    <row r="178" spans="1:7" x14ac:dyDescent="0.25">
      <c r="A178" s="49">
        <f>'A) Base RI'!A174</f>
        <v>5683</v>
      </c>
      <c r="B178" s="292" t="str">
        <f>'A) Base RI'!B174</f>
        <v>Prévonloup</v>
      </c>
      <c r="C178" s="10">
        <f>'A) Base RI'!AO174</f>
        <v>202</v>
      </c>
      <c r="D178" s="442">
        <f>'C) Prél. conj.'!H172</f>
        <v>2183.5500000000002</v>
      </c>
      <c r="E178" s="10">
        <f>'D) Ecrêtage'!M172</f>
        <v>0</v>
      </c>
      <c r="F178" s="442">
        <f>$F$10*'D) Ecrêtage'!C172</f>
        <v>67633.154189291628</v>
      </c>
      <c r="G178" s="55">
        <f t="shared" si="2"/>
        <v>69816.704189291631</v>
      </c>
    </row>
    <row r="179" spans="1:7" x14ac:dyDescent="0.25">
      <c r="A179" s="49">
        <f>'A) Base RI'!A175</f>
        <v>5684</v>
      </c>
      <c r="B179" s="292" t="str">
        <f>'A) Base RI'!B175</f>
        <v>Rossenges</v>
      </c>
      <c r="C179" s="10">
        <f>'A) Base RI'!AO175</f>
        <v>84</v>
      </c>
      <c r="D179" s="442">
        <f>'C) Prél. conj.'!H173</f>
        <v>0</v>
      </c>
      <c r="E179" s="10">
        <f>'D) Ecrêtage'!M173</f>
        <v>4336.4657061715006</v>
      </c>
      <c r="F179" s="442">
        <f>$F$10*'D) Ecrêtage'!C173</f>
        <v>58571.701919152911</v>
      </c>
      <c r="G179" s="55">
        <f t="shared" si="2"/>
        <v>62908.167625324408</v>
      </c>
    </row>
    <row r="180" spans="1:7" x14ac:dyDescent="0.25">
      <c r="A180" s="49">
        <f>'A) Base RI'!A176</f>
        <v>5688</v>
      </c>
      <c r="B180" s="292" t="str">
        <f>'A) Base RI'!B176</f>
        <v>Syens</v>
      </c>
      <c r="C180" s="10">
        <f>'A) Base RI'!AO176</f>
        <v>156</v>
      </c>
      <c r="D180" s="442">
        <f>'C) Prél. conj.'!H174</f>
        <v>20.324999999999999</v>
      </c>
      <c r="E180" s="10">
        <f>'D) Ecrêtage'!M174</f>
        <v>0</v>
      </c>
      <c r="F180" s="442">
        <f>$F$10*'D) Ecrêtage'!C174</f>
        <v>68822.715204403125</v>
      </c>
      <c r="G180" s="55">
        <f t="shared" si="2"/>
        <v>68843.040204403122</v>
      </c>
    </row>
    <row r="181" spans="1:7" x14ac:dyDescent="0.25">
      <c r="A181" s="49">
        <f>'A) Base RI'!A177</f>
        <v>5690</v>
      </c>
      <c r="B181" s="292" t="str">
        <f>'A) Base RI'!B177</f>
        <v>Villars-le-Comte</v>
      </c>
      <c r="C181" s="10">
        <f>'A) Base RI'!AO177</f>
        <v>120</v>
      </c>
      <c r="D181" s="442">
        <f>'C) Prél. conj.'!H175</f>
        <v>17777.199999999997</v>
      </c>
      <c r="E181" s="10">
        <f>'D) Ecrêtage'!M175</f>
        <v>0</v>
      </c>
      <c r="F181" s="442">
        <f>$F$10*'D) Ecrêtage'!C175</f>
        <v>47067.043896383504</v>
      </c>
      <c r="G181" s="55">
        <f t="shared" si="2"/>
        <v>64844.243896383501</v>
      </c>
    </row>
    <row r="182" spans="1:7" x14ac:dyDescent="0.25">
      <c r="A182" s="49">
        <f>'A) Base RI'!A178</f>
        <v>5692</v>
      </c>
      <c r="B182" s="292" t="str">
        <f>'A) Base RI'!B178</f>
        <v>Vucherens</v>
      </c>
      <c r="C182" s="10">
        <f>'A) Base RI'!AO178</f>
        <v>617</v>
      </c>
      <c r="D182" s="442">
        <f>'C) Prél. conj.'!H176</f>
        <v>54160.24</v>
      </c>
      <c r="E182" s="10">
        <f>'D) Ecrêtage'!M176</f>
        <v>0</v>
      </c>
      <c r="F182" s="442">
        <f>$F$10*'D) Ecrêtage'!C176</f>
        <v>244328.54182712853</v>
      </c>
      <c r="G182" s="55">
        <f t="shared" si="2"/>
        <v>298488.78182712855</v>
      </c>
    </row>
    <row r="183" spans="1:7" x14ac:dyDescent="0.25">
      <c r="A183" s="49">
        <f>'A) Base RI'!A179</f>
        <v>5693</v>
      </c>
      <c r="B183" s="292" t="str">
        <f>'A) Base RI'!B179</f>
        <v>Montanaire</v>
      </c>
      <c r="C183" s="10">
        <f>'A) Base RI'!AO179</f>
        <v>2782</v>
      </c>
      <c r="D183" s="442">
        <f>'C) Prél. conj.'!H177</f>
        <v>258026.91500000001</v>
      </c>
      <c r="E183" s="10">
        <f>'D) Ecrêtage'!M177</f>
        <v>0</v>
      </c>
      <c r="F183" s="442">
        <f>$F$10*'D) Ecrêtage'!C177</f>
        <v>960862.75466453983</v>
      </c>
      <c r="G183" s="55">
        <f t="shared" si="2"/>
        <v>1218889.6696645399</v>
      </c>
    </row>
    <row r="184" spans="1:7" x14ac:dyDescent="0.25">
      <c r="A184" s="49">
        <f>'A) Base RI'!A180</f>
        <v>5701</v>
      </c>
      <c r="B184" s="292" t="str">
        <f>'A) Base RI'!B180</f>
        <v>Arnex-sur-Nyon</v>
      </c>
      <c r="C184" s="10">
        <f>'A) Base RI'!AO180</f>
        <v>240</v>
      </c>
      <c r="D184" s="442">
        <f>'C) Prél. conj.'!H178</f>
        <v>77483.425000000003</v>
      </c>
      <c r="E184" s="10">
        <f>'D) Ecrêtage'!M178</f>
        <v>14262.45654979065</v>
      </c>
      <c r="F184" s="442">
        <f>$F$10*'D) Ecrêtage'!C178</f>
        <v>169951.88451532926</v>
      </c>
      <c r="G184" s="55">
        <f t="shared" si="2"/>
        <v>261697.76606511991</v>
      </c>
    </row>
    <row r="185" spans="1:7" x14ac:dyDescent="0.25">
      <c r="A185" s="49">
        <f>'A) Base RI'!A181</f>
        <v>5702</v>
      </c>
      <c r="B185" s="292" t="str">
        <f>'A) Base RI'!B181</f>
        <v>Arzier-Le Muids</v>
      </c>
      <c r="C185" s="10">
        <f>'A) Base RI'!AO181</f>
        <v>2912</v>
      </c>
      <c r="D185" s="442">
        <f>'C) Prél. conj.'!H179</f>
        <v>493485.35500000004</v>
      </c>
      <c r="E185" s="10">
        <f>'D) Ecrêtage'!M179</f>
        <v>351769.08815234399</v>
      </c>
      <c r="F185" s="442">
        <f>$F$10*'D) Ecrêtage'!C179</f>
        <v>2266374.9674270037</v>
      </c>
      <c r="G185" s="55">
        <f t="shared" si="2"/>
        <v>3111629.4105793475</v>
      </c>
    </row>
    <row r="186" spans="1:7" x14ac:dyDescent="0.25">
      <c r="A186" s="49">
        <f>'A) Base RI'!A182</f>
        <v>5703</v>
      </c>
      <c r="B186" s="292" t="str">
        <f>'A) Base RI'!B182</f>
        <v>Bassins</v>
      </c>
      <c r="C186" s="10">
        <f>'A) Base RI'!AO182</f>
        <v>1475</v>
      </c>
      <c r="D186" s="442">
        <f>'C) Prél. conj.'!H180</f>
        <v>263178.93</v>
      </c>
      <c r="E186" s="10">
        <f>'D) Ecrêtage'!M180</f>
        <v>0</v>
      </c>
      <c r="F186" s="442">
        <f>$F$10*'D) Ecrêtage'!C180</f>
        <v>903900.84001351765</v>
      </c>
      <c r="G186" s="55">
        <f t="shared" si="2"/>
        <v>1167079.7700135177</v>
      </c>
    </row>
    <row r="187" spans="1:7" x14ac:dyDescent="0.25">
      <c r="A187" s="49">
        <f>'A) Base RI'!A183</f>
        <v>5704</v>
      </c>
      <c r="B187" s="292" t="str">
        <f>'A) Base RI'!B183</f>
        <v>Begnins</v>
      </c>
      <c r="C187" s="10">
        <f>'A) Base RI'!AO183</f>
        <v>1928</v>
      </c>
      <c r="D187" s="442">
        <f>'C) Prél. conj.'!H181</f>
        <v>215920.78500000003</v>
      </c>
      <c r="E187" s="10">
        <f>'D) Ecrêtage'!M181</f>
        <v>810398.53908255685</v>
      </c>
      <c r="F187" s="442">
        <f>$F$10*'D) Ecrêtage'!C181</f>
        <v>1912237.5270688769</v>
      </c>
      <c r="G187" s="55">
        <f t="shared" si="2"/>
        <v>2938556.8511514338</v>
      </c>
    </row>
    <row r="188" spans="1:7" x14ac:dyDescent="0.25">
      <c r="A188" s="49">
        <f>'A) Base RI'!A184</f>
        <v>5705</v>
      </c>
      <c r="B188" s="292" t="str">
        <f>'A) Base RI'!B184</f>
        <v>Bogis-Bossey</v>
      </c>
      <c r="C188" s="10">
        <f>'A) Base RI'!AO184</f>
        <v>835</v>
      </c>
      <c r="D188" s="442">
        <f>'C) Prél. conj.'!H182</f>
        <v>206532.75</v>
      </c>
      <c r="E188" s="10">
        <f>'D) Ecrêtage'!M182</f>
        <v>296050.57232296193</v>
      </c>
      <c r="F188" s="442">
        <f>$F$10*'D) Ecrêtage'!C182</f>
        <v>758591.49249968422</v>
      </c>
      <c r="G188" s="55">
        <f t="shared" si="2"/>
        <v>1261174.8148226461</v>
      </c>
    </row>
    <row r="189" spans="1:7" x14ac:dyDescent="0.25">
      <c r="A189" s="49">
        <f>'A) Base RI'!A185</f>
        <v>5706</v>
      </c>
      <c r="B189" s="292" t="str">
        <f>'A) Base RI'!B185</f>
        <v>Borex</v>
      </c>
      <c r="C189" s="10">
        <f>'A) Base RI'!AO185</f>
        <v>1157</v>
      </c>
      <c r="D189" s="442">
        <f>'C) Prél. conj.'!H183</f>
        <v>131052.97</v>
      </c>
      <c r="E189" s="10">
        <f>'D) Ecrêtage'!M183</f>
        <v>423456.99269121629</v>
      </c>
      <c r="F189" s="442">
        <f>$F$10*'D) Ecrêtage'!C183</f>
        <v>1135648.3691997067</v>
      </c>
      <c r="G189" s="55">
        <f t="shared" si="2"/>
        <v>1690158.331890923</v>
      </c>
    </row>
    <row r="190" spans="1:7" x14ac:dyDescent="0.25">
      <c r="A190" s="49">
        <f>'A) Base RI'!A186</f>
        <v>5707</v>
      </c>
      <c r="B190" s="292" t="str">
        <f>'A) Base RI'!B186</f>
        <v>Chavannes-de-Bogis</v>
      </c>
      <c r="C190" s="10">
        <f>'A) Base RI'!AO186</f>
        <v>1329</v>
      </c>
      <c r="D190" s="442">
        <f>'C) Prél. conj.'!H184</f>
        <v>420735.97499999998</v>
      </c>
      <c r="E190" s="10">
        <f>'D) Ecrêtage'!M184</f>
        <v>235777.74419837695</v>
      </c>
      <c r="F190" s="442">
        <f>$F$10*'D) Ecrêtage'!C184</f>
        <v>1105623.1690646212</v>
      </c>
      <c r="G190" s="55">
        <f t="shared" si="2"/>
        <v>1762136.8882629981</v>
      </c>
    </row>
    <row r="191" spans="1:7" x14ac:dyDescent="0.25">
      <c r="A191" s="49">
        <f>'A) Base RI'!A187</f>
        <v>5708</v>
      </c>
      <c r="B191" s="292" t="str">
        <f>'A) Base RI'!B187</f>
        <v>Chavannes-des-Bois</v>
      </c>
      <c r="C191" s="10">
        <f>'A) Base RI'!AO187</f>
        <v>1013</v>
      </c>
      <c r="D191" s="442">
        <f>'C) Prél. conj.'!H185</f>
        <v>154143.34000000003</v>
      </c>
      <c r="E191" s="10">
        <f>'D) Ecrêtage'!M185</f>
        <v>310233.42415426456</v>
      </c>
      <c r="F191" s="442">
        <f>$F$10*'D) Ecrêtage'!C185</f>
        <v>908653.08706104476</v>
      </c>
      <c r="G191" s="55">
        <f t="shared" si="2"/>
        <v>1373029.8512153095</v>
      </c>
    </row>
    <row r="192" spans="1:7" x14ac:dyDescent="0.25">
      <c r="A192" s="49">
        <f>'A) Base RI'!A188</f>
        <v>5709</v>
      </c>
      <c r="B192" s="292" t="str">
        <f>'A) Base RI'!B188</f>
        <v>Chéserex</v>
      </c>
      <c r="C192" s="10">
        <f>'A) Base RI'!AO188</f>
        <v>1248</v>
      </c>
      <c r="D192" s="442">
        <f>'C) Prél. conj.'!H186</f>
        <v>237139.875</v>
      </c>
      <c r="E192" s="10">
        <f>'D) Ecrêtage'!M186</f>
        <v>609501.60371187341</v>
      </c>
      <c r="F192" s="442">
        <f>$F$10*'D) Ecrêtage'!C186</f>
        <v>1315475.8781531113</v>
      </c>
      <c r="G192" s="55">
        <f t="shared" si="2"/>
        <v>2162117.3568649846</v>
      </c>
    </row>
    <row r="193" spans="1:7" x14ac:dyDescent="0.25">
      <c r="A193" s="49">
        <f>'A) Base RI'!A189</f>
        <v>5710</v>
      </c>
      <c r="B193" s="292" t="str">
        <f>'A) Base RI'!B189</f>
        <v>Coinsins</v>
      </c>
      <c r="C193" s="10">
        <f>'A) Base RI'!AO189</f>
        <v>509</v>
      </c>
      <c r="D193" s="442">
        <f>'C) Prél. conj.'!H187</f>
        <v>44106.86</v>
      </c>
      <c r="E193" s="10">
        <f>'D) Ecrêtage'!M187</f>
        <v>250921.61679684729</v>
      </c>
      <c r="F193" s="442">
        <f>$F$10*'D) Ecrêtage'!C187</f>
        <v>555396.18138103839</v>
      </c>
      <c r="G193" s="55">
        <f t="shared" si="2"/>
        <v>850424.65817788569</v>
      </c>
    </row>
    <row r="194" spans="1:7" x14ac:dyDescent="0.25">
      <c r="A194" s="49">
        <f>'A) Base RI'!A190</f>
        <v>5711</v>
      </c>
      <c r="B194" s="292" t="str">
        <f>'A) Base RI'!B190</f>
        <v>Commugny</v>
      </c>
      <c r="C194" s="10">
        <f>'A) Base RI'!AO190</f>
        <v>2997</v>
      </c>
      <c r="D194" s="442">
        <f>'C) Prél. conj.'!H188</f>
        <v>642023.97500000009</v>
      </c>
      <c r="E194" s="10">
        <f>'D) Ecrêtage'!M188</f>
        <v>1845830.0815158146</v>
      </c>
      <c r="F194" s="442">
        <f>$F$10*'D) Ecrêtage'!C188</f>
        <v>3415045.266027601</v>
      </c>
      <c r="G194" s="55">
        <f t="shared" si="2"/>
        <v>5902899.3225434162</v>
      </c>
    </row>
    <row r="195" spans="1:7" x14ac:dyDescent="0.25">
      <c r="A195" s="49">
        <f>'A) Base RI'!A191</f>
        <v>5712</v>
      </c>
      <c r="B195" s="292" t="str">
        <f>'A) Base RI'!B191</f>
        <v>Coppet</v>
      </c>
      <c r="C195" s="10">
        <f>'A) Base RI'!AO191</f>
        <v>3247</v>
      </c>
      <c r="D195" s="442">
        <f>'C) Prél. conj.'!H189</f>
        <v>845657.10499999986</v>
      </c>
      <c r="E195" s="10">
        <f>'D) Ecrêtage'!M189</f>
        <v>4569135.0394744752</v>
      </c>
      <c r="F195" s="442">
        <f>$F$10*'D) Ecrêtage'!C189</f>
        <v>5161005.8221416092</v>
      </c>
      <c r="G195" s="55">
        <f t="shared" si="2"/>
        <v>10575797.966616083</v>
      </c>
    </row>
    <row r="196" spans="1:7" x14ac:dyDescent="0.25">
      <c r="A196" s="49">
        <f>'A) Base RI'!A192</f>
        <v>5713</v>
      </c>
      <c r="B196" s="292" t="str">
        <f>'A) Base RI'!B192</f>
        <v>Crans-près-Céligny</v>
      </c>
      <c r="C196" s="10">
        <f>'A) Base RI'!AO192</f>
        <v>2340</v>
      </c>
      <c r="D196" s="442">
        <f>'C) Prél. conj.'!H190</f>
        <v>986391.58000000007</v>
      </c>
      <c r="E196" s="10">
        <f>'D) Ecrêtage'!M190</f>
        <v>4413612.157726028</v>
      </c>
      <c r="F196" s="442">
        <f>$F$10*'D) Ecrêtage'!C190</f>
        <v>4170221.467896238</v>
      </c>
      <c r="G196" s="55">
        <f t="shared" si="2"/>
        <v>9570225.205622267</v>
      </c>
    </row>
    <row r="197" spans="1:7" x14ac:dyDescent="0.25">
      <c r="A197" s="49">
        <f>'A) Base RI'!A193</f>
        <v>5714</v>
      </c>
      <c r="B197" s="292" t="str">
        <f>'A) Base RI'!B193</f>
        <v>Crassier</v>
      </c>
      <c r="C197" s="10">
        <f>'A) Base RI'!AO193</f>
        <v>1174</v>
      </c>
      <c r="D197" s="442">
        <f>'C) Prél. conj.'!H191</f>
        <v>163383.91</v>
      </c>
      <c r="E197" s="10">
        <f>'D) Ecrêtage'!M191</f>
        <v>0</v>
      </c>
      <c r="F197" s="442">
        <f>$F$10*'D) Ecrêtage'!C191</f>
        <v>721853.40799744846</v>
      </c>
      <c r="G197" s="55">
        <f t="shared" si="2"/>
        <v>885237.3179974485</v>
      </c>
    </row>
    <row r="198" spans="1:7" x14ac:dyDescent="0.25">
      <c r="A198" s="49">
        <f>'A) Base RI'!A194</f>
        <v>5715</v>
      </c>
      <c r="B198" s="292" t="str">
        <f>'A) Base RI'!B194</f>
        <v>Duillier</v>
      </c>
      <c r="C198" s="10">
        <f>'A) Base RI'!AO194</f>
        <v>1128</v>
      </c>
      <c r="D198" s="442">
        <f>'C) Prél. conj.'!H192</f>
        <v>238023.70499999999</v>
      </c>
      <c r="E198" s="10">
        <f>'D) Ecrêtage'!M192</f>
        <v>95550.623499214969</v>
      </c>
      <c r="F198" s="442">
        <f>$F$10*'D) Ecrêtage'!C192</f>
        <v>831881.939110326</v>
      </c>
      <c r="G198" s="55">
        <f t="shared" si="2"/>
        <v>1165456.2676095408</v>
      </c>
    </row>
    <row r="199" spans="1:7" x14ac:dyDescent="0.25">
      <c r="A199" s="49">
        <f>'A) Base RI'!A195</f>
        <v>5716</v>
      </c>
      <c r="B199" s="292" t="str">
        <f>'A) Base RI'!B195</f>
        <v>Eysins</v>
      </c>
      <c r="C199" s="10">
        <f>'A) Base RI'!AO195</f>
        <v>1740</v>
      </c>
      <c r="D199" s="442">
        <f>'C) Prél. conj.'!H193</f>
        <v>841220.8949999999</v>
      </c>
      <c r="E199" s="10">
        <f>'D) Ecrêtage'!M193</f>
        <v>6283165.3124397127</v>
      </c>
      <c r="F199" s="442">
        <f>$F$10*'D) Ecrêtage'!C193</f>
        <v>4208463.6977017829</v>
      </c>
      <c r="G199" s="55">
        <f t="shared" si="2"/>
        <v>11332849.905141495</v>
      </c>
    </row>
    <row r="200" spans="1:7" x14ac:dyDescent="0.25">
      <c r="A200" s="49">
        <f>'A) Base RI'!A196</f>
        <v>5717</v>
      </c>
      <c r="B200" s="292" t="str">
        <f>'A) Base RI'!B196</f>
        <v>Founex</v>
      </c>
      <c r="C200" s="10">
        <f>'A) Base RI'!AO196</f>
        <v>3834</v>
      </c>
      <c r="D200" s="442">
        <f>'C) Prél. conj.'!H194</f>
        <v>1155984.1199999999</v>
      </c>
      <c r="E200" s="10">
        <f>'D) Ecrêtage'!M194</f>
        <v>3970866.7811272964</v>
      </c>
      <c r="F200" s="442">
        <f>$F$10*'D) Ecrêtage'!C194</f>
        <v>5225821.9422883177</v>
      </c>
      <c r="G200" s="55">
        <f t="shared" si="2"/>
        <v>10352672.843415614</v>
      </c>
    </row>
    <row r="201" spans="1:7" x14ac:dyDescent="0.25">
      <c r="A201" s="49">
        <f>'A) Base RI'!A197</f>
        <v>5718</v>
      </c>
      <c r="B201" s="292" t="str">
        <f>'A) Base RI'!B197</f>
        <v>Genolier</v>
      </c>
      <c r="C201" s="10">
        <f>'A) Base RI'!AO197</f>
        <v>1996</v>
      </c>
      <c r="D201" s="442">
        <f>'C) Prél. conj.'!H195</f>
        <v>493042.01500000001</v>
      </c>
      <c r="E201" s="10">
        <f>'D) Ecrêtage'!M195</f>
        <v>3196781.4965374204</v>
      </c>
      <c r="F201" s="442">
        <f>$F$10*'D) Ecrêtage'!C195</f>
        <v>3311145.4170244294</v>
      </c>
      <c r="G201" s="55">
        <f t="shared" si="2"/>
        <v>7000968.9285618495</v>
      </c>
    </row>
    <row r="202" spans="1:7" x14ac:dyDescent="0.25">
      <c r="A202" s="49">
        <f>'A) Base RI'!A198</f>
        <v>5719</v>
      </c>
      <c r="B202" s="292" t="str">
        <f>'A) Base RI'!B198</f>
        <v>Gingins</v>
      </c>
      <c r="C202" s="10">
        <f>'A) Base RI'!AO198</f>
        <v>1257</v>
      </c>
      <c r="D202" s="442">
        <f>'C) Prél. conj.'!H196</f>
        <v>222187.80500000002</v>
      </c>
      <c r="E202" s="10">
        <f>'D) Ecrêtage'!M196</f>
        <v>1841838.7351152871</v>
      </c>
      <c r="F202" s="442">
        <f>$F$10*'D) Ecrêtage'!C196</f>
        <v>1969286.5843954664</v>
      </c>
      <c r="G202" s="55">
        <f t="shared" si="2"/>
        <v>4033313.1245107539</v>
      </c>
    </row>
    <row r="203" spans="1:7" x14ac:dyDescent="0.25">
      <c r="A203" s="49">
        <f>'A) Base RI'!A199</f>
        <v>5720</v>
      </c>
      <c r="B203" s="292" t="str">
        <f>'A) Base RI'!B199</f>
        <v>Givrins</v>
      </c>
      <c r="C203" s="10">
        <f>'A) Base RI'!AO199</f>
        <v>1031</v>
      </c>
      <c r="D203" s="442">
        <f>'C) Prél. conj.'!H197</f>
        <v>283101.36000000004</v>
      </c>
      <c r="E203" s="10">
        <f>'D) Ecrêtage'!M197</f>
        <v>691941.04186298209</v>
      </c>
      <c r="F203" s="442">
        <f>$F$10*'D) Ecrêtage'!C197</f>
        <v>1137195.9478296642</v>
      </c>
      <c r="G203" s="55">
        <f t="shared" si="2"/>
        <v>2112238.3496926464</v>
      </c>
    </row>
    <row r="204" spans="1:7" x14ac:dyDescent="0.25">
      <c r="A204" s="49">
        <f>'A) Base RI'!A200</f>
        <v>5721</v>
      </c>
      <c r="B204" s="292" t="str">
        <f>'A) Base RI'!B200</f>
        <v>Gland</v>
      </c>
      <c r="C204" s="10">
        <f>'A) Base RI'!AO200</f>
        <v>13243</v>
      </c>
      <c r="D204" s="442">
        <f>'C) Prél. conj.'!H198</f>
        <v>2205820.61</v>
      </c>
      <c r="E204" s="10">
        <f>'D) Ecrêtage'!M198</f>
        <v>161043.57841009268</v>
      </c>
      <c r="F204" s="442">
        <f>$F$10*'D) Ecrêtage'!C198</f>
        <v>8796678.8113541249</v>
      </c>
      <c r="G204" s="55">
        <f t="shared" ref="G204:G267" si="3">D204+F204+E204</f>
        <v>11163542.999764217</v>
      </c>
    </row>
    <row r="205" spans="1:7" x14ac:dyDescent="0.25">
      <c r="A205" s="49">
        <f>'A) Base RI'!A201</f>
        <v>5722</v>
      </c>
      <c r="B205" s="292" t="str">
        <f>'A) Base RI'!B201</f>
        <v>Grens</v>
      </c>
      <c r="C205" s="10">
        <f>'A) Base RI'!AO201</f>
        <v>405</v>
      </c>
      <c r="D205" s="442">
        <f>'C) Prél. conj.'!H199</f>
        <v>13933.314999999999</v>
      </c>
      <c r="E205" s="10">
        <f>'D) Ecrêtage'!M199</f>
        <v>87725.807497642221</v>
      </c>
      <c r="F205" s="442">
        <f>$F$10*'D) Ecrêtage'!C199</f>
        <v>344859.61251982115</v>
      </c>
      <c r="G205" s="55">
        <f t="shared" si="3"/>
        <v>446518.73501746339</v>
      </c>
    </row>
    <row r="206" spans="1:7" x14ac:dyDescent="0.25">
      <c r="A206" s="49">
        <f>'A) Base RI'!A202</f>
        <v>5723</v>
      </c>
      <c r="B206" s="292" t="str">
        <f>'A) Base RI'!B202</f>
        <v>Mies</v>
      </c>
      <c r="C206" s="10">
        <f>'A) Base RI'!AO202</f>
        <v>2172</v>
      </c>
      <c r="D206" s="442">
        <f>'C) Prél. conj.'!H200</f>
        <v>645314.41</v>
      </c>
      <c r="E206" s="10">
        <f>'D) Ecrêtage'!M200</f>
        <v>1557341.1018934145</v>
      </c>
      <c r="F206" s="442">
        <f>$F$10*'D) Ecrêtage'!C200</f>
        <v>2672415.5709882374</v>
      </c>
      <c r="G206" s="55">
        <f t="shared" si="3"/>
        <v>4875071.0828816518</v>
      </c>
    </row>
    <row r="207" spans="1:7" x14ac:dyDescent="0.25">
      <c r="A207" s="49">
        <f>'A) Base RI'!A203</f>
        <v>5724</v>
      </c>
      <c r="B207" s="292" t="str">
        <f>'A) Base RI'!B203</f>
        <v>Nyon</v>
      </c>
      <c r="C207" s="10">
        <f>'A) Base RI'!AO203</f>
        <v>21743</v>
      </c>
      <c r="D207" s="442">
        <f>'C) Prél. conj.'!H201</f>
        <v>8012481.5549999997</v>
      </c>
      <c r="E207" s="10">
        <f>'D) Ecrêtage'!M201</f>
        <v>5463672.550633898</v>
      </c>
      <c r="F207" s="442">
        <f>$F$10*'D) Ecrêtage'!C201</f>
        <v>19127005.648416959</v>
      </c>
      <c r="G207" s="55">
        <f t="shared" si="3"/>
        <v>32603159.754050858</v>
      </c>
    </row>
    <row r="208" spans="1:7" x14ac:dyDescent="0.25">
      <c r="A208" s="49">
        <f>'A) Base RI'!A204</f>
        <v>5725</v>
      </c>
      <c r="B208" s="292" t="str">
        <f>'A) Base RI'!B204</f>
        <v>Prangins</v>
      </c>
      <c r="C208" s="10">
        <f>'A) Base RI'!AO204</f>
        <v>4101</v>
      </c>
      <c r="D208" s="442">
        <f>'C) Prél. conj.'!H202</f>
        <v>903077.62999999989</v>
      </c>
      <c r="E208" s="10">
        <f>'D) Ecrêtage'!M202</f>
        <v>1775234.4498601097</v>
      </c>
      <c r="F208" s="442">
        <f>$F$10*'D) Ecrêtage'!C202</f>
        <v>4226101.645521909</v>
      </c>
      <c r="G208" s="55">
        <f t="shared" si="3"/>
        <v>6904413.7253820188</v>
      </c>
    </row>
    <row r="209" spans="1:7" x14ac:dyDescent="0.25">
      <c r="A209" s="49">
        <f>'A) Base RI'!A205</f>
        <v>5726</v>
      </c>
      <c r="B209" s="292" t="str">
        <f>'A) Base RI'!B205</f>
        <v>La Rippe</v>
      </c>
      <c r="C209" s="10">
        <f>'A) Base RI'!AO205</f>
        <v>1131</v>
      </c>
      <c r="D209" s="442">
        <f>'C) Prél. conj.'!H203</f>
        <v>276005.08</v>
      </c>
      <c r="E209" s="10">
        <f>'D) Ecrêtage'!M203</f>
        <v>160158.4959521768</v>
      </c>
      <c r="F209" s="442">
        <f>$F$10*'D) Ecrêtage'!C203</f>
        <v>896070.24838728143</v>
      </c>
      <c r="G209" s="55">
        <f t="shared" si="3"/>
        <v>1332233.8243394583</v>
      </c>
    </row>
    <row r="210" spans="1:7" x14ac:dyDescent="0.25">
      <c r="A210" s="49">
        <f>'A) Base RI'!A206</f>
        <v>5727</v>
      </c>
      <c r="B210" s="292" t="str">
        <f>'A) Base RI'!B206</f>
        <v>Saint-Cergue</v>
      </c>
      <c r="C210" s="10">
        <f>'A) Base RI'!AO206</f>
        <v>2674</v>
      </c>
      <c r="D210" s="442">
        <f>'C) Prél. conj.'!H204</f>
        <v>382284.69499999995</v>
      </c>
      <c r="E210" s="10">
        <f>'D) Ecrêtage'!M204</f>
        <v>0</v>
      </c>
      <c r="F210" s="442">
        <f>$F$10*'D) Ecrêtage'!C204</f>
        <v>1420275.3999078162</v>
      </c>
      <c r="G210" s="55">
        <f t="shared" si="3"/>
        <v>1802560.094907816</v>
      </c>
    </row>
    <row r="211" spans="1:7" x14ac:dyDescent="0.25">
      <c r="A211" s="49">
        <f>'A) Base RI'!A207</f>
        <v>5728</v>
      </c>
      <c r="B211" s="292" t="str">
        <f>'A) Base RI'!B207</f>
        <v>Signy-Avenex</v>
      </c>
      <c r="C211" s="10">
        <f>'A) Base RI'!AO207</f>
        <v>581</v>
      </c>
      <c r="D211" s="442">
        <f>'C) Prél. conj.'!H205</f>
        <v>121010.58</v>
      </c>
      <c r="E211" s="10">
        <f>'D) Ecrêtage'!M205</f>
        <v>380545.13456605276</v>
      </c>
      <c r="F211" s="442">
        <f>$F$10*'D) Ecrêtage'!C205</f>
        <v>665881.80712788121</v>
      </c>
      <c r="G211" s="55">
        <f t="shared" si="3"/>
        <v>1167437.521693934</v>
      </c>
    </row>
    <row r="212" spans="1:7" x14ac:dyDescent="0.25">
      <c r="A212" s="49">
        <f>'A) Base RI'!A208</f>
        <v>5729</v>
      </c>
      <c r="B212" s="292" t="str">
        <f>'A) Base RI'!B208</f>
        <v>Tannay</v>
      </c>
      <c r="C212" s="10">
        <f>'A) Base RI'!AO208</f>
        <v>1636</v>
      </c>
      <c r="D212" s="442">
        <f>'C) Prél. conj.'!H206</f>
        <v>565915.53500000003</v>
      </c>
      <c r="E212" s="10">
        <f>'D) Ecrêtage'!M206</f>
        <v>925183.43838261673</v>
      </c>
      <c r="F212" s="442">
        <f>$F$10*'D) Ecrêtage'!C206</f>
        <v>1767513.0393390381</v>
      </c>
      <c r="G212" s="55">
        <f t="shared" si="3"/>
        <v>3258612.012721655</v>
      </c>
    </row>
    <row r="213" spans="1:7" x14ac:dyDescent="0.25">
      <c r="A213" s="49">
        <f>'A) Base RI'!A209</f>
        <v>5730</v>
      </c>
      <c r="B213" s="292" t="str">
        <f>'A) Base RI'!B209</f>
        <v>Trélex</v>
      </c>
      <c r="C213" s="10">
        <f>'A) Base RI'!AO209</f>
        <v>1445</v>
      </c>
      <c r="D213" s="442">
        <f>'C) Prél. conj.'!H207</f>
        <v>407778.97500000003</v>
      </c>
      <c r="E213" s="10">
        <f>'D) Ecrêtage'!M207</f>
        <v>662457.91563662572</v>
      </c>
      <c r="F213" s="442">
        <f>$F$10*'D) Ecrêtage'!C207</f>
        <v>1508105.2708175438</v>
      </c>
      <c r="G213" s="55">
        <f t="shared" si="3"/>
        <v>2578342.1614541695</v>
      </c>
    </row>
    <row r="214" spans="1:7" x14ac:dyDescent="0.25">
      <c r="A214" s="49">
        <f>'A) Base RI'!A210</f>
        <v>5731</v>
      </c>
      <c r="B214" s="292" t="str">
        <f>'A) Base RI'!B210</f>
        <v>Le Vaud</v>
      </c>
      <c r="C214" s="10">
        <f>'A) Base RI'!AO210</f>
        <v>1366</v>
      </c>
      <c r="D214" s="442">
        <f>'C) Prél. conj.'!H208</f>
        <v>152216.76</v>
      </c>
      <c r="E214" s="10">
        <f>'D) Ecrêtage'!M208</f>
        <v>0</v>
      </c>
      <c r="F214" s="442">
        <f>$F$10*'D) Ecrêtage'!C208</f>
        <v>863881.08062622044</v>
      </c>
      <c r="G214" s="55">
        <f t="shared" si="3"/>
        <v>1016097.8406262205</v>
      </c>
    </row>
    <row r="215" spans="1:7" x14ac:dyDescent="0.25">
      <c r="A215" s="49">
        <f>'A) Base RI'!A211</f>
        <v>5732</v>
      </c>
      <c r="B215" s="292" t="str">
        <f>'A) Base RI'!B211</f>
        <v>Vich</v>
      </c>
      <c r="C215" s="10">
        <f>'A) Base RI'!AO211</f>
        <v>1156</v>
      </c>
      <c r="D215" s="442">
        <f>'C) Prél. conj.'!H209</f>
        <v>301194.48500000004</v>
      </c>
      <c r="E215" s="10">
        <f>'D) Ecrêtage'!M209</f>
        <v>219446.92360534769</v>
      </c>
      <c r="F215" s="442">
        <f>$F$10*'D) Ecrêtage'!C209</f>
        <v>959328.48296361568</v>
      </c>
      <c r="G215" s="55">
        <f t="shared" si="3"/>
        <v>1479969.8915689634</v>
      </c>
    </row>
    <row r="216" spans="1:7" x14ac:dyDescent="0.25">
      <c r="A216" s="49">
        <f>'A) Base RI'!A212</f>
        <v>5741</v>
      </c>
      <c r="B216" s="292" t="str">
        <f>'A) Base RI'!B212</f>
        <v>L'Abergement</v>
      </c>
      <c r="C216" s="10">
        <f>'A) Base RI'!AO212</f>
        <v>256</v>
      </c>
      <c r="D216" s="442">
        <f>'C) Prél. conj.'!H210</f>
        <v>25252.639999999999</v>
      </c>
      <c r="E216" s="10">
        <f>'D) Ecrêtage'!M210</f>
        <v>0</v>
      </c>
      <c r="F216" s="442">
        <f>$F$10*'D) Ecrêtage'!C210</f>
        <v>99556.761037890625</v>
      </c>
      <c r="G216" s="55">
        <f t="shared" si="3"/>
        <v>124809.40103789062</v>
      </c>
    </row>
    <row r="217" spans="1:7" x14ac:dyDescent="0.25">
      <c r="A217" s="49">
        <f>'A) Base RI'!A213</f>
        <v>5742</v>
      </c>
      <c r="B217" s="292" t="str">
        <f>'A) Base RI'!B213</f>
        <v>Agiez</v>
      </c>
      <c r="C217" s="10">
        <f>'A) Base RI'!AO213</f>
        <v>377</v>
      </c>
      <c r="D217" s="442">
        <f>'C) Prél. conj.'!H211</f>
        <v>15965.1</v>
      </c>
      <c r="E217" s="10">
        <f>'D) Ecrêtage'!M211</f>
        <v>0</v>
      </c>
      <c r="F217" s="442">
        <f>$F$10*'D) Ecrêtage'!C211</f>
        <v>121054.51154204704</v>
      </c>
      <c r="G217" s="55">
        <f t="shared" si="3"/>
        <v>137019.61154204703</v>
      </c>
    </row>
    <row r="218" spans="1:7" x14ac:dyDescent="0.25">
      <c r="A218" s="49">
        <f>'A) Base RI'!A214</f>
        <v>5743</v>
      </c>
      <c r="B218" s="292" t="str">
        <f>'A) Base RI'!B214</f>
        <v>Arnex-sur-Orbe</v>
      </c>
      <c r="C218" s="10">
        <f>'A) Base RI'!AO214</f>
        <v>637</v>
      </c>
      <c r="D218" s="442">
        <f>'C) Prél. conj.'!H212</f>
        <v>33046.239999999998</v>
      </c>
      <c r="E218" s="10">
        <f>'D) Ecrêtage'!M212</f>
        <v>0</v>
      </c>
      <c r="F218" s="442">
        <f>$F$10*'D) Ecrêtage'!C212</f>
        <v>277631.91609504586</v>
      </c>
      <c r="G218" s="55">
        <f t="shared" si="3"/>
        <v>310678.15609504585</v>
      </c>
    </row>
    <row r="219" spans="1:7" x14ac:dyDescent="0.25">
      <c r="A219" s="49">
        <f>'A) Base RI'!A215</f>
        <v>5744</v>
      </c>
      <c r="B219" s="292" t="str">
        <f>'A) Base RI'!B215</f>
        <v>Ballaigues</v>
      </c>
      <c r="C219" s="10">
        <f>'A) Base RI'!AO215</f>
        <v>1143</v>
      </c>
      <c r="D219" s="442">
        <f>'C) Prél. conj.'!H213</f>
        <v>461420.19499999995</v>
      </c>
      <c r="E219" s="10">
        <f>'D) Ecrêtage'!M213</f>
        <v>0</v>
      </c>
      <c r="F219" s="442">
        <f>$F$10*'D) Ecrêtage'!C213</f>
        <v>546538.71299657482</v>
      </c>
      <c r="G219" s="55">
        <f t="shared" si="3"/>
        <v>1007958.9079965748</v>
      </c>
    </row>
    <row r="220" spans="1:7" x14ac:dyDescent="0.25">
      <c r="A220" s="49">
        <f>'A) Base RI'!A216</f>
        <v>5745</v>
      </c>
      <c r="B220" s="292" t="str">
        <f>'A) Base RI'!B216</f>
        <v>Baulmes</v>
      </c>
      <c r="C220" s="10">
        <f>'A) Base RI'!AO216</f>
        <v>1074</v>
      </c>
      <c r="D220" s="442">
        <f>'C) Prél. conj.'!H214</f>
        <v>105869.22</v>
      </c>
      <c r="E220" s="10">
        <f>'D) Ecrêtage'!M214</f>
        <v>0</v>
      </c>
      <c r="F220" s="442">
        <f>$F$10*'D) Ecrêtage'!C214</f>
        <v>362449.90510337503</v>
      </c>
      <c r="G220" s="55">
        <f t="shared" si="3"/>
        <v>468319.12510337506</v>
      </c>
    </row>
    <row r="221" spans="1:7" x14ac:dyDescent="0.25">
      <c r="A221" s="49">
        <f>'A) Base RI'!A217</f>
        <v>5746</v>
      </c>
      <c r="B221" s="292" t="str">
        <f>'A) Base RI'!B217</f>
        <v>Bavois</v>
      </c>
      <c r="C221" s="10">
        <f>'A) Base RI'!AO217</f>
        <v>994</v>
      </c>
      <c r="D221" s="442">
        <f>'C) Prél. conj.'!H215</f>
        <v>205038.34000000003</v>
      </c>
      <c r="E221" s="10">
        <f>'D) Ecrêtage'!M215</f>
        <v>0</v>
      </c>
      <c r="F221" s="442">
        <f>$F$10*'D) Ecrêtage'!C215</f>
        <v>411614.33683811355</v>
      </c>
      <c r="G221" s="55">
        <f t="shared" si="3"/>
        <v>616652.67683811358</v>
      </c>
    </row>
    <row r="222" spans="1:7" x14ac:dyDescent="0.25">
      <c r="A222" s="49">
        <f>'A) Base RI'!A218</f>
        <v>5747</v>
      </c>
      <c r="B222" s="292" t="str">
        <f>'A) Base RI'!B218</f>
        <v>Bofflens</v>
      </c>
      <c r="C222" s="10">
        <f>'A) Base RI'!AO218</f>
        <v>206</v>
      </c>
      <c r="D222" s="442">
        <f>'C) Prél. conj.'!H216</f>
        <v>24383.85</v>
      </c>
      <c r="E222" s="10">
        <f>'D) Ecrêtage'!M216</f>
        <v>0</v>
      </c>
      <c r="F222" s="442">
        <f>$F$10*'D) Ecrêtage'!C216</f>
        <v>75776.518515835356</v>
      </c>
      <c r="G222" s="55">
        <f t="shared" si="3"/>
        <v>100160.36851583535</v>
      </c>
    </row>
    <row r="223" spans="1:7" x14ac:dyDescent="0.25">
      <c r="A223" s="49">
        <f>'A) Base RI'!A219</f>
        <v>5748</v>
      </c>
      <c r="B223" s="292" t="str">
        <f>'A) Base RI'!B219</f>
        <v>Bretonnières</v>
      </c>
      <c r="C223" s="10">
        <f>'A) Base RI'!AO219</f>
        <v>268</v>
      </c>
      <c r="D223" s="442">
        <f>'C) Prél. conj.'!H217</f>
        <v>14395.525</v>
      </c>
      <c r="E223" s="10">
        <f>'D) Ecrêtage'!M217</f>
        <v>0</v>
      </c>
      <c r="F223" s="442">
        <f>$F$10*'D) Ecrêtage'!C217</f>
        <v>78224.723816850921</v>
      </c>
      <c r="G223" s="55">
        <f t="shared" si="3"/>
        <v>92620.248816850915</v>
      </c>
    </row>
    <row r="224" spans="1:7" x14ac:dyDescent="0.25">
      <c r="A224" s="49">
        <f>'A) Base RI'!A220</f>
        <v>5749</v>
      </c>
      <c r="B224" s="292" t="str">
        <f>'A) Base RI'!B220</f>
        <v>Chavornay</v>
      </c>
      <c r="C224" s="10">
        <f>'A) Base RI'!AO220</f>
        <v>5227</v>
      </c>
      <c r="D224" s="442">
        <f>'C) Prél. conj.'!H218</f>
        <v>587141.76</v>
      </c>
      <c r="E224" s="10">
        <f>'D) Ecrêtage'!M218</f>
        <v>0</v>
      </c>
      <c r="F224" s="442">
        <f>$F$10*'D) Ecrêtage'!C218</f>
        <v>1900591.7805925326</v>
      </c>
      <c r="G224" s="55">
        <f t="shared" si="3"/>
        <v>2487733.5405925326</v>
      </c>
    </row>
    <row r="225" spans="1:7" x14ac:dyDescent="0.25">
      <c r="A225" s="49">
        <f>'A) Base RI'!A221</f>
        <v>5750</v>
      </c>
      <c r="B225" s="292" t="str">
        <f>'A) Base RI'!B221</f>
        <v>Les Clées</v>
      </c>
      <c r="C225" s="10">
        <f>'A) Base RI'!AO221</f>
        <v>187</v>
      </c>
      <c r="D225" s="442">
        <f>'C) Prél. conj.'!H219</f>
        <v>2883.7950000000001</v>
      </c>
      <c r="E225" s="10">
        <f>'D) Ecrêtage'!M219</f>
        <v>0</v>
      </c>
      <c r="F225" s="442">
        <f>$F$10*'D) Ecrêtage'!C219</f>
        <v>81574.685184872767</v>
      </c>
      <c r="G225" s="55">
        <f t="shared" si="3"/>
        <v>84458.480184872766</v>
      </c>
    </row>
    <row r="226" spans="1:7" x14ac:dyDescent="0.25">
      <c r="A226" s="49">
        <f>'A) Base RI'!A222</f>
        <v>5752</v>
      </c>
      <c r="B226" s="292" t="str">
        <f>'A) Base RI'!B222</f>
        <v>Croy</v>
      </c>
      <c r="C226" s="10">
        <f>'A) Base RI'!AO222</f>
        <v>397</v>
      </c>
      <c r="D226" s="442">
        <f>'C) Prél. conj.'!H220</f>
        <v>34125.544999999998</v>
      </c>
      <c r="E226" s="10">
        <f>'D) Ecrêtage'!M220</f>
        <v>0</v>
      </c>
      <c r="F226" s="442">
        <f>$F$10*'D) Ecrêtage'!C220</f>
        <v>127224.14991089969</v>
      </c>
      <c r="G226" s="55">
        <f t="shared" si="3"/>
        <v>161349.69491089968</v>
      </c>
    </row>
    <row r="227" spans="1:7" x14ac:dyDescent="0.25">
      <c r="A227" s="49">
        <f>'A) Base RI'!A223</f>
        <v>5754</v>
      </c>
      <c r="B227" s="292" t="str">
        <f>'A) Base RI'!B223</f>
        <v>Juriens</v>
      </c>
      <c r="C227" s="10">
        <f>'A) Base RI'!AO223</f>
        <v>336</v>
      </c>
      <c r="D227" s="442">
        <f>'C) Prél. conj.'!H221</f>
        <v>12205.075000000001</v>
      </c>
      <c r="E227" s="10">
        <f>'D) Ecrêtage'!M221</f>
        <v>0</v>
      </c>
      <c r="F227" s="442">
        <f>$F$10*'D) Ecrêtage'!C221</f>
        <v>108674.29934472695</v>
      </c>
      <c r="G227" s="55">
        <f t="shared" si="3"/>
        <v>120879.37434472695</v>
      </c>
    </row>
    <row r="228" spans="1:7" x14ac:dyDescent="0.25">
      <c r="A228" s="49">
        <f>'A) Base RI'!A224</f>
        <v>5755</v>
      </c>
      <c r="B228" s="292" t="str">
        <f>'A) Base RI'!B224</f>
        <v>Lignerolle</v>
      </c>
      <c r="C228" s="10">
        <f>'A) Base RI'!AO224</f>
        <v>435</v>
      </c>
      <c r="D228" s="442">
        <f>'C) Prél. conj.'!H222</f>
        <v>142835.89499999999</v>
      </c>
      <c r="E228" s="10">
        <f>'D) Ecrêtage'!M222</f>
        <v>0</v>
      </c>
      <c r="F228" s="442">
        <f>$F$10*'D) Ecrêtage'!C222</f>
        <v>122339.84485446641</v>
      </c>
      <c r="G228" s="55">
        <f t="shared" si="3"/>
        <v>265175.7398544664</v>
      </c>
    </row>
    <row r="229" spans="1:7" x14ac:dyDescent="0.25">
      <c r="A229" s="49">
        <f>'A) Base RI'!A225</f>
        <v>5756</v>
      </c>
      <c r="B229" s="292" t="str">
        <f>'A) Base RI'!B225</f>
        <v>Montcherand</v>
      </c>
      <c r="C229" s="10">
        <f>'A) Base RI'!AO225</f>
        <v>506</v>
      </c>
      <c r="D229" s="442">
        <f>'C) Prél. conj.'!H223</f>
        <v>54338.375</v>
      </c>
      <c r="E229" s="10">
        <f>'D) Ecrêtage'!M223</f>
        <v>0</v>
      </c>
      <c r="F229" s="442">
        <f>$F$10*'D) Ecrêtage'!C223</f>
        <v>212900.13905768143</v>
      </c>
      <c r="G229" s="55">
        <f t="shared" si="3"/>
        <v>267238.51405768143</v>
      </c>
    </row>
    <row r="230" spans="1:7" x14ac:dyDescent="0.25">
      <c r="A230" s="49">
        <f>'A) Base RI'!A226</f>
        <v>5757</v>
      </c>
      <c r="B230" s="292" t="str">
        <f>'A) Base RI'!B226</f>
        <v>Orbe</v>
      </c>
      <c r="C230" s="10">
        <f>'A) Base RI'!AO226</f>
        <v>7124</v>
      </c>
      <c r="D230" s="442">
        <f>'C) Prél. conj.'!H224</f>
        <v>1477410.0049999999</v>
      </c>
      <c r="E230" s="10">
        <f>'D) Ecrêtage'!M224</f>
        <v>0</v>
      </c>
      <c r="F230" s="442">
        <f>$F$10*'D) Ecrêtage'!C224</f>
        <v>2753183.9034623727</v>
      </c>
      <c r="G230" s="55">
        <f t="shared" si="3"/>
        <v>4230593.9084623726</v>
      </c>
    </row>
    <row r="231" spans="1:7" x14ac:dyDescent="0.25">
      <c r="A231" s="49">
        <f>'A) Base RI'!A227</f>
        <v>5758</v>
      </c>
      <c r="B231" s="292" t="str">
        <f>'A) Base RI'!B227</f>
        <v>La Praz</v>
      </c>
      <c r="C231" s="10">
        <f>'A) Base RI'!AO227</f>
        <v>175</v>
      </c>
      <c r="D231" s="442">
        <f>'C) Prél. conj.'!H225</f>
        <v>12394.594999999998</v>
      </c>
      <c r="E231" s="10">
        <f>'D) Ecrêtage'!M225</f>
        <v>0</v>
      </c>
      <c r="F231" s="442">
        <f>$F$10*'D) Ecrêtage'!C225</f>
        <v>58275.427899218826</v>
      </c>
      <c r="G231" s="55">
        <f t="shared" si="3"/>
        <v>70670.02289921882</v>
      </c>
    </row>
    <row r="232" spans="1:7" x14ac:dyDescent="0.25">
      <c r="A232" s="49">
        <f>'A) Base RI'!A228</f>
        <v>5759</v>
      </c>
      <c r="B232" s="292" t="str">
        <f>'A) Base RI'!B228</f>
        <v>Premier</v>
      </c>
      <c r="C232" s="10">
        <f>'A) Base RI'!AO228</f>
        <v>218</v>
      </c>
      <c r="D232" s="442">
        <f>'C) Prél. conj.'!H226</f>
        <v>20535.855</v>
      </c>
      <c r="E232" s="10">
        <f>'D) Ecrêtage'!M226</f>
        <v>0</v>
      </c>
      <c r="F232" s="442">
        <f>$F$10*'D) Ecrêtage'!C226</f>
        <v>71705.924467405421</v>
      </c>
      <c r="G232" s="55">
        <f t="shared" si="3"/>
        <v>92241.779467405417</v>
      </c>
    </row>
    <row r="233" spans="1:7" x14ac:dyDescent="0.25">
      <c r="A233" s="49">
        <f>'A) Base RI'!A229</f>
        <v>5760</v>
      </c>
      <c r="B233" s="292" t="str">
        <f>'A) Base RI'!B229</f>
        <v>Rances</v>
      </c>
      <c r="C233" s="10">
        <f>'A) Base RI'!AO229</f>
        <v>513</v>
      </c>
      <c r="D233" s="442">
        <f>'C) Prél. conj.'!H227</f>
        <v>54471.565000000002</v>
      </c>
      <c r="E233" s="10">
        <f>'D) Ecrêtage'!M227</f>
        <v>0</v>
      </c>
      <c r="F233" s="442">
        <f>$F$10*'D) Ecrêtage'!C227</f>
        <v>173283.90346837425</v>
      </c>
      <c r="G233" s="55">
        <f t="shared" si="3"/>
        <v>227755.46846837425</v>
      </c>
    </row>
    <row r="234" spans="1:7" x14ac:dyDescent="0.25">
      <c r="A234" s="49">
        <f>'A) Base RI'!A230</f>
        <v>5761</v>
      </c>
      <c r="B234" s="292" t="str">
        <f>'A) Base RI'!B230</f>
        <v>Romainmôtier-Envy</v>
      </c>
      <c r="C234" s="10">
        <f>'A) Base RI'!AO230</f>
        <v>525</v>
      </c>
      <c r="D234" s="442">
        <f>'C) Prél. conj.'!H228</f>
        <v>86058.25</v>
      </c>
      <c r="E234" s="10">
        <f>'D) Ecrêtage'!M228</f>
        <v>0</v>
      </c>
      <c r="F234" s="442">
        <f>$F$10*'D) Ecrêtage'!C228</f>
        <v>163948.05959882331</v>
      </c>
      <c r="G234" s="55">
        <f t="shared" si="3"/>
        <v>250006.30959882331</v>
      </c>
    </row>
    <row r="235" spans="1:7" x14ac:dyDescent="0.25">
      <c r="A235" s="49">
        <f>'A) Base RI'!A231</f>
        <v>5762</v>
      </c>
      <c r="B235" s="292" t="str">
        <f>'A) Base RI'!B231</f>
        <v>Sergey</v>
      </c>
      <c r="C235" s="10">
        <f>'A) Base RI'!AO231</f>
        <v>145</v>
      </c>
      <c r="D235" s="442">
        <f>'C) Prél. conj.'!H229</f>
        <v>0</v>
      </c>
      <c r="E235" s="10">
        <f>'D) Ecrêtage'!M229</f>
        <v>0</v>
      </c>
      <c r="F235" s="442">
        <f>$F$10*'D) Ecrêtage'!C229</f>
        <v>50974.901517918064</v>
      </c>
      <c r="G235" s="55">
        <f t="shared" si="3"/>
        <v>50974.901517918064</v>
      </c>
    </row>
    <row r="236" spans="1:7" x14ac:dyDescent="0.25">
      <c r="A236" s="49">
        <f>'A) Base RI'!A232</f>
        <v>5763</v>
      </c>
      <c r="B236" s="292" t="str">
        <f>'A) Base RI'!B232</f>
        <v>Valeyres-sous-Rances</v>
      </c>
      <c r="C236" s="10">
        <f>'A) Base RI'!AO232</f>
        <v>609</v>
      </c>
      <c r="D236" s="442">
        <f>'C) Prél. conj.'!H230</f>
        <v>27306.229999999996</v>
      </c>
      <c r="E236" s="10">
        <f>'D) Ecrêtage'!M230</f>
        <v>0</v>
      </c>
      <c r="F236" s="442">
        <f>$F$10*'D) Ecrêtage'!C230</f>
        <v>276372.7619006235</v>
      </c>
      <c r="G236" s="55">
        <f t="shared" si="3"/>
        <v>303678.99190062348</v>
      </c>
    </row>
    <row r="237" spans="1:7" x14ac:dyDescent="0.25">
      <c r="A237" s="49">
        <f>'A) Base RI'!A233</f>
        <v>5764</v>
      </c>
      <c r="B237" s="292" t="str">
        <f>'A) Base RI'!B233</f>
        <v>Vallorbe</v>
      </c>
      <c r="C237" s="10">
        <f>'A) Base RI'!AO233</f>
        <v>3874</v>
      </c>
      <c r="D237" s="442">
        <f>'C) Prél. conj.'!H231</f>
        <v>871780.7699999999</v>
      </c>
      <c r="E237" s="10">
        <f>'D) Ecrêtage'!M231</f>
        <v>0</v>
      </c>
      <c r="F237" s="442">
        <f>$F$10*'D) Ecrêtage'!C231</f>
        <v>1139066.4556480504</v>
      </c>
      <c r="G237" s="55">
        <f t="shared" si="3"/>
        <v>2010847.2256480502</v>
      </c>
    </row>
    <row r="238" spans="1:7" x14ac:dyDescent="0.25">
      <c r="A238" s="49">
        <f>'A) Base RI'!A234</f>
        <v>5765</v>
      </c>
      <c r="B238" s="292" t="str">
        <f>'A) Base RI'!B234</f>
        <v>Vaulion</v>
      </c>
      <c r="C238" s="10">
        <f>'A) Base RI'!AO234</f>
        <v>506</v>
      </c>
      <c r="D238" s="442">
        <f>'C) Prél. conj.'!H232</f>
        <v>65158.675000000003</v>
      </c>
      <c r="E238" s="10">
        <f>'D) Ecrêtage'!M232</f>
        <v>0</v>
      </c>
      <c r="F238" s="442">
        <f>$F$10*'D) Ecrêtage'!C232</f>
        <v>152864.07583541836</v>
      </c>
      <c r="G238" s="55">
        <f t="shared" si="3"/>
        <v>218022.75083541835</v>
      </c>
    </row>
    <row r="239" spans="1:7" x14ac:dyDescent="0.25">
      <c r="A239" s="49">
        <f>'A) Base RI'!A235</f>
        <v>5766</v>
      </c>
      <c r="B239" s="292" t="str">
        <f>'A) Base RI'!B235</f>
        <v>Vuiteboeuf</v>
      </c>
      <c r="C239" s="10">
        <f>'A) Base RI'!AO235</f>
        <v>584</v>
      </c>
      <c r="D239" s="442">
        <f>'C) Prél. conj.'!H233</f>
        <v>28143.724999999999</v>
      </c>
      <c r="E239" s="10">
        <f>'D) Ecrêtage'!M233</f>
        <v>0</v>
      </c>
      <c r="F239" s="442">
        <f>$F$10*'D) Ecrêtage'!C233</f>
        <v>216078.46051944894</v>
      </c>
      <c r="G239" s="55">
        <f t="shared" si="3"/>
        <v>244222.18551944895</v>
      </c>
    </row>
    <row r="240" spans="1:7" x14ac:dyDescent="0.25">
      <c r="A240" s="49">
        <f>'A) Base RI'!A236</f>
        <v>5785</v>
      </c>
      <c r="B240" s="292" t="str">
        <f>'A) Base RI'!B236</f>
        <v>Corcelles-le-Jorat</v>
      </c>
      <c r="C240" s="10">
        <f>'A) Base RI'!AO236</f>
        <v>451</v>
      </c>
      <c r="D240" s="442">
        <f>'C) Prél. conj.'!H234</f>
        <v>66397.7</v>
      </c>
      <c r="E240" s="10">
        <f>'D) Ecrêtage'!M234</f>
        <v>0</v>
      </c>
      <c r="F240" s="442">
        <f>$F$10*'D) Ecrêtage'!C234</f>
        <v>236520.99763711597</v>
      </c>
      <c r="G240" s="55">
        <f t="shared" si="3"/>
        <v>302918.69763711595</v>
      </c>
    </row>
    <row r="241" spans="1:7" x14ac:dyDescent="0.25">
      <c r="A241" s="49">
        <f>'A) Base RI'!A237</f>
        <v>5788</v>
      </c>
      <c r="B241" s="292" t="str">
        <f>'A) Base RI'!B237</f>
        <v>Essertes</v>
      </c>
      <c r="C241" s="10">
        <f>'A) Base RI'!AO237</f>
        <v>389</v>
      </c>
      <c r="D241" s="442">
        <f>'C) Prél. conj.'!H235</f>
        <v>36736.354999999996</v>
      </c>
      <c r="E241" s="10">
        <f>'D) Ecrêtage'!M235</f>
        <v>0</v>
      </c>
      <c r="F241" s="442">
        <f>$F$10*'D) Ecrêtage'!C235</f>
        <v>219203.86327695288</v>
      </c>
      <c r="G241" s="55">
        <f t="shared" si="3"/>
        <v>255940.21827695286</v>
      </c>
    </row>
    <row r="242" spans="1:7" x14ac:dyDescent="0.25">
      <c r="A242" s="49">
        <f>'A) Base RI'!A238</f>
        <v>5790</v>
      </c>
      <c r="B242" s="292" t="str">
        <f>'A) Base RI'!B238</f>
        <v>Maracon</v>
      </c>
      <c r="C242" s="10">
        <f>'A) Base RI'!AO238</f>
        <v>538</v>
      </c>
      <c r="D242" s="442">
        <f>'C) Prél. conj.'!H236</f>
        <v>30681.670000000002</v>
      </c>
      <c r="E242" s="10">
        <f>'D) Ecrêtage'!M236</f>
        <v>0</v>
      </c>
      <c r="F242" s="442">
        <f>$F$10*'D) Ecrêtage'!C236</f>
        <v>181012.71036480929</v>
      </c>
      <c r="G242" s="55">
        <f t="shared" si="3"/>
        <v>211694.3803648093</v>
      </c>
    </row>
    <row r="243" spans="1:7" x14ac:dyDescent="0.25">
      <c r="A243" s="49">
        <f>'A) Base RI'!A239</f>
        <v>5792</v>
      </c>
      <c r="B243" s="292" t="str">
        <f>'A) Base RI'!B239</f>
        <v>Montpreveyres</v>
      </c>
      <c r="C243" s="10">
        <f>'A) Base RI'!AO239</f>
        <v>653</v>
      </c>
      <c r="D243" s="442">
        <f>'C) Prél. conj.'!H237</f>
        <v>55973.37</v>
      </c>
      <c r="E243" s="10">
        <f>'D) Ecrêtage'!M237</f>
        <v>0</v>
      </c>
      <c r="F243" s="442">
        <f>$F$10*'D) Ecrêtage'!C237</f>
        <v>237906.73088959549</v>
      </c>
      <c r="G243" s="55">
        <f t="shared" si="3"/>
        <v>293880.10088959552</v>
      </c>
    </row>
    <row r="244" spans="1:7" x14ac:dyDescent="0.25">
      <c r="A244" s="49">
        <f>'A) Base RI'!A240</f>
        <v>5798</v>
      </c>
      <c r="B244" s="292" t="str">
        <f>'A) Base RI'!B240</f>
        <v>Ropraz</v>
      </c>
      <c r="C244" s="10">
        <f>'A) Base RI'!AO240</f>
        <v>528</v>
      </c>
      <c r="D244" s="442">
        <f>'C) Prél. conj.'!H238</f>
        <v>41040.799999999996</v>
      </c>
      <c r="E244" s="10">
        <f>'D) Ecrêtage'!M238</f>
        <v>0</v>
      </c>
      <c r="F244" s="442">
        <f>$F$10*'D) Ecrêtage'!C238</f>
        <v>212925.21819904764</v>
      </c>
      <c r="G244" s="55">
        <f t="shared" si="3"/>
        <v>253966.01819904763</v>
      </c>
    </row>
    <row r="245" spans="1:7" x14ac:dyDescent="0.25">
      <c r="A245" s="49">
        <f>'A) Base RI'!A241</f>
        <v>5799</v>
      </c>
      <c r="B245" s="292" t="str">
        <f>'A) Base RI'!B241</f>
        <v>Servion</v>
      </c>
      <c r="C245" s="10">
        <f>'A) Base RI'!AO241</f>
        <v>2076</v>
      </c>
      <c r="D245" s="442">
        <f>'C) Prél. conj.'!H239</f>
        <v>295192.10499999998</v>
      </c>
      <c r="E245" s="10">
        <f>'D) Ecrêtage'!M239</f>
        <v>0</v>
      </c>
      <c r="F245" s="442">
        <f>$F$10*'D) Ecrêtage'!C239</f>
        <v>937445.11346298468</v>
      </c>
      <c r="G245" s="55">
        <f t="shared" si="3"/>
        <v>1232637.2184629845</v>
      </c>
    </row>
    <row r="246" spans="1:7" x14ac:dyDescent="0.25">
      <c r="A246" s="49">
        <f>'A) Base RI'!A242</f>
        <v>5803</v>
      </c>
      <c r="B246" s="292" t="str">
        <f>'A) Base RI'!B242</f>
        <v>Vulliens</v>
      </c>
      <c r="C246" s="10">
        <f>'A) Base RI'!AO242</f>
        <v>624</v>
      </c>
      <c r="D246" s="442">
        <f>'C) Prél. conj.'!H240</f>
        <v>32224.345000000001</v>
      </c>
      <c r="E246" s="10">
        <f>'D) Ecrêtage'!M240</f>
        <v>0</v>
      </c>
      <c r="F246" s="442">
        <f>$F$10*'D) Ecrêtage'!C240</f>
        <v>255020.31654286067</v>
      </c>
      <c r="G246" s="55">
        <f t="shared" si="3"/>
        <v>287244.66154286067</v>
      </c>
    </row>
    <row r="247" spans="1:7" x14ac:dyDescent="0.25">
      <c r="A247" s="49">
        <f>'A) Base RI'!A243</f>
        <v>5804</v>
      </c>
      <c r="B247" s="292" t="str">
        <f>'A) Base RI'!B243</f>
        <v>Jorat-Menthue</v>
      </c>
      <c r="C247" s="10">
        <f>'A) Base RI'!AO243</f>
        <v>1602</v>
      </c>
      <c r="D247" s="442">
        <f>'C) Prél. conj.'!H241</f>
        <v>198604.42500000002</v>
      </c>
      <c r="E247" s="10">
        <f>'D) Ecrêtage'!M241</f>
        <v>0</v>
      </c>
      <c r="F247" s="442">
        <f>$F$10*'D) Ecrêtage'!C241</f>
        <v>630836.57767313952</v>
      </c>
      <c r="G247" s="55">
        <f t="shared" si="3"/>
        <v>829441.00267313956</v>
      </c>
    </row>
    <row r="248" spans="1:7" x14ac:dyDescent="0.25">
      <c r="A248" s="49">
        <f>'A) Base RI'!A244</f>
        <v>5805</v>
      </c>
      <c r="B248" s="292" t="str">
        <f>'A) Base RI'!B244</f>
        <v>Oron</v>
      </c>
      <c r="C248" s="10">
        <f>'A) Base RI'!AO244</f>
        <v>5663</v>
      </c>
      <c r="D248" s="442">
        <f>'C) Prél. conj.'!H242</f>
        <v>356785.42499999999</v>
      </c>
      <c r="E248" s="10">
        <f>'D) Ecrêtage'!M242</f>
        <v>0</v>
      </c>
      <c r="F248" s="442">
        <f>$F$10*'D) Ecrêtage'!C242</f>
        <v>2090421.0485922154</v>
      </c>
      <c r="G248" s="55">
        <f t="shared" si="3"/>
        <v>2447206.4735922152</v>
      </c>
    </row>
    <row r="249" spans="1:7" x14ac:dyDescent="0.25">
      <c r="A249" s="49">
        <f>'A) Base RI'!A245</f>
        <v>5806</v>
      </c>
      <c r="B249" s="292" t="str">
        <f>'A) Base RI'!B245</f>
        <v>Jorat-Mézières</v>
      </c>
      <c r="C249" s="10">
        <f>'A) Base RI'!AO245</f>
        <v>2966</v>
      </c>
      <c r="D249" s="442">
        <f>'C) Prél. conj.'!H243</f>
        <v>272721.78000000003</v>
      </c>
      <c r="E249" s="10">
        <f>'D) Ecrêtage'!M243</f>
        <v>0</v>
      </c>
      <c r="F249" s="442">
        <f>$F$10*'D) Ecrêtage'!C243</f>
        <v>1230390.4755705292</v>
      </c>
      <c r="G249" s="55">
        <f t="shared" si="3"/>
        <v>1503112.2555705293</v>
      </c>
    </row>
    <row r="250" spans="1:7" x14ac:dyDescent="0.25">
      <c r="A250" s="49">
        <f>'A) Base RI'!A246</f>
        <v>5812</v>
      </c>
      <c r="B250" s="292" t="str">
        <f>'A) Base RI'!B246</f>
        <v>Champtauroz</v>
      </c>
      <c r="C250" s="10">
        <f>'A) Base RI'!AO246</f>
        <v>144</v>
      </c>
      <c r="D250" s="442">
        <f>'C) Prél. conj.'!H244</f>
        <v>13367.475</v>
      </c>
      <c r="E250" s="10">
        <f>'D) Ecrêtage'!M244</f>
        <v>0</v>
      </c>
      <c r="F250" s="442">
        <f>$F$10*'D) Ecrêtage'!C244</f>
        <v>33818.179277212497</v>
      </c>
      <c r="G250" s="55">
        <f t="shared" si="3"/>
        <v>47185.654277212496</v>
      </c>
    </row>
    <row r="251" spans="1:7" x14ac:dyDescent="0.25">
      <c r="A251" s="49">
        <f>'A) Base RI'!A247</f>
        <v>5813</v>
      </c>
      <c r="B251" s="292" t="str">
        <f>'A) Base RI'!B247</f>
        <v>Chevroux</v>
      </c>
      <c r="C251" s="10">
        <f>'A) Base RI'!AO247</f>
        <v>495</v>
      </c>
      <c r="D251" s="442">
        <f>'C) Prél. conj.'!H245</f>
        <v>26598.425000000003</v>
      </c>
      <c r="E251" s="10">
        <f>'D) Ecrêtage'!M245</f>
        <v>0</v>
      </c>
      <c r="F251" s="442">
        <f>$F$10*'D) Ecrêtage'!C245</f>
        <v>205083.98020457951</v>
      </c>
      <c r="G251" s="55">
        <f t="shared" si="3"/>
        <v>231682.40520457953</v>
      </c>
    </row>
    <row r="252" spans="1:7" x14ac:dyDescent="0.25">
      <c r="A252" s="49">
        <f>'A) Base RI'!A248</f>
        <v>5816</v>
      </c>
      <c r="B252" s="292" t="str">
        <f>'A) Base RI'!B248</f>
        <v>Corcelles-près-Payerne</v>
      </c>
      <c r="C252" s="10">
        <f>'A) Base RI'!AO248</f>
        <v>2681</v>
      </c>
      <c r="D252" s="442">
        <f>'C) Prél. conj.'!H246</f>
        <v>177903.70499999999</v>
      </c>
      <c r="E252" s="10">
        <f>'D) Ecrêtage'!M246</f>
        <v>0</v>
      </c>
      <c r="F252" s="442">
        <f>$F$10*'D) Ecrêtage'!C246</f>
        <v>817767.45067738369</v>
      </c>
      <c r="G252" s="55">
        <f t="shared" si="3"/>
        <v>995671.15567738365</v>
      </c>
    </row>
    <row r="253" spans="1:7" x14ac:dyDescent="0.25">
      <c r="A253" s="49">
        <f>'A) Base RI'!A249</f>
        <v>5817</v>
      </c>
      <c r="B253" s="292" t="str">
        <f>'A) Base RI'!B249</f>
        <v>Grandcour</v>
      </c>
      <c r="C253" s="10">
        <f>'A) Base RI'!AO249</f>
        <v>967</v>
      </c>
      <c r="D253" s="442">
        <f>'C) Prél. conj.'!H247</f>
        <v>27296.91</v>
      </c>
      <c r="E253" s="10">
        <f>'D) Ecrêtage'!M247</f>
        <v>0</v>
      </c>
      <c r="F253" s="442">
        <f>$F$10*'D) Ecrêtage'!C247</f>
        <v>295265.12437477411</v>
      </c>
      <c r="G253" s="55">
        <f t="shared" si="3"/>
        <v>322562.03437477408</v>
      </c>
    </row>
    <row r="254" spans="1:7" x14ac:dyDescent="0.25">
      <c r="A254" s="49">
        <f>'A) Base RI'!A250</f>
        <v>5819</v>
      </c>
      <c r="B254" s="292" t="str">
        <f>'A) Base RI'!B250</f>
        <v>Henniez</v>
      </c>
      <c r="C254" s="10">
        <f>'A) Base RI'!AO250</f>
        <v>396</v>
      </c>
      <c r="D254" s="442">
        <f>'C) Prél. conj.'!H248</f>
        <v>20856.859999999997</v>
      </c>
      <c r="E254" s="10">
        <f>'D) Ecrêtage'!M248</f>
        <v>0</v>
      </c>
      <c r="F254" s="442">
        <f>$F$10*'D) Ecrêtage'!C248</f>
        <v>154939.54523749737</v>
      </c>
      <c r="G254" s="55">
        <f t="shared" si="3"/>
        <v>175796.40523749735</v>
      </c>
    </row>
    <row r="255" spans="1:7" x14ac:dyDescent="0.25">
      <c r="A255" s="49">
        <f>'A) Base RI'!A251</f>
        <v>5821</v>
      </c>
      <c r="B255" s="292" t="str">
        <f>'A) Base RI'!B251</f>
        <v>Missy</v>
      </c>
      <c r="C255" s="10">
        <f>'A) Base RI'!AO251</f>
        <v>368</v>
      </c>
      <c r="D255" s="442">
        <f>'C) Prél. conj.'!H249</f>
        <v>16020.150000000001</v>
      </c>
      <c r="E255" s="10">
        <f>'D) Ecrêtage'!M249</f>
        <v>0</v>
      </c>
      <c r="F255" s="442">
        <f>$F$10*'D) Ecrêtage'!C249</f>
        <v>106363.32562730034</v>
      </c>
      <c r="G255" s="55">
        <f t="shared" si="3"/>
        <v>122383.47562730033</v>
      </c>
    </row>
    <row r="256" spans="1:7" x14ac:dyDescent="0.25">
      <c r="A256" s="49">
        <f>'A) Base RI'!A252</f>
        <v>5822</v>
      </c>
      <c r="B256" s="292" t="str">
        <f>'A) Base RI'!B252</f>
        <v>Payerne</v>
      </c>
      <c r="C256" s="10">
        <f>'A) Base RI'!AO252</f>
        <v>10108</v>
      </c>
      <c r="D256" s="442">
        <f>'C) Prél. conj.'!H250</f>
        <v>826377.6</v>
      </c>
      <c r="E256" s="10">
        <f>'D) Ecrêtage'!M250</f>
        <v>0</v>
      </c>
      <c r="F256" s="442">
        <f>$F$10*'D) Ecrêtage'!C250</f>
        <v>3213456.0857324502</v>
      </c>
      <c r="G256" s="55">
        <f t="shared" si="3"/>
        <v>4039833.6857324503</v>
      </c>
    </row>
    <row r="257" spans="1:7" x14ac:dyDescent="0.25">
      <c r="A257" s="49">
        <f>'A) Base RI'!A253</f>
        <v>5827</v>
      </c>
      <c r="B257" s="292" t="str">
        <f>'A) Base RI'!B253</f>
        <v>Trey</v>
      </c>
      <c r="C257" s="10">
        <f>'A) Base RI'!AO253</f>
        <v>302</v>
      </c>
      <c r="D257" s="442">
        <f>'C) Prél. conj.'!H251</f>
        <v>12964.724999999999</v>
      </c>
      <c r="E257" s="10">
        <f>'D) Ecrêtage'!M251</f>
        <v>0</v>
      </c>
      <c r="F257" s="442">
        <f>$F$10*'D) Ecrêtage'!C251</f>
        <v>83272.737285435389</v>
      </c>
      <c r="G257" s="55">
        <f t="shared" si="3"/>
        <v>96237.46228543538</v>
      </c>
    </row>
    <row r="258" spans="1:7" x14ac:dyDescent="0.25">
      <c r="A258" s="49">
        <f>'A) Base RI'!A254</f>
        <v>5828</v>
      </c>
      <c r="B258" s="292" t="str">
        <f>'A) Base RI'!B254</f>
        <v>Treytorrens (Payerne)</v>
      </c>
      <c r="C258" s="10">
        <f>'A) Base RI'!AO254</f>
        <v>114</v>
      </c>
      <c r="D258" s="442">
        <f>'C) Prél. conj.'!H252</f>
        <v>3024.55</v>
      </c>
      <c r="E258" s="10">
        <f>'D) Ecrêtage'!M252</f>
        <v>0</v>
      </c>
      <c r="F258" s="442">
        <f>$F$10*'D) Ecrêtage'!C252</f>
        <v>30917.283282358883</v>
      </c>
      <c r="G258" s="55">
        <f t="shared" si="3"/>
        <v>33941.833282358886</v>
      </c>
    </row>
    <row r="259" spans="1:7" x14ac:dyDescent="0.25">
      <c r="A259" s="49">
        <f>'A) Base RI'!A255</f>
        <v>5830</v>
      </c>
      <c r="B259" s="292" t="str">
        <f>'A) Base RI'!B255</f>
        <v>Villarzel</v>
      </c>
      <c r="C259" s="10">
        <f>'A) Base RI'!AO255</f>
        <v>477</v>
      </c>
      <c r="D259" s="442">
        <f>'C) Prél. conj.'!H253</f>
        <v>40886.775000000001</v>
      </c>
      <c r="E259" s="10">
        <f>'D) Ecrêtage'!M253</f>
        <v>0</v>
      </c>
      <c r="F259" s="442">
        <f>$F$10*'D) Ecrêtage'!C253</f>
        <v>168486.34367228078</v>
      </c>
      <c r="G259" s="55">
        <f t="shared" si="3"/>
        <v>209373.11867228078</v>
      </c>
    </row>
    <row r="260" spans="1:7" x14ac:dyDescent="0.25">
      <c r="A260" s="49">
        <f>'A) Base RI'!A256</f>
        <v>5831</v>
      </c>
      <c r="B260" s="292" t="str">
        <f>'A) Base RI'!B256</f>
        <v>Valbroye</v>
      </c>
      <c r="C260" s="10">
        <f>'A) Base RI'!AO256</f>
        <v>3373</v>
      </c>
      <c r="D260" s="442">
        <f>'C) Prél. conj.'!H254</f>
        <v>253243.14499999999</v>
      </c>
      <c r="E260" s="10">
        <f>'D) Ecrêtage'!M254</f>
        <v>0</v>
      </c>
      <c r="F260" s="442">
        <f>$F$10*'D) Ecrêtage'!C254</f>
        <v>1131582.1064905575</v>
      </c>
      <c r="G260" s="55">
        <f t="shared" si="3"/>
        <v>1384825.2514905576</v>
      </c>
    </row>
    <row r="261" spans="1:7" x14ac:dyDescent="0.25">
      <c r="A261" s="49">
        <f>'A) Base RI'!A257</f>
        <v>5841</v>
      </c>
      <c r="B261" s="292" t="str">
        <f>'A) Base RI'!B257</f>
        <v>Château-d'Oex</v>
      </c>
      <c r="C261" s="10">
        <f>'A) Base RI'!AO257</f>
        <v>3494</v>
      </c>
      <c r="D261" s="442">
        <f>'C) Prél. conj.'!H255</f>
        <v>815773.91500000004</v>
      </c>
      <c r="E261" s="10">
        <f>'D) Ecrêtage'!M255</f>
        <v>0</v>
      </c>
      <c r="F261" s="442">
        <f>$F$10*'D) Ecrêtage'!C255</f>
        <v>1468012.0218071803</v>
      </c>
      <c r="G261" s="55">
        <f t="shared" si="3"/>
        <v>2283785.9368071803</v>
      </c>
    </row>
    <row r="262" spans="1:7" x14ac:dyDescent="0.25">
      <c r="A262" s="49">
        <f>'A) Base RI'!A258</f>
        <v>5842</v>
      </c>
      <c r="B262" s="292" t="str">
        <f>'A) Base RI'!B258</f>
        <v>Rossinière</v>
      </c>
      <c r="C262" s="10">
        <f>'A) Base RI'!AO258</f>
        <v>537</v>
      </c>
      <c r="D262" s="442">
        <f>'C) Prél. conj.'!H256</f>
        <v>36108.525000000001</v>
      </c>
      <c r="E262" s="10">
        <f>'D) Ecrêtage'!M256</f>
        <v>0</v>
      </c>
      <c r="F262" s="442">
        <f>$F$10*'D) Ecrêtage'!C256</f>
        <v>196034.40115234887</v>
      </c>
      <c r="G262" s="55">
        <f t="shared" si="3"/>
        <v>232142.92615234887</v>
      </c>
    </row>
    <row r="263" spans="1:7" x14ac:dyDescent="0.25">
      <c r="A263" s="49">
        <f>'A) Base RI'!A259</f>
        <v>5843</v>
      </c>
      <c r="B263" s="292" t="str">
        <f>'A) Base RI'!B259</f>
        <v>Rougemont</v>
      </c>
      <c r="C263" s="10">
        <f>'A) Base RI'!AO259</f>
        <v>863</v>
      </c>
      <c r="D263" s="442">
        <f>'C) Prél. conj.'!H257</f>
        <v>636815.35</v>
      </c>
      <c r="E263" s="10">
        <f>'D) Ecrêtage'!M257</f>
        <v>1656304.7892896035</v>
      </c>
      <c r="F263" s="442">
        <f>$F$10*'D) Ecrêtage'!C257</f>
        <v>1357370.5254350689</v>
      </c>
      <c r="G263" s="55">
        <f t="shared" si="3"/>
        <v>3650490.6647246722</v>
      </c>
    </row>
    <row r="264" spans="1:7" x14ac:dyDescent="0.25">
      <c r="A264" s="49">
        <f>'A) Base RI'!A260</f>
        <v>5851</v>
      </c>
      <c r="B264" s="292" t="str">
        <f>'A) Base RI'!B260</f>
        <v>Allaman</v>
      </c>
      <c r="C264" s="10">
        <f>'A) Base RI'!AO260</f>
        <v>443</v>
      </c>
      <c r="D264" s="442">
        <f>'C) Prél. conj.'!H258</f>
        <v>22219.66</v>
      </c>
      <c r="E264" s="10">
        <f>'D) Ecrêtage'!M258</f>
        <v>35702.284738678449</v>
      </c>
      <c r="F264" s="442">
        <f>$F$10*'D) Ecrêtage'!C258</f>
        <v>328493.34657343995</v>
      </c>
      <c r="G264" s="55">
        <f t="shared" si="3"/>
        <v>386415.29131211835</v>
      </c>
    </row>
    <row r="265" spans="1:7" x14ac:dyDescent="0.25">
      <c r="A265" s="49">
        <f>'A) Base RI'!A261</f>
        <v>5852</v>
      </c>
      <c r="B265" s="292" t="str">
        <f>'A) Base RI'!B261</f>
        <v>Bursinel</v>
      </c>
      <c r="C265" s="10">
        <f>'A) Base RI'!AO261</f>
        <v>491</v>
      </c>
      <c r="D265" s="442">
        <f>'C) Prél. conj.'!H259</f>
        <v>40081.775000000001</v>
      </c>
      <c r="E265" s="10">
        <f>'D) Ecrêtage'!M259</f>
        <v>338402.11890569766</v>
      </c>
      <c r="F265" s="442">
        <f>$F$10*'D) Ecrêtage'!C259</f>
        <v>549954.89557967358</v>
      </c>
      <c r="G265" s="55">
        <f t="shared" si="3"/>
        <v>928438.78948537121</v>
      </c>
    </row>
    <row r="266" spans="1:7" x14ac:dyDescent="0.25">
      <c r="A266" s="49">
        <f>'A) Base RI'!A262</f>
        <v>5853</v>
      </c>
      <c r="B266" s="292" t="str">
        <f>'A) Base RI'!B262</f>
        <v>Bursins</v>
      </c>
      <c r="C266" s="10">
        <f>'A) Base RI'!AO262</f>
        <v>773</v>
      </c>
      <c r="D266" s="442">
        <f>'C) Prél. conj.'!H260</f>
        <v>3583087.6150000002</v>
      </c>
      <c r="E266" s="10">
        <f>'D) Ecrêtage'!M260</f>
        <v>67889.797383937868</v>
      </c>
      <c r="F266" s="442">
        <f>$F$10*'D) Ecrêtage'!C260</f>
        <v>567648.93398145528</v>
      </c>
      <c r="G266" s="55">
        <f t="shared" si="3"/>
        <v>4218626.3463653931</v>
      </c>
    </row>
    <row r="267" spans="1:7" x14ac:dyDescent="0.25">
      <c r="A267" s="49">
        <f>'A) Base RI'!A263</f>
        <v>5854</v>
      </c>
      <c r="B267" s="292" t="str">
        <f>'A) Base RI'!B263</f>
        <v>Burtigny</v>
      </c>
      <c r="C267" s="10">
        <f>'A) Base RI'!AO263</f>
        <v>404</v>
      </c>
      <c r="D267" s="442">
        <f>'C) Prél. conj.'!H261</f>
        <v>60409.045000000006</v>
      </c>
      <c r="E267" s="10">
        <f>'D) Ecrêtage'!M261</f>
        <v>0</v>
      </c>
      <c r="F267" s="442">
        <f>$F$10*'D) Ecrêtage'!C261</f>
        <v>145680.58538685599</v>
      </c>
      <c r="G267" s="55">
        <f t="shared" si="3"/>
        <v>206089.63038685601</v>
      </c>
    </row>
    <row r="268" spans="1:7" x14ac:dyDescent="0.25">
      <c r="A268" s="49">
        <f>'A) Base RI'!A264</f>
        <v>5855</v>
      </c>
      <c r="B268" s="292" t="str">
        <f>'A) Base RI'!B264</f>
        <v>Dully</v>
      </c>
      <c r="C268" s="10">
        <f>'A) Base RI'!AO264</f>
        <v>628</v>
      </c>
      <c r="D268" s="442">
        <f>'C) Prél. conj.'!H262</f>
        <v>270910.51500000001</v>
      </c>
      <c r="E268" s="10">
        <f>'D) Ecrêtage'!M262</f>
        <v>1448061.0152271108</v>
      </c>
      <c r="F268" s="442">
        <f>$F$10*'D) Ecrêtage'!C262</f>
        <v>1326155.1088507015</v>
      </c>
      <c r="G268" s="55">
        <f t="shared" ref="G268:G319" si="4">D268+F268+E268</f>
        <v>3045126.6390778124</v>
      </c>
    </row>
    <row r="269" spans="1:7" x14ac:dyDescent="0.25">
      <c r="A269" s="49">
        <f>'A) Base RI'!A265</f>
        <v>5856</v>
      </c>
      <c r="B269" s="292" t="str">
        <f>'A) Base RI'!B265</f>
        <v>Essertines-sur-Rolle</v>
      </c>
      <c r="C269" s="10">
        <f>'A) Base RI'!AO265</f>
        <v>740</v>
      </c>
      <c r="D269" s="442">
        <f>'C) Prél. conj.'!H263</f>
        <v>139839.02499999999</v>
      </c>
      <c r="E269" s="10">
        <f>'D) Ecrêtage'!M263</f>
        <v>882.14929888991412</v>
      </c>
      <c r="F269" s="442">
        <f>$F$10*'D) Ecrêtage'!C263</f>
        <v>482476.5859761911</v>
      </c>
      <c r="G269" s="55">
        <f t="shared" si="4"/>
        <v>623197.76027508103</v>
      </c>
    </row>
    <row r="270" spans="1:7" x14ac:dyDescent="0.25">
      <c r="A270" s="49">
        <f>'A) Base RI'!A266</f>
        <v>5857</v>
      </c>
      <c r="B270" s="292" t="str">
        <f>'A) Base RI'!B266</f>
        <v>Gilly</v>
      </c>
      <c r="C270" s="10">
        <f>'A) Base RI'!AO266</f>
        <v>1428</v>
      </c>
      <c r="D270" s="442">
        <f>'C) Prél. conj.'!H264</f>
        <v>140316.99</v>
      </c>
      <c r="E270" s="10">
        <f>'D) Ecrêtage'!M264</f>
        <v>172119.373004227</v>
      </c>
      <c r="F270" s="442">
        <f>$F$10*'D) Ecrêtage'!C264</f>
        <v>1109583.0943712783</v>
      </c>
      <c r="G270" s="55">
        <f t="shared" si="4"/>
        <v>1422019.4573755052</v>
      </c>
    </row>
    <row r="271" spans="1:7" x14ac:dyDescent="0.25">
      <c r="A271" s="49">
        <f>'A) Base RI'!A267</f>
        <v>5858</v>
      </c>
      <c r="B271" s="292" t="str">
        <f>'A) Base RI'!B267</f>
        <v>Luins</v>
      </c>
      <c r="C271" s="10">
        <f>'A) Base RI'!AO267</f>
        <v>619</v>
      </c>
      <c r="D271" s="442">
        <f>'C) Prél. conj.'!H265</f>
        <v>58561.964999999997</v>
      </c>
      <c r="E271" s="10">
        <f>'D) Ecrêtage'!M265</f>
        <v>148930.33490349932</v>
      </c>
      <c r="F271" s="442">
        <f>$F$10*'D) Ecrêtage'!C265</f>
        <v>544340.83177248202</v>
      </c>
      <c r="G271" s="55">
        <f t="shared" si="4"/>
        <v>751833.13167598133</v>
      </c>
    </row>
    <row r="272" spans="1:7" x14ac:dyDescent="0.25">
      <c r="A272" s="49">
        <f>'A) Base RI'!A268</f>
        <v>5859</v>
      </c>
      <c r="B272" s="292" t="str">
        <f>'A) Base RI'!B268</f>
        <v>Mont-sur-Rolle</v>
      </c>
      <c r="C272" s="10">
        <f>'A) Base RI'!AO268</f>
        <v>2646</v>
      </c>
      <c r="D272" s="442">
        <f>'C) Prél. conj.'!H266</f>
        <v>361596.13999999996</v>
      </c>
      <c r="E272" s="10">
        <f>'D) Ecrêtage'!M266</f>
        <v>241422.85221359282</v>
      </c>
      <c r="F272" s="442">
        <f>$F$10*'D) Ecrêtage'!C266</f>
        <v>1978802.8166707156</v>
      </c>
      <c r="G272" s="55">
        <f t="shared" si="4"/>
        <v>2581821.8088843082</v>
      </c>
    </row>
    <row r="273" spans="1:7" x14ac:dyDescent="0.25">
      <c r="A273" s="49">
        <f>'A) Base RI'!A269</f>
        <v>5860</v>
      </c>
      <c r="B273" s="292" t="str">
        <f>'A) Base RI'!B269</f>
        <v>Perroy</v>
      </c>
      <c r="C273" s="10">
        <f>'A) Base RI'!AO269</f>
        <v>1518</v>
      </c>
      <c r="D273" s="442">
        <f>'C) Prél. conj.'!H267</f>
        <v>616475.93000000005</v>
      </c>
      <c r="E273" s="10">
        <f>'D) Ecrêtage'!M267</f>
        <v>2608903.9988645422</v>
      </c>
      <c r="F273" s="442">
        <f>$F$10*'D) Ecrêtage'!C267</f>
        <v>2528805.6215074346</v>
      </c>
      <c r="G273" s="55">
        <f t="shared" si="4"/>
        <v>5754185.5503719766</v>
      </c>
    </row>
    <row r="274" spans="1:7" x14ac:dyDescent="0.25">
      <c r="A274" s="49">
        <f>'A) Base RI'!A270</f>
        <v>5861</v>
      </c>
      <c r="B274" s="292" t="str">
        <f>'A) Base RI'!B270</f>
        <v>Rolle</v>
      </c>
      <c r="C274" s="10">
        <f>'A) Base RI'!AO270</f>
        <v>6259</v>
      </c>
      <c r="D274" s="442">
        <f>'C) Prél. conj.'!H268</f>
        <v>1037870.1799999999</v>
      </c>
      <c r="E274" s="10">
        <f>'D) Ecrêtage'!M268</f>
        <v>51797980.66834262</v>
      </c>
      <c r="F274" s="442">
        <f>$F$10*'D) Ecrêtage'!C268</f>
        <v>26187580.526117187</v>
      </c>
      <c r="G274" s="55">
        <f t="shared" si="4"/>
        <v>79023431.374459803</v>
      </c>
    </row>
    <row r="275" spans="1:7" x14ac:dyDescent="0.25">
      <c r="A275" s="49">
        <f>'A) Base RI'!A271</f>
        <v>5862</v>
      </c>
      <c r="B275" s="292" t="str">
        <f>'A) Base RI'!B271</f>
        <v>Tartegnin</v>
      </c>
      <c r="C275" s="10">
        <f>'A) Base RI'!AO271</f>
        <v>236</v>
      </c>
      <c r="D275" s="442">
        <f>'C) Prél. conj.'!H269</f>
        <v>2319.3949999999995</v>
      </c>
      <c r="E275" s="10">
        <f>'D) Ecrêtage'!M269</f>
        <v>0</v>
      </c>
      <c r="F275" s="442">
        <f>$F$10*'D) Ecrêtage'!C269</f>
        <v>109385.64792518453</v>
      </c>
      <c r="G275" s="55">
        <f t="shared" si="4"/>
        <v>111705.04292518453</v>
      </c>
    </row>
    <row r="276" spans="1:7" x14ac:dyDescent="0.25">
      <c r="A276" s="49">
        <f>'A) Base RI'!A272</f>
        <v>5863</v>
      </c>
      <c r="B276" s="292" t="str">
        <f>'A) Base RI'!B272</f>
        <v>Vinzel</v>
      </c>
      <c r="C276" s="10">
        <f>'A) Base RI'!AO272</f>
        <v>385</v>
      </c>
      <c r="D276" s="442">
        <f>'C) Prél. conj.'!H270</f>
        <v>57489.834999999999</v>
      </c>
      <c r="E276" s="10">
        <f>'D) Ecrêtage'!M270</f>
        <v>45405.81776915778</v>
      </c>
      <c r="F276" s="442">
        <f>$F$10*'D) Ecrêtage'!C270</f>
        <v>296331.72029440571</v>
      </c>
      <c r="G276" s="55">
        <f t="shared" si="4"/>
        <v>399227.37306356349</v>
      </c>
    </row>
    <row r="277" spans="1:7" x14ac:dyDescent="0.25">
      <c r="A277" s="49">
        <f>'A) Base RI'!A273</f>
        <v>5871</v>
      </c>
      <c r="B277" s="292" t="str">
        <f>'A) Base RI'!B273</f>
        <v>L'Abbaye</v>
      </c>
      <c r="C277" s="10">
        <f>'A) Base RI'!AO273</f>
        <v>1473</v>
      </c>
      <c r="D277" s="442">
        <f>'C) Prél. conj.'!H271</f>
        <v>360517.23499999999</v>
      </c>
      <c r="E277" s="10">
        <f>'D) Ecrêtage'!M271</f>
        <v>0</v>
      </c>
      <c r="F277" s="442">
        <f>$F$10*'D) Ecrêtage'!C271</f>
        <v>668944.6072280847</v>
      </c>
      <c r="G277" s="55">
        <f t="shared" si="4"/>
        <v>1029461.8422280847</v>
      </c>
    </row>
    <row r="278" spans="1:7" x14ac:dyDescent="0.25">
      <c r="A278" s="49">
        <f>'A) Base RI'!A274</f>
        <v>5872</v>
      </c>
      <c r="B278" s="292" t="str">
        <f>'A) Base RI'!B274</f>
        <v>Le Chenit</v>
      </c>
      <c r="C278" s="10">
        <f>'A) Base RI'!AO274</f>
        <v>4600</v>
      </c>
      <c r="D278" s="442">
        <f>'C) Prél. conj.'!H272</f>
        <v>3807767.54</v>
      </c>
      <c r="E278" s="10">
        <f>'D) Ecrêtage'!M272</f>
        <v>193669.70019994178</v>
      </c>
      <c r="F278" s="442">
        <f>$F$10*'D) Ecrêtage'!C272</f>
        <v>3189018.7201909632</v>
      </c>
      <c r="G278" s="55">
        <f t="shared" si="4"/>
        <v>7190455.9603909058</v>
      </c>
    </row>
    <row r="279" spans="1:7" x14ac:dyDescent="0.25">
      <c r="A279" s="49">
        <f>'A) Base RI'!A275</f>
        <v>5873</v>
      </c>
      <c r="B279" s="292" t="str">
        <f>'A) Base RI'!B275</f>
        <v>Le Lieu</v>
      </c>
      <c r="C279" s="10">
        <f>'A) Base RI'!AO275</f>
        <v>888</v>
      </c>
      <c r="D279" s="442">
        <f>'C) Prél. conj.'!H273</f>
        <v>370204.48499999999</v>
      </c>
      <c r="E279" s="10">
        <f>'D) Ecrêtage'!M273</f>
        <v>0</v>
      </c>
      <c r="F279" s="442">
        <f>$F$10*'D) Ecrêtage'!C273</f>
        <v>411260.32874126738</v>
      </c>
      <c r="G279" s="55">
        <f t="shared" si="4"/>
        <v>781464.81374126743</v>
      </c>
    </row>
    <row r="280" spans="1:7" x14ac:dyDescent="0.25">
      <c r="A280" s="49">
        <f>'A) Base RI'!A276</f>
        <v>5881</v>
      </c>
      <c r="B280" s="292" t="str">
        <f>'A) Base RI'!B276</f>
        <v>Blonay</v>
      </c>
      <c r="C280" s="10">
        <f>'A) Base RI'!AO276</f>
        <v>6215</v>
      </c>
      <c r="D280" s="442">
        <f>'C) Prél. conj.'!H274</f>
        <v>1843812.6649999998</v>
      </c>
      <c r="E280" s="10">
        <f>'D) Ecrêtage'!M274</f>
        <v>902879.24906580732</v>
      </c>
      <c r="F280" s="442">
        <f>$F$10*'D) Ecrêtage'!C274</f>
        <v>4907853.7161657009</v>
      </c>
      <c r="G280" s="55">
        <f t="shared" si="4"/>
        <v>7654545.6302315081</v>
      </c>
    </row>
    <row r="281" spans="1:7" x14ac:dyDescent="0.25">
      <c r="A281" s="49">
        <f>'A) Base RI'!A277</f>
        <v>5882</v>
      </c>
      <c r="B281" s="292" t="str">
        <f>'A) Base RI'!B277</f>
        <v>Chardonne</v>
      </c>
      <c r="C281" s="10">
        <f>'A) Base RI'!AO277</f>
        <v>3093</v>
      </c>
      <c r="D281" s="442">
        <f>'C) Prél. conj.'!H275</f>
        <v>621322.80999999994</v>
      </c>
      <c r="E281" s="10">
        <f>'D) Ecrêtage'!M275</f>
        <v>410285.68143449252</v>
      </c>
      <c r="F281" s="442">
        <f>$F$10*'D) Ecrêtage'!C275</f>
        <v>2418788.6057320666</v>
      </c>
      <c r="G281" s="55">
        <f t="shared" si="4"/>
        <v>3450397.0971665592</v>
      </c>
    </row>
    <row r="282" spans="1:7" x14ac:dyDescent="0.25">
      <c r="A282" s="49">
        <f>'A) Base RI'!A278</f>
        <v>5883</v>
      </c>
      <c r="B282" s="292" t="str">
        <f>'A) Base RI'!B278</f>
        <v>Corseaux</v>
      </c>
      <c r="C282" s="10">
        <f>'A) Base RI'!AO278</f>
        <v>2311</v>
      </c>
      <c r="D282" s="442">
        <f>'C) Prél. conj.'!H276</f>
        <v>427975.7</v>
      </c>
      <c r="E282" s="10">
        <f>'D) Ecrêtage'!M276</f>
        <v>1001514.6251108375</v>
      </c>
      <c r="F282" s="442">
        <f>$F$10*'D) Ecrêtage'!C276</f>
        <v>2268297.2675993564</v>
      </c>
      <c r="G282" s="55">
        <f t="shared" si="4"/>
        <v>3697787.5927101942</v>
      </c>
    </row>
    <row r="283" spans="1:7" x14ac:dyDescent="0.25">
      <c r="A283" s="49">
        <f>'A) Base RI'!A279</f>
        <v>5884</v>
      </c>
      <c r="B283" s="292" t="str">
        <f>'A) Base RI'!B279</f>
        <v>Corsier-sur-Vevey</v>
      </c>
      <c r="C283" s="10">
        <f>'A) Base RI'!AO279</f>
        <v>3420</v>
      </c>
      <c r="D283" s="442">
        <f>'C) Prél. conj.'!H277</f>
        <v>404968.39999999997</v>
      </c>
      <c r="E283" s="10">
        <f>'D) Ecrêtage'!M277</f>
        <v>0</v>
      </c>
      <c r="F283" s="442">
        <f>$F$10*'D) Ecrêtage'!C277</f>
        <v>1650568.5055977409</v>
      </c>
      <c r="G283" s="55">
        <f t="shared" si="4"/>
        <v>2055536.9055977408</v>
      </c>
    </row>
    <row r="284" spans="1:7" x14ac:dyDescent="0.25">
      <c r="A284" s="49">
        <f>'A) Base RI'!A280</f>
        <v>5885</v>
      </c>
      <c r="B284" s="292" t="str">
        <f>'A) Base RI'!B280</f>
        <v>Jongny</v>
      </c>
      <c r="C284" s="10">
        <f>'A) Base RI'!AO280</f>
        <v>1670</v>
      </c>
      <c r="D284" s="442">
        <f>'C) Prél. conj.'!H278</f>
        <v>339515.04500000004</v>
      </c>
      <c r="E284" s="10">
        <f>'D) Ecrêtage'!M278</f>
        <v>64751.661011395554</v>
      </c>
      <c r="F284" s="442">
        <f>$F$10*'D) Ecrêtage'!C278</f>
        <v>1149746.4952367037</v>
      </c>
      <c r="G284" s="55">
        <f t="shared" si="4"/>
        <v>1554013.2012480991</v>
      </c>
    </row>
    <row r="285" spans="1:7" x14ac:dyDescent="0.25">
      <c r="A285" s="49">
        <f>'A) Base RI'!A281</f>
        <v>5886</v>
      </c>
      <c r="B285" s="292" t="str">
        <f>'A) Base RI'!B281</f>
        <v>Montreux</v>
      </c>
      <c r="C285" s="10">
        <f>'A) Base RI'!AO281</f>
        <v>26180</v>
      </c>
      <c r="D285" s="442">
        <f>'C) Prél. conj.'!H279</f>
        <v>11046221.809999999</v>
      </c>
      <c r="E285" s="10">
        <f>'D) Ecrêtage'!M279</f>
        <v>0</v>
      </c>
      <c r="F285" s="442">
        <f>$F$10*'D) Ecrêtage'!C279</f>
        <v>14821863.806110052</v>
      </c>
      <c r="G285" s="55">
        <f t="shared" si="4"/>
        <v>25868085.616110049</v>
      </c>
    </row>
    <row r="286" spans="1:7" x14ac:dyDescent="0.25">
      <c r="A286" s="49">
        <f>'A) Base RI'!A282</f>
        <v>5888</v>
      </c>
      <c r="B286" s="292" t="str">
        <f>'A) Base RI'!B282</f>
        <v>Saint-Légier-La Chiésaz</v>
      </c>
      <c r="C286" s="10">
        <f>'A) Base RI'!AO282</f>
        <v>5522</v>
      </c>
      <c r="D286" s="442">
        <f>'C) Prél. conj.'!H280</f>
        <v>1041998.5000000001</v>
      </c>
      <c r="E286" s="10">
        <f>'D) Ecrêtage'!M280</f>
        <v>860276.58266820561</v>
      </c>
      <c r="F286" s="442">
        <f>$F$10*'D) Ecrêtage'!C280</f>
        <v>4398785.2650083629</v>
      </c>
      <c r="G286" s="55">
        <f t="shared" si="4"/>
        <v>6301060.3476765687</v>
      </c>
    </row>
    <row r="287" spans="1:7" x14ac:dyDescent="0.25">
      <c r="A287" s="49">
        <f>'A) Base RI'!A283</f>
        <v>5889</v>
      </c>
      <c r="B287" s="292" t="str">
        <f>'A) Base RI'!B283</f>
        <v>La Tour-de-Peilz</v>
      </c>
      <c r="C287" s="10">
        <f>'A) Base RI'!AO283</f>
        <v>12088</v>
      </c>
      <c r="D287" s="442">
        <f>'C) Prél. conj.'!H281</f>
        <v>1704053.2350000001</v>
      </c>
      <c r="E287" s="10">
        <f>'D) Ecrêtage'!M281</f>
        <v>1199251.9188833113</v>
      </c>
      <c r="F287" s="442">
        <f>$F$10*'D) Ecrêtage'!C281</f>
        <v>9132487.2746558208</v>
      </c>
      <c r="G287" s="55">
        <f t="shared" si="4"/>
        <v>12035792.428539131</v>
      </c>
    </row>
    <row r="288" spans="1:7" x14ac:dyDescent="0.25">
      <c r="A288" s="49">
        <f>'A) Base RI'!A284</f>
        <v>5890</v>
      </c>
      <c r="B288" s="292" t="str">
        <f>'A) Base RI'!B284</f>
        <v>Vevey</v>
      </c>
      <c r="C288" s="10">
        <f>'A) Base RI'!AO284</f>
        <v>19780</v>
      </c>
      <c r="D288" s="442">
        <f>'C) Prél. conj.'!H282</f>
        <v>3391345.13</v>
      </c>
      <c r="E288" s="10">
        <f>'D) Ecrêtage'!M282</f>
        <v>0</v>
      </c>
      <c r="F288" s="442">
        <f>$F$10*'D) Ecrêtage'!C282</f>
        <v>11654370.409865053</v>
      </c>
      <c r="G288" s="55">
        <f t="shared" si="4"/>
        <v>15045715.539865054</v>
      </c>
    </row>
    <row r="289" spans="1:7" x14ac:dyDescent="0.25">
      <c r="A289" s="49">
        <f>'A) Base RI'!A285</f>
        <v>5891</v>
      </c>
      <c r="B289" s="292" t="str">
        <f>'A) Base RI'!B285</f>
        <v>Veytaux</v>
      </c>
      <c r="C289" s="10">
        <f>'A) Base RI'!AO285</f>
        <v>956</v>
      </c>
      <c r="D289" s="442">
        <f>'C) Prél. conj.'!H283</f>
        <v>157377.05000000002</v>
      </c>
      <c r="E289" s="10">
        <f>'D) Ecrêtage'!M283</f>
        <v>0</v>
      </c>
      <c r="F289" s="442">
        <f>$F$10*'D) Ecrêtage'!C283</f>
        <v>593784.7423512697</v>
      </c>
      <c r="G289" s="55">
        <f t="shared" si="4"/>
        <v>751161.79235126975</v>
      </c>
    </row>
    <row r="290" spans="1:7" x14ac:dyDescent="0.25">
      <c r="A290" s="49">
        <f>'A) Base RI'!A286</f>
        <v>5902</v>
      </c>
      <c r="B290" s="292" t="str">
        <f>'A) Base RI'!B286</f>
        <v>Belmont-sur-Yverdon</v>
      </c>
      <c r="C290" s="10">
        <f>'A) Base RI'!AO286</f>
        <v>396</v>
      </c>
      <c r="D290" s="442">
        <f>'C) Prél. conj.'!H284</f>
        <v>84270.15</v>
      </c>
      <c r="E290" s="10">
        <f>'D) Ecrêtage'!M284</f>
        <v>0</v>
      </c>
      <c r="F290" s="442">
        <f>$F$10*'D) Ecrêtage'!C284</f>
        <v>158331.89024673912</v>
      </c>
      <c r="G290" s="55">
        <f t="shared" si="4"/>
        <v>242602.04024673911</v>
      </c>
    </row>
    <row r="291" spans="1:7" x14ac:dyDescent="0.25">
      <c r="A291" s="49">
        <f>'A) Base RI'!A287</f>
        <v>5903</v>
      </c>
      <c r="B291" s="292" t="str">
        <f>'A) Base RI'!B287</f>
        <v>Bioley-Magnoux</v>
      </c>
      <c r="C291" s="10">
        <f>'A) Base RI'!AO287</f>
        <v>230</v>
      </c>
      <c r="D291" s="442">
        <f>'C) Prél. conj.'!H285</f>
        <v>10949.48</v>
      </c>
      <c r="E291" s="10">
        <f>'D) Ecrêtage'!M285</f>
        <v>0</v>
      </c>
      <c r="F291" s="442">
        <f>$F$10*'D) Ecrêtage'!C285</f>
        <v>67784.26733710077</v>
      </c>
      <c r="G291" s="55">
        <f t="shared" si="4"/>
        <v>78733.747337100765</v>
      </c>
    </row>
    <row r="292" spans="1:7" x14ac:dyDescent="0.25">
      <c r="A292" s="49">
        <f>'A) Base RI'!A288</f>
        <v>5904</v>
      </c>
      <c r="B292" s="292" t="str">
        <f>'A) Base RI'!B288</f>
        <v>Chamblon</v>
      </c>
      <c r="C292" s="10">
        <f>'A) Base RI'!AO288</f>
        <v>559</v>
      </c>
      <c r="D292" s="442">
        <f>'C) Prél. conj.'!H286</f>
        <v>46458.23</v>
      </c>
      <c r="E292" s="10">
        <f>'D) Ecrêtage'!M286</f>
        <v>0</v>
      </c>
      <c r="F292" s="442">
        <f>$F$10*'D) Ecrêtage'!C286</f>
        <v>293094.12136317464</v>
      </c>
      <c r="G292" s="55">
        <f t="shared" si="4"/>
        <v>339552.35136317462</v>
      </c>
    </row>
    <row r="293" spans="1:7" x14ac:dyDescent="0.25">
      <c r="A293" s="49">
        <f>'A) Base RI'!A289</f>
        <v>5905</v>
      </c>
      <c r="B293" s="292" t="str">
        <f>'A) Base RI'!B289</f>
        <v>Champvent</v>
      </c>
      <c r="C293" s="10">
        <f>'A) Base RI'!AO289</f>
        <v>696</v>
      </c>
      <c r="D293" s="442">
        <f>'C) Prél. conj.'!H287</f>
        <v>71518.415000000008</v>
      </c>
      <c r="E293" s="10">
        <f>'D) Ecrêtage'!M287</f>
        <v>0</v>
      </c>
      <c r="F293" s="442">
        <f>$F$10*'D) Ecrêtage'!C287</f>
        <v>292814.54446909344</v>
      </c>
      <c r="G293" s="55">
        <f t="shared" si="4"/>
        <v>364332.95946909348</v>
      </c>
    </row>
    <row r="294" spans="1:7" x14ac:dyDescent="0.25">
      <c r="A294" s="49">
        <f>'A) Base RI'!A290</f>
        <v>5907</v>
      </c>
      <c r="B294" s="292" t="str">
        <f>'A) Base RI'!B290</f>
        <v>Chavannes-le-Chêne</v>
      </c>
      <c r="C294" s="10">
        <f>'A) Base RI'!AO290</f>
        <v>324</v>
      </c>
      <c r="D294" s="442">
        <f>'C) Prél. conj.'!H288</f>
        <v>18148.755000000001</v>
      </c>
      <c r="E294" s="10">
        <f>'D) Ecrêtage'!M288</f>
        <v>0</v>
      </c>
      <c r="F294" s="442">
        <f>$F$10*'D) Ecrêtage'!C288</f>
        <v>133631.40903212639</v>
      </c>
      <c r="G294" s="55">
        <f t="shared" si="4"/>
        <v>151780.1640321264</v>
      </c>
    </row>
    <row r="295" spans="1:7" x14ac:dyDescent="0.25">
      <c r="A295" s="49">
        <f>'A) Base RI'!A291</f>
        <v>5908</v>
      </c>
      <c r="B295" s="292" t="str">
        <f>'A) Base RI'!B291</f>
        <v>Chêne-Pâquier</v>
      </c>
      <c r="C295" s="10">
        <f>'A) Base RI'!AO291</f>
        <v>144</v>
      </c>
      <c r="D295" s="442">
        <f>'C) Prél. conj.'!H289</f>
        <v>5721.6049999999996</v>
      </c>
      <c r="E295" s="10">
        <f>'D) Ecrêtage'!M289</f>
        <v>0</v>
      </c>
      <c r="F295" s="442">
        <f>$F$10*'D) Ecrêtage'!C289</f>
        <v>87850.814313466792</v>
      </c>
      <c r="G295" s="55">
        <f t="shared" si="4"/>
        <v>93572.419313466788</v>
      </c>
    </row>
    <row r="296" spans="1:7" x14ac:dyDescent="0.25">
      <c r="A296" s="49">
        <f>'A) Base RI'!A292</f>
        <v>5909</v>
      </c>
      <c r="B296" s="292" t="str">
        <f>'A) Base RI'!B292</f>
        <v>Cheseaux-Noréaz</v>
      </c>
      <c r="C296" s="10">
        <f>'A) Base RI'!AO292</f>
        <v>741</v>
      </c>
      <c r="D296" s="442">
        <f>'C) Prél. conj.'!H290</f>
        <v>48061.375</v>
      </c>
      <c r="E296" s="10">
        <f>'D) Ecrêtage'!M290</f>
        <v>47779.382272586678</v>
      </c>
      <c r="F296" s="442">
        <f>$F$10*'D) Ecrêtage'!C290</f>
        <v>530404.09037055285</v>
      </c>
      <c r="G296" s="55">
        <f t="shared" si="4"/>
        <v>626244.84764313954</v>
      </c>
    </row>
    <row r="297" spans="1:7" x14ac:dyDescent="0.25">
      <c r="A297" s="49">
        <f>'A) Base RI'!A293</f>
        <v>5910</v>
      </c>
      <c r="B297" s="292" t="str">
        <f>'A) Base RI'!B293</f>
        <v>Cronay</v>
      </c>
      <c r="C297" s="10">
        <f>'A) Base RI'!AO293</f>
        <v>393</v>
      </c>
      <c r="D297" s="442">
        <f>'C) Prél. conj.'!H291</f>
        <v>-5153.1250000000018</v>
      </c>
      <c r="E297" s="10">
        <f>'D) Ecrêtage'!M291</f>
        <v>0</v>
      </c>
      <c r="F297" s="442">
        <f>$F$10*'D) Ecrêtage'!C291</f>
        <v>134779.20010601787</v>
      </c>
      <c r="G297" s="55">
        <f t="shared" si="4"/>
        <v>129626.07510601787</v>
      </c>
    </row>
    <row r="298" spans="1:7" x14ac:dyDescent="0.25">
      <c r="A298" s="49">
        <f>'A) Base RI'!A294</f>
        <v>5911</v>
      </c>
      <c r="B298" s="292" t="str">
        <f>'A) Base RI'!B294</f>
        <v>Cuarny</v>
      </c>
      <c r="C298" s="10">
        <f>'A) Base RI'!AO294</f>
        <v>234</v>
      </c>
      <c r="D298" s="442">
        <f>'C) Prél. conj.'!H292</f>
        <v>1000.8</v>
      </c>
      <c r="E298" s="10">
        <f>'D) Ecrêtage'!M292</f>
        <v>0</v>
      </c>
      <c r="F298" s="442">
        <f>$F$10*'D) Ecrêtage'!C292</f>
        <v>93754.572810524274</v>
      </c>
      <c r="G298" s="55">
        <f t="shared" si="4"/>
        <v>94755.372810524277</v>
      </c>
    </row>
    <row r="299" spans="1:7" x14ac:dyDescent="0.25">
      <c r="A299" s="49">
        <f>'A) Base RI'!A295</f>
        <v>5912</v>
      </c>
      <c r="B299" s="292" t="str">
        <f>'A) Base RI'!B295</f>
        <v>Démoret</v>
      </c>
      <c r="C299" s="10">
        <f>'A) Base RI'!AO295</f>
        <v>158</v>
      </c>
      <c r="D299" s="442">
        <f>'C) Prél. conj.'!H293</f>
        <v>11378.93</v>
      </c>
      <c r="E299" s="10">
        <f>'D) Ecrêtage'!M293</f>
        <v>0</v>
      </c>
      <c r="F299" s="442">
        <f>$F$10*'D) Ecrêtage'!C293</f>
        <v>54995.618565117911</v>
      </c>
      <c r="G299" s="55">
        <f t="shared" si="4"/>
        <v>66374.548565117904</v>
      </c>
    </row>
    <row r="300" spans="1:7" x14ac:dyDescent="0.25">
      <c r="A300" s="49">
        <f>'A) Base RI'!A296</f>
        <v>5913</v>
      </c>
      <c r="B300" s="292" t="str">
        <f>'A) Base RI'!B296</f>
        <v>Donneloye</v>
      </c>
      <c r="C300" s="10">
        <f>'A) Base RI'!AO296</f>
        <v>829</v>
      </c>
      <c r="D300" s="442">
        <f>'C) Prél. conj.'!H294</f>
        <v>46062.42</v>
      </c>
      <c r="E300" s="10">
        <f>'D) Ecrêtage'!M294</f>
        <v>0</v>
      </c>
      <c r="F300" s="442">
        <f>$F$10*'D) Ecrêtage'!C294</f>
        <v>268596.79266525386</v>
      </c>
      <c r="G300" s="55">
        <f t="shared" si="4"/>
        <v>314659.21266525384</v>
      </c>
    </row>
    <row r="301" spans="1:7" x14ac:dyDescent="0.25">
      <c r="A301" s="49">
        <f>'A) Base RI'!A297</f>
        <v>5914</v>
      </c>
      <c r="B301" s="292" t="str">
        <f>'A) Base RI'!B297</f>
        <v>Ependes</v>
      </c>
      <c r="C301" s="10">
        <f>'A) Base RI'!AO297</f>
        <v>388</v>
      </c>
      <c r="D301" s="442">
        <f>'C) Prél. conj.'!H295</f>
        <v>24286.774999999998</v>
      </c>
      <c r="E301" s="10">
        <f>'D) Ecrêtage'!M295</f>
        <v>0</v>
      </c>
      <c r="F301" s="442">
        <f>$F$10*'D) Ecrêtage'!C295</f>
        <v>144048.27947723976</v>
      </c>
      <c r="G301" s="55">
        <f t="shared" si="4"/>
        <v>168335.05447723976</v>
      </c>
    </row>
    <row r="302" spans="1:7" x14ac:dyDescent="0.25">
      <c r="A302" s="49">
        <f>'A) Base RI'!A298</f>
        <v>5919</v>
      </c>
      <c r="B302" s="292" t="str">
        <f>'A) Base RI'!B298</f>
        <v>Mathod</v>
      </c>
      <c r="C302" s="10">
        <f>'A) Base RI'!AO298</f>
        <v>651</v>
      </c>
      <c r="D302" s="442">
        <f>'C) Prél. conj.'!H296</f>
        <v>136520.30499999999</v>
      </c>
      <c r="E302" s="10">
        <f>'D) Ecrêtage'!M296</f>
        <v>0</v>
      </c>
      <c r="F302" s="442">
        <f>$F$10*'D) Ecrêtage'!C296</f>
        <v>291358.6059979031</v>
      </c>
      <c r="G302" s="55">
        <f t="shared" si="4"/>
        <v>427878.91099790309</v>
      </c>
    </row>
    <row r="303" spans="1:7" x14ac:dyDescent="0.25">
      <c r="A303" s="49">
        <f>'A) Base RI'!A299</f>
        <v>5921</v>
      </c>
      <c r="B303" s="292" t="str">
        <f>'A) Base RI'!B299</f>
        <v>Molondin</v>
      </c>
      <c r="C303" s="10">
        <f>'A) Base RI'!AO299</f>
        <v>252</v>
      </c>
      <c r="D303" s="442">
        <f>'C) Prél. conj.'!H297</f>
        <v>11946.31</v>
      </c>
      <c r="E303" s="10">
        <f>'D) Ecrêtage'!M297</f>
        <v>0</v>
      </c>
      <c r="F303" s="442">
        <f>$F$10*'D) Ecrêtage'!C297</f>
        <v>76683.260225732432</v>
      </c>
      <c r="G303" s="55">
        <f t="shared" si="4"/>
        <v>88629.57022573243</v>
      </c>
    </row>
    <row r="304" spans="1:7" x14ac:dyDescent="0.25">
      <c r="A304" s="49">
        <f>'A) Base RI'!A300</f>
        <v>5922</v>
      </c>
      <c r="B304" s="292" t="str">
        <f>'A) Base RI'!B300</f>
        <v>Montagny-près-Yverdon</v>
      </c>
      <c r="C304" s="10">
        <f>'A) Base RI'!AO300</f>
        <v>737</v>
      </c>
      <c r="D304" s="442">
        <f>'C) Prél. conj.'!H298</f>
        <v>145360.26</v>
      </c>
      <c r="E304" s="10">
        <f>'D) Ecrêtage'!M298</f>
        <v>0</v>
      </c>
      <c r="F304" s="442">
        <f>$F$10*'D) Ecrêtage'!C298</f>
        <v>450251.03743304324</v>
      </c>
      <c r="G304" s="55">
        <f t="shared" si="4"/>
        <v>595611.29743304325</v>
      </c>
    </row>
    <row r="305" spans="1:7" x14ac:dyDescent="0.25">
      <c r="A305" s="49">
        <f>'A) Base RI'!A301</f>
        <v>5923</v>
      </c>
      <c r="B305" s="292" t="str">
        <f>'A) Base RI'!B301</f>
        <v>Oppens</v>
      </c>
      <c r="C305" s="10">
        <f>'A) Base RI'!AO301</f>
        <v>201</v>
      </c>
      <c r="D305" s="442">
        <f>'C) Prél. conj.'!H299</f>
        <v>16091.134999999998</v>
      </c>
      <c r="E305" s="10">
        <f>'D) Ecrêtage'!M299</f>
        <v>0</v>
      </c>
      <c r="F305" s="442">
        <f>$F$10*'D) Ecrêtage'!C299</f>
        <v>64839.382195535152</v>
      </c>
      <c r="G305" s="55">
        <f t="shared" si="4"/>
        <v>80930.517195535154</v>
      </c>
    </row>
    <row r="306" spans="1:7" x14ac:dyDescent="0.25">
      <c r="A306" s="49">
        <f>'A) Base RI'!A302</f>
        <v>5924</v>
      </c>
      <c r="B306" s="292" t="str">
        <f>'A) Base RI'!B302</f>
        <v>Orges</v>
      </c>
      <c r="C306" s="10">
        <f>'A) Base RI'!AO302</f>
        <v>343</v>
      </c>
      <c r="D306" s="442">
        <f>'C) Prél. conj.'!H300</f>
        <v>89457.555000000008</v>
      </c>
      <c r="E306" s="10">
        <f>'D) Ecrêtage'!M300</f>
        <v>0</v>
      </c>
      <c r="F306" s="442">
        <f>$F$10*'D) Ecrêtage'!C300</f>
        <v>169222.77939885532</v>
      </c>
      <c r="G306" s="55">
        <f t="shared" si="4"/>
        <v>258680.33439885534</v>
      </c>
    </row>
    <row r="307" spans="1:7" x14ac:dyDescent="0.25">
      <c r="A307" s="49">
        <f>'A) Base RI'!A303</f>
        <v>5925</v>
      </c>
      <c r="B307" s="292" t="str">
        <f>'A) Base RI'!B303</f>
        <v>Orzens</v>
      </c>
      <c r="C307" s="10">
        <f>'A) Base RI'!AO303</f>
        <v>201</v>
      </c>
      <c r="D307" s="442">
        <f>'C) Prél. conj.'!H301</f>
        <v>68482.945000000007</v>
      </c>
      <c r="E307" s="10">
        <f>'D) Ecrêtage'!M301</f>
        <v>0</v>
      </c>
      <c r="F307" s="442">
        <f>$F$10*'D) Ecrêtage'!C301</f>
        <v>79433.537749316674</v>
      </c>
      <c r="G307" s="55">
        <f t="shared" si="4"/>
        <v>147916.48274931667</v>
      </c>
    </row>
    <row r="308" spans="1:7" x14ac:dyDescent="0.25">
      <c r="A308" s="49">
        <f>'A) Base RI'!A304</f>
        <v>5926</v>
      </c>
      <c r="B308" s="292" t="str">
        <f>'A) Base RI'!B304</f>
        <v>Pomy</v>
      </c>
      <c r="C308" s="10">
        <f>'A) Base RI'!AO304</f>
        <v>803</v>
      </c>
      <c r="D308" s="442">
        <f>'C) Prél. conj.'!H302</f>
        <v>88944.830000000016</v>
      </c>
      <c r="E308" s="10">
        <f>'D) Ecrêtage'!M302</f>
        <v>0</v>
      </c>
      <c r="F308" s="442">
        <f>$F$10*'D) Ecrêtage'!C302</f>
        <v>369686.00439351011</v>
      </c>
      <c r="G308" s="55">
        <f t="shared" si="4"/>
        <v>458630.83439351013</v>
      </c>
    </row>
    <row r="309" spans="1:7" x14ac:dyDescent="0.25">
      <c r="A309" s="49">
        <f>'A) Base RI'!A305</f>
        <v>5928</v>
      </c>
      <c r="B309" s="292" t="str">
        <f>'A) Base RI'!B305</f>
        <v>Rovray</v>
      </c>
      <c r="C309" s="10">
        <f>'A) Base RI'!AO305</f>
        <v>204</v>
      </c>
      <c r="D309" s="442">
        <f>'C) Prél. conj.'!H303</f>
        <v>3988.0950000000003</v>
      </c>
      <c r="E309" s="10">
        <f>'D) Ecrêtage'!M303</f>
        <v>0</v>
      </c>
      <c r="F309" s="442">
        <f>$F$10*'D) Ecrêtage'!C303</f>
        <v>75163.518067974204</v>
      </c>
      <c r="G309" s="55">
        <f t="shared" si="4"/>
        <v>79151.613067974205</v>
      </c>
    </row>
    <row r="310" spans="1:7" x14ac:dyDescent="0.25">
      <c r="A310" s="49">
        <f>'A) Base RI'!A306</f>
        <v>5929</v>
      </c>
      <c r="B310" s="292" t="str">
        <f>'A) Base RI'!B306</f>
        <v>Suchy</v>
      </c>
      <c r="C310" s="10">
        <f>'A) Base RI'!AO306</f>
        <v>656</v>
      </c>
      <c r="D310" s="442">
        <f>'C) Prél. conj.'!H304</f>
        <v>48014.474999999999</v>
      </c>
      <c r="E310" s="10">
        <f>'D) Ecrêtage'!M304</f>
        <v>0</v>
      </c>
      <c r="F310" s="442">
        <f>$F$10*'D) Ecrêtage'!C304</f>
        <v>267874.99839254213</v>
      </c>
      <c r="G310" s="55">
        <f t="shared" si="4"/>
        <v>315889.4733925421</v>
      </c>
    </row>
    <row r="311" spans="1:7" x14ac:dyDescent="0.25">
      <c r="A311" s="49">
        <f>'A) Base RI'!A307</f>
        <v>5930</v>
      </c>
      <c r="B311" s="292" t="str">
        <f>'A) Base RI'!B307</f>
        <v>Suscévaz</v>
      </c>
      <c r="C311" s="10">
        <f>'A) Base RI'!AO307</f>
        <v>204</v>
      </c>
      <c r="D311" s="442">
        <f>'C) Prél. conj.'!H305</f>
        <v>2519.8450000000003</v>
      </c>
      <c r="E311" s="10">
        <f>'D) Ecrêtage'!M305</f>
        <v>0</v>
      </c>
      <c r="F311" s="442">
        <f>$F$10*'D) Ecrêtage'!C305</f>
        <v>77943.255363701785</v>
      </c>
      <c r="G311" s="55">
        <f t="shared" si="4"/>
        <v>80463.100363701786</v>
      </c>
    </row>
    <row r="312" spans="1:7" x14ac:dyDescent="0.25">
      <c r="A312" s="49">
        <f>'A) Base RI'!A308</f>
        <v>5931</v>
      </c>
      <c r="B312" s="292" t="str">
        <f>'A) Base RI'!B308</f>
        <v>Treycovagnes</v>
      </c>
      <c r="C312" s="10">
        <f>'A) Base RI'!AO308</f>
        <v>485</v>
      </c>
      <c r="D312" s="442">
        <f>'C) Prél. conj.'!H306</f>
        <v>47793.78</v>
      </c>
      <c r="E312" s="10">
        <f>'D) Ecrêtage'!M306</f>
        <v>0</v>
      </c>
      <c r="F312" s="442">
        <f>$F$10*'D) Ecrêtage'!C306</f>
        <v>207837.73899390438</v>
      </c>
      <c r="G312" s="55">
        <f t="shared" si="4"/>
        <v>255631.51899390438</v>
      </c>
    </row>
    <row r="313" spans="1:7" x14ac:dyDescent="0.25">
      <c r="A313" s="49">
        <f>'A) Base RI'!A309</f>
        <v>5932</v>
      </c>
      <c r="B313" s="292" t="str">
        <f>'A) Base RI'!B309</f>
        <v>Ursins</v>
      </c>
      <c r="C313" s="10">
        <f>'A) Base RI'!AO309</f>
        <v>238</v>
      </c>
      <c r="D313" s="442">
        <f>'C) Prél. conj.'!H307</f>
        <v>0</v>
      </c>
      <c r="E313" s="10">
        <f>'D) Ecrêtage'!M307</f>
        <v>0</v>
      </c>
      <c r="F313" s="442">
        <f>$F$10*'D) Ecrêtage'!C307</f>
        <v>92132.458824076617</v>
      </c>
      <c r="G313" s="55">
        <f t="shared" si="4"/>
        <v>92132.458824076617</v>
      </c>
    </row>
    <row r="314" spans="1:7" x14ac:dyDescent="0.25">
      <c r="A314" s="49">
        <f>'A) Base RI'!A310</f>
        <v>5933</v>
      </c>
      <c r="B314" s="292" t="str">
        <f>'A) Base RI'!B310</f>
        <v>Valeyres-sous-Montagny</v>
      </c>
      <c r="C314" s="10">
        <f>'A) Base RI'!AO310</f>
        <v>714</v>
      </c>
      <c r="D314" s="442">
        <f>'C) Prél. conj.'!H308</f>
        <v>36827.760000000002</v>
      </c>
      <c r="E314" s="10">
        <f>'D) Ecrêtage'!M308</f>
        <v>0</v>
      </c>
      <c r="F314" s="442">
        <f>$F$10*'D) Ecrêtage'!C308</f>
        <v>304960.54535290407</v>
      </c>
      <c r="G314" s="55">
        <f t="shared" si="4"/>
        <v>341788.30535290408</v>
      </c>
    </row>
    <row r="315" spans="1:7" x14ac:dyDescent="0.25">
      <c r="A315" s="49">
        <f>'A) Base RI'!A311</f>
        <v>5934</v>
      </c>
      <c r="B315" s="292" t="str">
        <f>'A) Base RI'!B311</f>
        <v>Valeyres-sous-Ursins</v>
      </c>
      <c r="C315" s="10">
        <f>'A) Base RI'!AO311</f>
        <v>241</v>
      </c>
      <c r="D315" s="442">
        <f>'C) Prél. conj.'!H309</f>
        <v>17873.29</v>
      </c>
      <c r="E315" s="10">
        <f>'D) Ecrêtage'!M309</f>
        <v>0</v>
      </c>
      <c r="F315" s="442">
        <f>$F$10*'D) Ecrêtage'!C309</f>
        <v>102372.9800551662</v>
      </c>
      <c r="G315" s="55">
        <f t="shared" si="4"/>
        <v>120246.27005516621</v>
      </c>
    </row>
    <row r="316" spans="1:7" x14ac:dyDescent="0.25">
      <c r="A316" s="49">
        <f>'A) Base RI'!A312</f>
        <v>5935</v>
      </c>
      <c r="B316" s="292" t="str">
        <f>'A) Base RI'!B312</f>
        <v>Villars-Epeney</v>
      </c>
      <c r="C316" s="10">
        <f>'A) Base RI'!AO312</f>
        <v>101</v>
      </c>
      <c r="D316" s="442">
        <f>'C) Prél. conj.'!H310</f>
        <v>14421.625</v>
      </c>
      <c r="E316" s="10">
        <f>'D) Ecrêtage'!M310</f>
        <v>0</v>
      </c>
      <c r="F316" s="442">
        <f>$F$10*'D) Ecrêtage'!C310</f>
        <v>53071.602501143461</v>
      </c>
      <c r="G316" s="55">
        <f t="shared" si="4"/>
        <v>67493.227501143469</v>
      </c>
    </row>
    <row r="317" spans="1:7" x14ac:dyDescent="0.25">
      <c r="A317" s="49">
        <f>'A) Base RI'!A313</f>
        <v>5937</v>
      </c>
      <c r="B317" s="292" t="str">
        <f>'A) Base RI'!B313</f>
        <v>Vugelles-La Mothe</v>
      </c>
      <c r="C317" s="10">
        <f>'A) Base RI'!AO313</f>
        <v>138</v>
      </c>
      <c r="D317" s="442">
        <f>'C) Prél. conj.'!H311</f>
        <v>8036.875</v>
      </c>
      <c r="E317" s="10">
        <f>'D) Ecrêtage'!M311</f>
        <v>0</v>
      </c>
      <c r="F317" s="442">
        <f>$F$10*'D) Ecrêtage'!C311</f>
        <v>43066.860195972142</v>
      </c>
      <c r="G317" s="55">
        <f t="shared" si="4"/>
        <v>51103.735195972142</v>
      </c>
    </row>
    <row r="318" spans="1:7" x14ac:dyDescent="0.25">
      <c r="A318" s="49">
        <f>'A) Base RI'!A314</f>
        <v>5938</v>
      </c>
      <c r="B318" s="292" t="str">
        <f>'A) Base RI'!B314</f>
        <v>Yverdon-les-Bains</v>
      </c>
      <c r="C318" s="10">
        <f>'A) Base RI'!AO314</f>
        <v>29981</v>
      </c>
      <c r="D318" s="442">
        <f>'C) Prél. conj.'!H312</f>
        <v>3392864.21</v>
      </c>
      <c r="E318" s="10">
        <f>'D) Ecrêtage'!M312</f>
        <v>0</v>
      </c>
      <c r="F318" s="442">
        <f>$F$10*'D) Ecrêtage'!C312</f>
        <v>10761681.880809015</v>
      </c>
      <c r="G318" s="55">
        <f t="shared" si="4"/>
        <v>14154546.090809014</v>
      </c>
    </row>
    <row r="319" spans="1:7" x14ac:dyDescent="0.25">
      <c r="A319" s="49">
        <f>'A) Base RI'!A315</f>
        <v>5939</v>
      </c>
      <c r="B319" s="292" t="str">
        <f>'A) Base RI'!B315</f>
        <v>Yvonand</v>
      </c>
      <c r="C319" s="10">
        <f>'A) Base RI'!AO315</f>
        <v>3467</v>
      </c>
      <c r="D319" s="442">
        <f>'C) Prél. conj.'!H313</f>
        <v>359844.46</v>
      </c>
      <c r="E319" s="10">
        <f>'D) Ecrêtage'!M313</f>
        <v>0</v>
      </c>
      <c r="F319" s="442">
        <f>$F$10*'D) Ecrêtage'!C313</f>
        <v>1254976.2507145288</v>
      </c>
      <c r="G319" s="55">
        <f t="shared" si="4"/>
        <v>1614820.7107145288</v>
      </c>
    </row>
    <row r="320" spans="1:7" x14ac:dyDescent="0.25">
      <c r="A320" s="30"/>
      <c r="B320" s="298">
        <f>COUNTA(B11:B319)</f>
        <v>309</v>
      </c>
      <c r="C320" s="11">
        <f>SUM(C11:C319)</f>
        <v>815300</v>
      </c>
      <c r="D320" s="299">
        <f>SUM(D11:D319)</f>
        <v>162151386.64999998</v>
      </c>
      <c r="E320" s="11">
        <f>SUM(E11:E319)</f>
        <v>151537305.72789979</v>
      </c>
      <c r="F320" s="299">
        <f>SUM(F11:F319)</f>
        <v>530584553.62210107</v>
      </c>
      <c r="G320" s="37">
        <f>SUM(G11:G319)</f>
        <v>844273246.0000006</v>
      </c>
    </row>
    <row r="321" spans="1:13" x14ac:dyDescent="0.25">
      <c r="C321" s="71"/>
      <c r="D321" s="71"/>
      <c r="E321" s="71"/>
      <c r="F321" s="71"/>
    </row>
    <row r="322" spans="1:13" x14ac:dyDescent="0.25">
      <c r="A322" s="72"/>
      <c r="B322" s="73"/>
      <c r="C322" s="73"/>
      <c r="D322" s="45"/>
      <c r="E322" s="74"/>
      <c r="F322" s="16"/>
      <c r="G322" s="16"/>
      <c r="H322" s="16"/>
      <c r="I322" s="16"/>
      <c r="J322" s="16"/>
      <c r="M322" s="16"/>
    </row>
    <row r="323" spans="1:13" x14ac:dyDescent="0.25">
      <c r="F323" s="72"/>
      <c r="G323" s="72"/>
      <c r="H323" s="72"/>
      <c r="I323" s="72"/>
      <c r="J323" s="72"/>
      <c r="K323" s="72"/>
      <c r="L323" s="73"/>
      <c r="M323" s="72"/>
    </row>
    <row r="324" spans="1:13" x14ac:dyDescent="0.25">
      <c r="F324" s="73"/>
      <c r="G324" s="72"/>
      <c r="H324" s="72"/>
      <c r="I324" s="72"/>
      <c r="J324" s="72"/>
      <c r="K324" s="72"/>
      <c r="L324" s="72"/>
      <c r="M324" s="72"/>
    </row>
    <row r="325" spans="1:13" x14ac:dyDescent="0.25">
      <c r="F325" s="73"/>
      <c r="G325" s="72"/>
      <c r="H325" s="72"/>
      <c r="I325" s="72"/>
      <c r="M325" s="72"/>
    </row>
    <row r="326" spans="1:13" x14ac:dyDescent="0.25">
      <c r="F326" s="73"/>
      <c r="G326" s="72"/>
      <c r="H326" s="72"/>
      <c r="I326" s="72"/>
      <c r="M326" s="72"/>
    </row>
    <row r="327" spans="1:13" x14ac:dyDescent="0.25">
      <c r="F327" s="85"/>
      <c r="G327" s="72"/>
      <c r="H327" s="72"/>
      <c r="I327" s="72"/>
      <c r="M327" s="72"/>
    </row>
    <row r="328" spans="1:13" x14ac:dyDescent="0.25">
      <c r="D328" s="17"/>
      <c r="E328" s="72"/>
      <c r="F328" s="72"/>
      <c r="G328" s="72"/>
      <c r="H328" s="72"/>
      <c r="I328" s="72"/>
      <c r="J328" s="72"/>
      <c r="K328" s="72"/>
      <c r="L328" s="72"/>
      <c r="M328" s="72"/>
    </row>
    <row r="329" spans="1:13" x14ac:dyDescent="0.25">
      <c r="C329" s="58"/>
      <c r="E329" s="72"/>
      <c r="F329" s="72"/>
      <c r="G329" s="72"/>
      <c r="H329" s="72"/>
      <c r="I329" s="72"/>
      <c r="J329" s="72"/>
      <c r="K329" s="72"/>
      <c r="L329" s="72"/>
      <c r="M329" s="72"/>
    </row>
    <row r="330" spans="1:13" x14ac:dyDescent="0.25">
      <c r="E330" s="72"/>
      <c r="F330" s="72"/>
      <c r="G330" s="72"/>
      <c r="H330" s="72"/>
      <c r="I330" s="72"/>
      <c r="J330" s="72"/>
      <c r="M330" s="72"/>
    </row>
    <row r="331" spans="1:13" x14ac:dyDescent="0.25">
      <c r="E331" s="72"/>
      <c r="F331" s="72"/>
      <c r="G331" s="72"/>
      <c r="H331" s="72"/>
      <c r="I331" s="72"/>
      <c r="J331" s="72"/>
      <c r="M331" s="72"/>
    </row>
    <row r="332" spans="1:13" x14ac:dyDescent="0.25">
      <c r="E332" s="72"/>
      <c r="F332" s="72"/>
      <c r="G332" s="72"/>
      <c r="H332" s="72"/>
      <c r="I332" s="72"/>
      <c r="J332" s="72"/>
      <c r="M332" s="72"/>
    </row>
  </sheetData>
  <mergeCells count="7">
    <mergeCell ref="A3:C3"/>
    <mergeCell ref="A9:A10"/>
    <mergeCell ref="G9:G10"/>
    <mergeCell ref="E9:E10"/>
    <mergeCell ref="D9:D10"/>
    <mergeCell ref="C9:C10"/>
    <mergeCell ref="B9:B10"/>
  </mergeCells>
  <phoneticPr fontId="0" type="noConversion"/>
  <printOptions horizontalCentered="1"/>
  <pageMargins left="0" right="0" top="0" bottom="0" header="0.51181102362204722" footer="0.51181102362204722"/>
  <pageSetup paperSize="9" scale="73" orientation="portrait" horizontalDpi="4294967292" vertic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9">
    <tabColor rgb="FF00B050"/>
  </sheetPr>
  <dimension ref="A1:L328"/>
  <sheetViews>
    <sheetView workbookViewId="0"/>
  </sheetViews>
  <sheetFormatPr baseColWidth="10" defaultColWidth="11" defaultRowHeight="15" x14ac:dyDescent="0.25"/>
  <cols>
    <col min="1" max="1" width="7.25" style="13" customWidth="1"/>
    <col min="2" max="2" width="17.375" style="13" bestFit="1" customWidth="1"/>
    <col min="3" max="3" width="11.875" style="13" customWidth="1"/>
    <col min="4" max="9" width="11" style="13"/>
    <col min="10" max="10" width="8.25" style="13" bestFit="1" customWidth="1"/>
    <col min="11" max="11" width="13" style="13" bestFit="1" customWidth="1"/>
    <col min="12" max="16384" width="11" style="13"/>
  </cols>
  <sheetData>
    <row r="1" spans="1:12" ht="21" x14ac:dyDescent="0.25">
      <c r="A1" s="51" t="s">
        <v>451</v>
      </c>
      <c r="B1" s="42"/>
      <c r="C1" s="68"/>
    </row>
    <row r="2" spans="1:12" x14ac:dyDescent="0.25">
      <c r="A2" s="27"/>
      <c r="B2" s="53"/>
    </row>
    <row r="3" spans="1:12" x14ac:dyDescent="0.25">
      <c r="A3" s="27"/>
      <c r="B3" s="53"/>
      <c r="C3" s="590" t="s">
        <v>307</v>
      </c>
      <c r="D3" s="591"/>
      <c r="E3" s="591"/>
      <c r="F3" s="591"/>
      <c r="G3" s="591"/>
      <c r="H3" s="591"/>
      <c r="I3" s="591"/>
      <c r="J3" s="592"/>
    </row>
    <row r="4" spans="1:12" x14ac:dyDescent="0.25">
      <c r="C4" s="122" t="s">
        <v>306</v>
      </c>
      <c r="D4" s="102">
        <f>Paramètres!B24</f>
        <v>0</v>
      </c>
      <c r="E4" s="102">
        <f>Paramètres!C24</f>
        <v>1000</v>
      </c>
      <c r="F4" s="102">
        <f>Paramètres!D24</f>
        <v>3000</v>
      </c>
      <c r="G4" s="102">
        <f>Paramètres!E24</f>
        <v>5000</v>
      </c>
      <c r="H4" s="102">
        <f>Paramètres!F24</f>
        <v>9000</v>
      </c>
      <c r="I4" s="102">
        <f>Paramètres!G24</f>
        <v>12000</v>
      </c>
      <c r="J4" s="102">
        <f>Paramètres!H24</f>
        <v>15000</v>
      </c>
    </row>
    <row r="5" spans="1:12" x14ac:dyDescent="0.25">
      <c r="C5" s="105" t="s">
        <v>308</v>
      </c>
      <c r="D5" s="102">
        <f>Paramètres!B25</f>
        <v>1000</v>
      </c>
      <c r="E5" s="102">
        <f>Paramètres!C25</f>
        <v>3000</v>
      </c>
      <c r="F5" s="102">
        <f>Paramètres!D25</f>
        <v>5000</v>
      </c>
      <c r="G5" s="102">
        <f>Paramètres!E25</f>
        <v>9000</v>
      </c>
      <c r="H5" s="102">
        <f>Paramètres!F25</f>
        <v>12000</v>
      </c>
      <c r="I5" s="102">
        <f>Paramètres!G25</f>
        <v>15000</v>
      </c>
      <c r="J5" s="102"/>
    </row>
    <row r="6" spans="1:12" ht="30" customHeight="1" x14ac:dyDescent="0.25">
      <c r="A6" s="572" t="s">
        <v>46</v>
      </c>
      <c r="B6" s="572" t="s">
        <v>96</v>
      </c>
      <c r="C6" s="572" t="s">
        <v>303</v>
      </c>
      <c r="D6" s="579" t="s">
        <v>309</v>
      </c>
      <c r="E6" s="580"/>
      <c r="F6" s="580"/>
      <c r="G6" s="580"/>
      <c r="H6" s="580"/>
      <c r="I6" s="580"/>
      <c r="J6" s="581"/>
      <c r="K6" s="572" t="s">
        <v>294</v>
      </c>
    </row>
    <row r="7" spans="1:12" x14ac:dyDescent="0.25">
      <c r="A7" s="573"/>
      <c r="B7" s="574"/>
      <c r="C7" s="574"/>
      <c r="D7" s="274">
        <f>Paramètres!B29</f>
        <v>123.99396378269616</v>
      </c>
      <c r="E7" s="274">
        <f>Paramètres!C29</f>
        <v>347.18309859154925</v>
      </c>
      <c r="F7" s="274">
        <f>Paramètres!D29</f>
        <v>495.97585513078462</v>
      </c>
      <c r="G7" s="274">
        <f>Paramètres!E29</f>
        <v>595.17102615694159</v>
      </c>
      <c r="H7" s="274">
        <f>Paramètres!F29</f>
        <v>843.15895372233388</v>
      </c>
      <c r="I7" s="274">
        <f>Paramètres!G29</f>
        <v>991.95171026156925</v>
      </c>
      <c r="J7" s="274">
        <f>Paramètres!H29</f>
        <v>1041.5492957746478</v>
      </c>
      <c r="K7" s="573"/>
    </row>
    <row r="8" spans="1:12" x14ac:dyDescent="0.25">
      <c r="A8" s="46">
        <f>'A) Base RI'!A7</f>
        <v>5401</v>
      </c>
      <c r="B8" s="294" t="str">
        <f>'A) Base RI'!B7</f>
        <v>Aigle</v>
      </c>
      <c r="C8" s="54">
        <f>'A) Base RI'!AO7</f>
        <v>10518</v>
      </c>
      <c r="D8" s="10">
        <f>IF($C8&gt;D$4,IF($C8&lt;D$5,$C8-D$4,D$5-D$4),0)</f>
        <v>1000</v>
      </c>
      <c r="E8" s="14">
        <f t="shared" ref="E8:I23" si="0">IF($C8&gt;E$4,IF($C8&lt;E$5,$C8-E$4,E$5-E$4),0)</f>
        <v>2000</v>
      </c>
      <c r="F8" s="10">
        <f t="shared" si="0"/>
        <v>2000</v>
      </c>
      <c r="G8" s="14">
        <f t="shared" si="0"/>
        <v>4000</v>
      </c>
      <c r="H8" s="41">
        <f t="shared" si="0"/>
        <v>1518</v>
      </c>
      <c r="I8" s="10">
        <f t="shared" si="0"/>
        <v>0</v>
      </c>
      <c r="J8" s="10">
        <f>IF(C8&gt;$J$4,C8-$J$4,0)</f>
        <v>0</v>
      </c>
      <c r="K8" s="113">
        <f>(D8*D$7)+(E8*E$7)+(F8*F$7)+(G8*G$7)+(H8*H$7)+(I8*I$7)+(J8*J$7)</f>
        <v>5470911.2676056325</v>
      </c>
    </row>
    <row r="9" spans="1:12" x14ac:dyDescent="0.25">
      <c r="A9" s="49">
        <f>'A) Base RI'!A8</f>
        <v>5402</v>
      </c>
      <c r="B9" s="294" t="str">
        <f>'A) Base RI'!B8</f>
        <v>Bex</v>
      </c>
      <c r="C9" s="10">
        <f>'A) Base RI'!AO8</f>
        <v>7828</v>
      </c>
      <c r="D9" s="10">
        <f t="shared" ref="D9:I63" si="1">IF($C9&gt;D$4,IF($C9&lt;D$5,$C9-D$4,D$5-D$4),0)</f>
        <v>1000</v>
      </c>
      <c r="E9" s="421">
        <f t="shared" si="0"/>
        <v>2000</v>
      </c>
      <c r="F9" s="10">
        <f t="shared" si="0"/>
        <v>2000</v>
      </c>
      <c r="G9" s="421">
        <f t="shared" si="0"/>
        <v>2828</v>
      </c>
      <c r="H9" s="41">
        <f t="shared" si="0"/>
        <v>0</v>
      </c>
      <c r="I9" s="10">
        <f t="shared" si="0"/>
        <v>0</v>
      </c>
      <c r="J9" s="10">
        <f t="shared" ref="J9:J72" si="2">IF(C9&gt;$J$4,C9-$J$4,0)</f>
        <v>0</v>
      </c>
      <c r="K9" s="113">
        <f t="shared" ref="K9:K72" si="3">(D9*D$7)+(E9*E$7)+(F9*F$7)+(G9*G$7)+(H9*H$7)+(I9*I$7)+(J9*J$7)</f>
        <v>3493455.5331991948</v>
      </c>
    </row>
    <row r="10" spans="1:12" x14ac:dyDescent="0.25">
      <c r="A10" s="49">
        <f>'A) Base RI'!A9</f>
        <v>5403</v>
      </c>
      <c r="B10" s="294" t="str">
        <f>'A) Base RI'!B9</f>
        <v>Chessel</v>
      </c>
      <c r="C10" s="10">
        <f>'A) Base RI'!AO9</f>
        <v>444</v>
      </c>
      <c r="D10" s="10">
        <f t="shared" si="1"/>
        <v>444</v>
      </c>
      <c r="E10" s="421">
        <f t="shared" si="0"/>
        <v>0</v>
      </c>
      <c r="F10" s="10">
        <f t="shared" si="0"/>
        <v>0</v>
      </c>
      <c r="G10" s="421">
        <f t="shared" si="0"/>
        <v>0</v>
      </c>
      <c r="H10" s="41">
        <f t="shared" si="0"/>
        <v>0</v>
      </c>
      <c r="I10" s="10">
        <f t="shared" si="0"/>
        <v>0</v>
      </c>
      <c r="J10" s="10">
        <f t="shared" si="2"/>
        <v>0</v>
      </c>
      <c r="K10" s="113">
        <f t="shared" si="3"/>
        <v>55053.319919517096</v>
      </c>
    </row>
    <row r="11" spans="1:12" x14ac:dyDescent="0.25">
      <c r="A11" s="49">
        <f>'A) Base RI'!A10</f>
        <v>5404</v>
      </c>
      <c r="B11" s="294" t="str">
        <f>'A) Base RI'!B10</f>
        <v>Corbeyrier</v>
      </c>
      <c r="C11" s="10">
        <f>'A) Base RI'!AO10</f>
        <v>445</v>
      </c>
      <c r="D11" s="10">
        <f t="shared" si="1"/>
        <v>445</v>
      </c>
      <c r="E11" s="421">
        <f t="shared" si="0"/>
        <v>0</v>
      </c>
      <c r="F11" s="10">
        <f t="shared" si="0"/>
        <v>0</v>
      </c>
      <c r="G11" s="421">
        <f t="shared" si="0"/>
        <v>0</v>
      </c>
      <c r="H11" s="41">
        <f t="shared" si="0"/>
        <v>0</v>
      </c>
      <c r="I11" s="10">
        <f t="shared" si="0"/>
        <v>0</v>
      </c>
      <c r="J11" s="10">
        <f t="shared" si="2"/>
        <v>0</v>
      </c>
      <c r="K11" s="113">
        <f t="shared" si="3"/>
        <v>55177.313883299787</v>
      </c>
    </row>
    <row r="12" spans="1:12" x14ac:dyDescent="0.25">
      <c r="A12" s="49">
        <f>'A) Base RI'!A11</f>
        <v>5405</v>
      </c>
      <c r="B12" s="294" t="str">
        <f>'A) Base RI'!B11</f>
        <v>Gryon</v>
      </c>
      <c r="C12" s="10">
        <f>'A) Base RI'!AO11</f>
        <v>1378</v>
      </c>
      <c r="D12" s="10">
        <f t="shared" si="1"/>
        <v>1000</v>
      </c>
      <c r="E12" s="421">
        <f t="shared" si="0"/>
        <v>378</v>
      </c>
      <c r="F12" s="10">
        <f t="shared" si="0"/>
        <v>0</v>
      </c>
      <c r="G12" s="421">
        <f t="shared" si="0"/>
        <v>0</v>
      </c>
      <c r="H12" s="41">
        <f t="shared" si="0"/>
        <v>0</v>
      </c>
      <c r="I12" s="10">
        <f t="shared" si="0"/>
        <v>0</v>
      </c>
      <c r="J12" s="10">
        <f t="shared" si="2"/>
        <v>0</v>
      </c>
      <c r="K12" s="113">
        <f t="shared" si="3"/>
        <v>255229.17505030177</v>
      </c>
    </row>
    <row r="13" spans="1:12" x14ac:dyDescent="0.25">
      <c r="A13" s="49">
        <f>'A) Base RI'!A12</f>
        <v>5406</v>
      </c>
      <c r="B13" s="294" t="str">
        <f>'A) Base RI'!B12</f>
        <v>Lavey-Morcles</v>
      </c>
      <c r="C13" s="10">
        <f>'A) Base RI'!AO12</f>
        <v>944</v>
      </c>
      <c r="D13" s="10">
        <f t="shared" si="1"/>
        <v>944</v>
      </c>
      <c r="E13" s="421">
        <f t="shared" si="0"/>
        <v>0</v>
      </c>
      <c r="F13" s="10">
        <f t="shared" si="0"/>
        <v>0</v>
      </c>
      <c r="G13" s="421">
        <f t="shared" si="0"/>
        <v>0</v>
      </c>
      <c r="H13" s="41">
        <f t="shared" si="0"/>
        <v>0</v>
      </c>
      <c r="I13" s="10">
        <f t="shared" si="0"/>
        <v>0</v>
      </c>
      <c r="J13" s="10">
        <f t="shared" si="2"/>
        <v>0</v>
      </c>
      <c r="K13" s="113">
        <f t="shared" si="3"/>
        <v>117050.30181086517</v>
      </c>
    </row>
    <row r="14" spans="1:12" x14ac:dyDescent="0.25">
      <c r="A14" s="49">
        <f>'A) Base RI'!A13</f>
        <v>5407</v>
      </c>
      <c r="B14" s="294" t="str">
        <f>'A) Base RI'!B13</f>
        <v>Leysin</v>
      </c>
      <c r="C14" s="10">
        <f>'A) Base RI'!AO13</f>
        <v>3645</v>
      </c>
      <c r="D14" s="10">
        <f t="shared" si="1"/>
        <v>1000</v>
      </c>
      <c r="E14" s="421">
        <f t="shared" si="0"/>
        <v>2000</v>
      </c>
      <c r="F14" s="10">
        <f t="shared" si="0"/>
        <v>645</v>
      </c>
      <c r="G14" s="421">
        <f t="shared" si="0"/>
        <v>0</v>
      </c>
      <c r="H14" s="41">
        <f t="shared" si="0"/>
        <v>0</v>
      </c>
      <c r="I14" s="10">
        <f t="shared" si="0"/>
        <v>0</v>
      </c>
      <c r="J14" s="10">
        <f t="shared" si="2"/>
        <v>0</v>
      </c>
      <c r="K14" s="113">
        <f t="shared" si="3"/>
        <v>1138264.5875251507</v>
      </c>
      <c r="L14" s="12"/>
    </row>
    <row r="15" spans="1:12" x14ac:dyDescent="0.25">
      <c r="A15" s="49">
        <f>'A) Base RI'!A14</f>
        <v>5408</v>
      </c>
      <c r="B15" s="294" t="str">
        <f>'A) Base RI'!B14</f>
        <v>Noville</v>
      </c>
      <c r="C15" s="10">
        <f>'A) Base RI'!AO14</f>
        <v>1170</v>
      </c>
      <c r="D15" s="10">
        <f t="shared" si="1"/>
        <v>1000</v>
      </c>
      <c r="E15" s="421">
        <f t="shared" si="0"/>
        <v>170</v>
      </c>
      <c r="F15" s="10">
        <f t="shared" si="0"/>
        <v>0</v>
      </c>
      <c r="G15" s="421">
        <f t="shared" si="0"/>
        <v>0</v>
      </c>
      <c r="H15" s="41">
        <f t="shared" si="0"/>
        <v>0</v>
      </c>
      <c r="I15" s="10">
        <f t="shared" si="0"/>
        <v>0</v>
      </c>
      <c r="J15" s="10">
        <f t="shared" si="2"/>
        <v>0</v>
      </c>
      <c r="K15" s="113">
        <f t="shared" si="3"/>
        <v>183015.09054325952</v>
      </c>
    </row>
    <row r="16" spans="1:12" x14ac:dyDescent="0.25">
      <c r="A16" s="49">
        <f>'A) Base RI'!A15</f>
        <v>5409</v>
      </c>
      <c r="B16" s="294" t="str">
        <f>'A) Base RI'!B15</f>
        <v>Ollon</v>
      </c>
      <c r="C16" s="10">
        <f>'A) Base RI'!AO15</f>
        <v>7634</v>
      </c>
      <c r="D16" s="10">
        <f t="shared" si="1"/>
        <v>1000</v>
      </c>
      <c r="E16" s="421">
        <f t="shared" si="0"/>
        <v>2000</v>
      </c>
      <c r="F16" s="10">
        <f t="shared" si="0"/>
        <v>2000</v>
      </c>
      <c r="G16" s="421">
        <f t="shared" si="0"/>
        <v>2634</v>
      </c>
      <c r="H16" s="41">
        <f t="shared" si="0"/>
        <v>0</v>
      </c>
      <c r="I16" s="10">
        <f t="shared" si="0"/>
        <v>0</v>
      </c>
      <c r="J16" s="10">
        <f t="shared" si="2"/>
        <v>0</v>
      </c>
      <c r="K16" s="113">
        <f t="shared" si="3"/>
        <v>3377992.3541247481</v>
      </c>
    </row>
    <row r="17" spans="1:11" x14ac:dyDescent="0.25">
      <c r="A17" s="49">
        <f>'A) Base RI'!A16</f>
        <v>5410</v>
      </c>
      <c r="B17" s="294" t="str">
        <f>'A) Base RI'!B16</f>
        <v>Ormont-Dessous</v>
      </c>
      <c r="C17" s="10">
        <f>'A) Base RI'!AO16</f>
        <v>1180</v>
      </c>
      <c r="D17" s="10">
        <f t="shared" si="1"/>
        <v>1000</v>
      </c>
      <c r="E17" s="421">
        <f t="shared" si="0"/>
        <v>180</v>
      </c>
      <c r="F17" s="10">
        <f t="shared" si="0"/>
        <v>0</v>
      </c>
      <c r="G17" s="421">
        <f t="shared" si="0"/>
        <v>0</v>
      </c>
      <c r="H17" s="41">
        <f t="shared" si="0"/>
        <v>0</v>
      </c>
      <c r="I17" s="10">
        <f t="shared" si="0"/>
        <v>0</v>
      </c>
      <c r="J17" s="10">
        <f t="shared" si="2"/>
        <v>0</v>
      </c>
      <c r="K17" s="113">
        <f t="shared" si="3"/>
        <v>186486.92152917502</v>
      </c>
    </row>
    <row r="18" spans="1:11" x14ac:dyDescent="0.25">
      <c r="A18" s="49">
        <f>'A) Base RI'!A17</f>
        <v>5411</v>
      </c>
      <c r="B18" s="294" t="str">
        <f>'A) Base RI'!B17</f>
        <v>Ormont-Dessus</v>
      </c>
      <c r="C18" s="10">
        <f>'A) Base RI'!AO17</f>
        <v>1466</v>
      </c>
      <c r="D18" s="10">
        <f t="shared" si="1"/>
        <v>1000</v>
      </c>
      <c r="E18" s="421">
        <f t="shared" si="0"/>
        <v>466</v>
      </c>
      <c r="F18" s="10">
        <f t="shared" si="0"/>
        <v>0</v>
      </c>
      <c r="G18" s="421">
        <f t="shared" si="0"/>
        <v>0</v>
      </c>
      <c r="H18" s="41">
        <f t="shared" si="0"/>
        <v>0</v>
      </c>
      <c r="I18" s="10">
        <f t="shared" si="0"/>
        <v>0</v>
      </c>
      <c r="J18" s="10">
        <f t="shared" si="2"/>
        <v>0</v>
      </c>
      <c r="K18" s="113">
        <f t="shared" si="3"/>
        <v>285781.2877263581</v>
      </c>
    </row>
    <row r="19" spans="1:11" x14ac:dyDescent="0.25">
      <c r="A19" s="49">
        <f>'A) Base RI'!A18</f>
        <v>5412</v>
      </c>
      <c r="B19" s="294" t="str">
        <f>'A) Base RI'!B18</f>
        <v>Rennaz</v>
      </c>
      <c r="C19" s="10">
        <f>'A) Base RI'!AO18</f>
        <v>889</v>
      </c>
      <c r="D19" s="10">
        <f t="shared" si="1"/>
        <v>889</v>
      </c>
      <c r="E19" s="421">
        <f t="shared" si="0"/>
        <v>0</v>
      </c>
      <c r="F19" s="10">
        <f t="shared" si="0"/>
        <v>0</v>
      </c>
      <c r="G19" s="421">
        <f t="shared" si="0"/>
        <v>0</v>
      </c>
      <c r="H19" s="41">
        <f t="shared" si="0"/>
        <v>0</v>
      </c>
      <c r="I19" s="10">
        <f t="shared" si="0"/>
        <v>0</v>
      </c>
      <c r="J19" s="10">
        <f t="shared" si="2"/>
        <v>0</v>
      </c>
      <c r="K19" s="113">
        <f t="shared" si="3"/>
        <v>110230.63380281688</v>
      </c>
    </row>
    <row r="20" spans="1:11" x14ac:dyDescent="0.25">
      <c r="A20" s="49">
        <f>'A) Base RI'!A19</f>
        <v>5413</v>
      </c>
      <c r="B20" s="294" t="str">
        <f>'A) Base RI'!B19</f>
        <v>Roche</v>
      </c>
      <c r="C20" s="10">
        <f>'A) Base RI'!AO19</f>
        <v>1868</v>
      </c>
      <c r="D20" s="10">
        <f t="shared" si="1"/>
        <v>1000</v>
      </c>
      <c r="E20" s="421">
        <f t="shared" si="0"/>
        <v>868</v>
      </c>
      <c r="F20" s="10">
        <f t="shared" si="0"/>
        <v>0</v>
      </c>
      <c r="G20" s="421">
        <f t="shared" si="0"/>
        <v>0</v>
      </c>
      <c r="H20" s="41">
        <f t="shared" si="0"/>
        <v>0</v>
      </c>
      <c r="I20" s="10">
        <f t="shared" si="0"/>
        <v>0</v>
      </c>
      <c r="J20" s="10">
        <f t="shared" si="2"/>
        <v>0</v>
      </c>
      <c r="K20" s="113">
        <f t="shared" si="3"/>
        <v>425348.89336016093</v>
      </c>
    </row>
    <row r="21" spans="1:11" x14ac:dyDescent="0.25">
      <c r="A21" s="49">
        <f>'A) Base RI'!A20</f>
        <v>5414</v>
      </c>
      <c r="B21" s="294" t="str">
        <f>'A) Base RI'!B20</f>
        <v>Villeneuve</v>
      </c>
      <c r="C21" s="10">
        <f>'A) Base RI'!AO20</f>
        <v>5837</v>
      </c>
      <c r="D21" s="10">
        <f t="shared" si="1"/>
        <v>1000</v>
      </c>
      <c r="E21" s="421">
        <f t="shared" si="0"/>
        <v>2000</v>
      </c>
      <c r="F21" s="10">
        <f t="shared" si="0"/>
        <v>2000</v>
      </c>
      <c r="G21" s="421">
        <f t="shared" si="0"/>
        <v>837</v>
      </c>
      <c r="H21" s="41">
        <f t="shared" si="0"/>
        <v>0</v>
      </c>
      <c r="I21" s="10">
        <f t="shared" si="0"/>
        <v>0</v>
      </c>
      <c r="J21" s="10">
        <f t="shared" si="2"/>
        <v>0</v>
      </c>
      <c r="K21" s="113">
        <f t="shared" si="3"/>
        <v>2308470.0201207241</v>
      </c>
    </row>
    <row r="22" spans="1:11" x14ac:dyDescent="0.25">
      <c r="A22" s="49">
        <f>'A) Base RI'!A21</f>
        <v>5415</v>
      </c>
      <c r="B22" s="294" t="str">
        <f>'A) Base RI'!B21</f>
        <v>Yvorne</v>
      </c>
      <c r="C22" s="10">
        <f>'A) Base RI'!AO21</f>
        <v>1070</v>
      </c>
      <c r="D22" s="10">
        <f t="shared" si="1"/>
        <v>1000</v>
      </c>
      <c r="E22" s="421">
        <f t="shared" si="0"/>
        <v>70</v>
      </c>
      <c r="F22" s="10">
        <f t="shared" si="0"/>
        <v>0</v>
      </c>
      <c r="G22" s="421">
        <f t="shared" si="0"/>
        <v>0</v>
      </c>
      <c r="H22" s="41">
        <f t="shared" si="0"/>
        <v>0</v>
      </c>
      <c r="I22" s="10">
        <f t="shared" si="0"/>
        <v>0</v>
      </c>
      <c r="J22" s="10">
        <f t="shared" si="2"/>
        <v>0</v>
      </c>
      <c r="K22" s="113">
        <f t="shared" si="3"/>
        <v>148296.7806841046</v>
      </c>
    </row>
    <row r="23" spans="1:11" x14ac:dyDescent="0.25">
      <c r="A23" s="49">
        <f>'A) Base RI'!A22</f>
        <v>5421</v>
      </c>
      <c r="B23" s="294" t="str">
        <f>'A) Base RI'!B22</f>
        <v>Apples</v>
      </c>
      <c r="C23" s="10">
        <f>'A) Base RI'!AO22</f>
        <v>1457</v>
      </c>
      <c r="D23" s="10">
        <f t="shared" si="1"/>
        <v>1000</v>
      </c>
      <c r="E23" s="421">
        <f t="shared" si="0"/>
        <v>457</v>
      </c>
      <c r="F23" s="10">
        <f t="shared" si="0"/>
        <v>0</v>
      </c>
      <c r="G23" s="421">
        <f t="shared" si="0"/>
        <v>0</v>
      </c>
      <c r="H23" s="41">
        <f t="shared" si="0"/>
        <v>0</v>
      </c>
      <c r="I23" s="10">
        <f t="shared" si="0"/>
        <v>0</v>
      </c>
      <c r="J23" s="10">
        <f t="shared" si="2"/>
        <v>0</v>
      </c>
      <c r="K23" s="113">
        <f t="shared" si="3"/>
        <v>282656.63983903418</v>
      </c>
    </row>
    <row r="24" spans="1:11" x14ac:dyDescent="0.25">
      <c r="A24" s="49">
        <f>'A) Base RI'!A23</f>
        <v>5422</v>
      </c>
      <c r="B24" s="294" t="str">
        <f>'A) Base RI'!B23</f>
        <v>Aubonne</v>
      </c>
      <c r="C24" s="10">
        <f>'A) Base RI'!AO23</f>
        <v>3241</v>
      </c>
      <c r="D24" s="10">
        <f t="shared" si="1"/>
        <v>1000</v>
      </c>
      <c r="E24" s="421">
        <f t="shared" si="1"/>
        <v>2000</v>
      </c>
      <c r="F24" s="10">
        <f t="shared" si="1"/>
        <v>241</v>
      </c>
      <c r="G24" s="421">
        <f t="shared" si="1"/>
        <v>0</v>
      </c>
      <c r="H24" s="41">
        <f t="shared" si="1"/>
        <v>0</v>
      </c>
      <c r="I24" s="10">
        <f t="shared" si="1"/>
        <v>0</v>
      </c>
      <c r="J24" s="10">
        <f t="shared" si="2"/>
        <v>0</v>
      </c>
      <c r="K24" s="113">
        <f t="shared" si="3"/>
        <v>937890.34205231373</v>
      </c>
    </row>
    <row r="25" spans="1:11" x14ac:dyDescent="0.25">
      <c r="A25" s="49">
        <f>'A) Base RI'!A24</f>
        <v>5423</v>
      </c>
      <c r="B25" s="294" t="str">
        <f>'A) Base RI'!B24</f>
        <v>Ballens</v>
      </c>
      <c r="C25" s="10">
        <f>'A) Base RI'!AO24</f>
        <v>562</v>
      </c>
      <c r="D25" s="10">
        <f t="shared" si="1"/>
        <v>562</v>
      </c>
      <c r="E25" s="421">
        <f t="shared" si="1"/>
        <v>0</v>
      </c>
      <c r="F25" s="10">
        <f t="shared" si="1"/>
        <v>0</v>
      </c>
      <c r="G25" s="421">
        <f t="shared" si="1"/>
        <v>0</v>
      </c>
      <c r="H25" s="41">
        <f t="shared" si="1"/>
        <v>0</v>
      </c>
      <c r="I25" s="10">
        <f t="shared" si="1"/>
        <v>0</v>
      </c>
      <c r="J25" s="10">
        <f t="shared" si="2"/>
        <v>0</v>
      </c>
      <c r="K25" s="113">
        <f t="shared" si="3"/>
        <v>69684.607645875236</v>
      </c>
    </row>
    <row r="26" spans="1:11" x14ac:dyDescent="0.25">
      <c r="A26" s="49">
        <f>'A) Base RI'!A25</f>
        <v>5424</v>
      </c>
      <c r="B26" s="294" t="str">
        <f>'A) Base RI'!B25</f>
        <v>Berolle</v>
      </c>
      <c r="C26" s="10">
        <f>'A) Base RI'!AO25</f>
        <v>313</v>
      </c>
      <c r="D26" s="10">
        <f t="shared" si="1"/>
        <v>313</v>
      </c>
      <c r="E26" s="421">
        <f t="shared" si="1"/>
        <v>0</v>
      </c>
      <c r="F26" s="10">
        <f t="shared" si="1"/>
        <v>0</v>
      </c>
      <c r="G26" s="421">
        <f t="shared" si="1"/>
        <v>0</v>
      </c>
      <c r="H26" s="41">
        <f t="shared" si="1"/>
        <v>0</v>
      </c>
      <c r="I26" s="10">
        <f t="shared" si="1"/>
        <v>0</v>
      </c>
      <c r="J26" s="10">
        <f t="shared" si="2"/>
        <v>0</v>
      </c>
      <c r="K26" s="113">
        <f t="shared" si="3"/>
        <v>38810.110663983898</v>
      </c>
    </row>
    <row r="27" spans="1:11" x14ac:dyDescent="0.25">
      <c r="A27" s="49">
        <f>'A) Base RI'!A26</f>
        <v>5425</v>
      </c>
      <c r="B27" s="294" t="str">
        <f>'A) Base RI'!B26</f>
        <v>Bière</v>
      </c>
      <c r="C27" s="10">
        <f>'A) Base RI'!AO26</f>
        <v>1627</v>
      </c>
      <c r="D27" s="10">
        <f t="shared" si="1"/>
        <v>1000</v>
      </c>
      <c r="E27" s="421">
        <f t="shared" si="1"/>
        <v>627</v>
      </c>
      <c r="F27" s="10">
        <f t="shared" si="1"/>
        <v>0</v>
      </c>
      <c r="G27" s="421">
        <f t="shared" si="1"/>
        <v>0</v>
      </c>
      <c r="H27" s="41">
        <f t="shared" si="1"/>
        <v>0</v>
      </c>
      <c r="I27" s="10">
        <f t="shared" si="1"/>
        <v>0</v>
      </c>
      <c r="J27" s="10">
        <f t="shared" si="2"/>
        <v>0</v>
      </c>
      <c r="K27" s="113">
        <f t="shared" si="3"/>
        <v>341677.76659959753</v>
      </c>
    </row>
    <row r="28" spans="1:11" x14ac:dyDescent="0.25">
      <c r="A28" s="49">
        <f>'A) Base RI'!A27</f>
        <v>5426</v>
      </c>
      <c r="B28" s="294" t="str">
        <f>'A) Base RI'!B27</f>
        <v>Bougy-Villars</v>
      </c>
      <c r="C28" s="10">
        <f>'A) Base RI'!AO27</f>
        <v>477</v>
      </c>
      <c r="D28" s="10">
        <f t="shared" si="1"/>
        <v>477</v>
      </c>
      <c r="E28" s="421">
        <f t="shared" si="1"/>
        <v>0</v>
      </c>
      <c r="F28" s="10">
        <f t="shared" si="1"/>
        <v>0</v>
      </c>
      <c r="G28" s="421">
        <f t="shared" si="1"/>
        <v>0</v>
      </c>
      <c r="H28" s="41">
        <f t="shared" si="1"/>
        <v>0</v>
      </c>
      <c r="I28" s="10">
        <f t="shared" si="1"/>
        <v>0</v>
      </c>
      <c r="J28" s="10">
        <f t="shared" si="2"/>
        <v>0</v>
      </c>
      <c r="K28" s="113">
        <f t="shared" si="3"/>
        <v>59145.120724346067</v>
      </c>
    </row>
    <row r="29" spans="1:11" x14ac:dyDescent="0.25">
      <c r="A29" s="49">
        <f>'A) Base RI'!A28</f>
        <v>5427</v>
      </c>
      <c r="B29" s="294" t="str">
        <f>'A) Base RI'!B28</f>
        <v>Féchy</v>
      </c>
      <c r="C29" s="10">
        <f>'A) Base RI'!AO28</f>
        <v>869</v>
      </c>
      <c r="D29" s="10">
        <f t="shared" si="1"/>
        <v>869</v>
      </c>
      <c r="E29" s="421">
        <f t="shared" si="1"/>
        <v>0</v>
      </c>
      <c r="F29" s="10">
        <f t="shared" si="1"/>
        <v>0</v>
      </c>
      <c r="G29" s="421">
        <f t="shared" si="1"/>
        <v>0</v>
      </c>
      <c r="H29" s="41">
        <f t="shared" si="1"/>
        <v>0</v>
      </c>
      <c r="I29" s="10">
        <f t="shared" si="1"/>
        <v>0</v>
      </c>
      <c r="J29" s="10">
        <f t="shared" si="2"/>
        <v>0</v>
      </c>
      <c r="K29" s="113">
        <f t="shared" si="3"/>
        <v>107750.75452716296</v>
      </c>
    </row>
    <row r="30" spans="1:11" x14ac:dyDescent="0.25">
      <c r="A30" s="49">
        <f>'A) Base RI'!A29</f>
        <v>5428</v>
      </c>
      <c r="B30" s="294" t="str">
        <f>'A) Base RI'!B29</f>
        <v>Gimel</v>
      </c>
      <c r="C30" s="10">
        <f>'A) Base RI'!AO29</f>
        <v>2307</v>
      </c>
      <c r="D30" s="10">
        <f t="shared" si="1"/>
        <v>1000</v>
      </c>
      <c r="E30" s="421">
        <f t="shared" si="1"/>
        <v>1307</v>
      </c>
      <c r="F30" s="10">
        <f t="shared" si="1"/>
        <v>0</v>
      </c>
      <c r="G30" s="421">
        <f t="shared" si="1"/>
        <v>0</v>
      </c>
      <c r="H30" s="41">
        <f t="shared" si="1"/>
        <v>0</v>
      </c>
      <c r="I30" s="10">
        <f t="shared" si="1"/>
        <v>0</v>
      </c>
      <c r="J30" s="10">
        <f t="shared" si="2"/>
        <v>0</v>
      </c>
      <c r="K30" s="113">
        <f t="shared" si="3"/>
        <v>577762.27364185103</v>
      </c>
    </row>
    <row r="31" spans="1:11" x14ac:dyDescent="0.25">
      <c r="A31" s="49">
        <f>'A) Base RI'!A30</f>
        <v>5429</v>
      </c>
      <c r="B31" s="294" t="str">
        <f>'A) Base RI'!B30</f>
        <v>Longirod</v>
      </c>
      <c r="C31" s="10">
        <f>'A) Base RI'!AO30</f>
        <v>494</v>
      </c>
      <c r="D31" s="10">
        <f t="shared" si="1"/>
        <v>494</v>
      </c>
      <c r="E31" s="421">
        <f t="shared" si="1"/>
        <v>0</v>
      </c>
      <c r="F31" s="10">
        <f t="shared" si="1"/>
        <v>0</v>
      </c>
      <c r="G31" s="421">
        <f t="shared" si="1"/>
        <v>0</v>
      </c>
      <c r="H31" s="41">
        <f t="shared" si="1"/>
        <v>0</v>
      </c>
      <c r="I31" s="10">
        <f t="shared" si="1"/>
        <v>0</v>
      </c>
      <c r="J31" s="10">
        <f t="shared" si="2"/>
        <v>0</v>
      </c>
      <c r="K31" s="113">
        <f t="shared" si="3"/>
        <v>61253.018108651901</v>
      </c>
    </row>
    <row r="32" spans="1:11" x14ac:dyDescent="0.25">
      <c r="A32" s="49">
        <f>'A) Base RI'!A31</f>
        <v>5430</v>
      </c>
      <c r="B32" s="294" t="str">
        <f>'A) Base RI'!B31</f>
        <v>Marchissy</v>
      </c>
      <c r="C32" s="10">
        <f>'A) Base RI'!AO31</f>
        <v>481</v>
      </c>
      <c r="D32" s="10">
        <f t="shared" si="1"/>
        <v>481</v>
      </c>
      <c r="E32" s="421">
        <f t="shared" si="1"/>
        <v>0</v>
      </c>
      <c r="F32" s="10">
        <f t="shared" si="1"/>
        <v>0</v>
      </c>
      <c r="G32" s="421">
        <f t="shared" si="1"/>
        <v>0</v>
      </c>
      <c r="H32" s="41">
        <f t="shared" si="1"/>
        <v>0</v>
      </c>
      <c r="I32" s="10">
        <f t="shared" si="1"/>
        <v>0</v>
      </c>
      <c r="J32" s="10">
        <f t="shared" si="2"/>
        <v>0</v>
      </c>
      <c r="K32" s="113">
        <f t="shared" si="3"/>
        <v>59641.096579476849</v>
      </c>
    </row>
    <row r="33" spans="1:11" x14ac:dyDescent="0.25">
      <c r="A33" s="49">
        <f>'A) Base RI'!A32</f>
        <v>5431</v>
      </c>
      <c r="B33" s="294" t="str">
        <f>'A) Base RI'!B32</f>
        <v>Mollens</v>
      </c>
      <c r="C33" s="10">
        <f>'A) Base RI'!AO32</f>
        <v>330</v>
      </c>
      <c r="D33" s="10">
        <f t="shared" si="1"/>
        <v>330</v>
      </c>
      <c r="E33" s="421">
        <f t="shared" si="1"/>
        <v>0</v>
      </c>
      <c r="F33" s="10">
        <f t="shared" si="1"/>
        <v>0</v>
      </c>
      <c r="G33" s="421">
        <f t="shared" si="1"/>
        <v>0</v>
      </c>
      <c r="H33" s="41">
        <f t="shared" si="1"/>
        <v>0</v>
      </c>
      <c r="I33" s="10">
        <f t="shared" si="1"/>
        <v>0</v>
      </c>
      <c r="J33" s="10">
        <f t="shared" si="2"/>
        <v>0</v>
      </c>
      <c r="K33" s="113">
        <f t="shared" si="3"/>
        <v>40918.008048289732</v>
      </c>
    </row>
    <row r="34" spans="1:11" x14ac:dyDescent="0.25">
      <c r="A34" s="49">
        <f>'A) Base RI'!A33</f>
        <v>5432</v>
      </c>
      <c r="B34" s="294" t="str">
        <f>'A) Base RI'!B33</f>
        <v>Montherod</v>
      </c>
      <c r="C34" s="10">
        <f>'A) Base RI'!AO33</f>
        <v>523</v>
      </c>
      <c r="D34" s="10">
        <f t="shared" si="1"/>
        <v>523</v>
      </c>
      <c r="E34" s="421">
        <f t="shared" si="1"/>
        <v>0</v>
      </c>
      <c r="F34" s="10">
        <f t="shared" si="1"/>
        <v>0</v>
      </c>
      <c r="G34" s="421">
        <f t="shared" si="1"/>
        <v>0</v>
      </c>
      <c r="H34" s="41">
        <f t="shared" si="1"/>
        <v>0</v>
      </c>
      <c r="I34" s="10">
        <f t="shared" si="1"/>
        <v>0</v>
      </c>
      <c r="J34" s="10">
        <f t="shared" si="2"/>
        <v>0</v>
      </c>
      <c r="K34" s="113">
        <f t="shared" si="3"/>
        <v>64848.843058350089</v>
      </c>
    </row>
    <row r="35" spans="1:11" x14ac:dyDescent="0.25">
      <c r="A35" s="49">
        <f>'A) Base RI'!A34</f>
        <v>5434</v>
      </c>
      <c r="B35" s="294" t="str">
        <f>'A) Base RI'!B34</f>
        <v>Saint-George</v>
      </c>
      <c r="C35" s="10">
        <f>'A) Base RI'!AO34</f>
        <v>1074</v>
      </c>
      <c r="D35" s="10">
        <f t="shared" si="1"/>
        <v>1000</v>
      </c>
      <c r="E35" s="421">
        <f t="shared" si="1"/>
        <v>74</v>
      </c>
      <c r="F35" s="10">
        <f t="shared" si="1"/>
        <v>0</v>
      </c>
      <c r="G35" s="421">
        <f t="shared" si="1"/>
        <v>0</v>
      </c>
      <c r="H35" s="41">
        <f t="shared" si="1"/>
        <v>0</v>
      </c>
      <c r="I35" s="10">
        <f t="shared" si="1"/>
        <v>0</v>
      </c>
      <c r="J35" s="10">
        <f t="shared" si="2"/>
        <v>0</v>
      </c>
      <c r="K35" s="113">
        <f t="shared" si="3"/>
        <v>149685.5130784708</v>
      </c>
    </row>
    <row r="36" spans="1:11" x14ac:dyDescent="0.25">
      <c r="A36" s="49">
        <f>'A) Base RI'!A35</f>
        <v>5435</v>
      </c>
      <c r="B36" s="294" t="str">
        <f>'A) Base RI'!B35</f>
        <v>Saint-Livres</v>
      </c>
      <c r="C36" s="10">
        <f>'A) Base RI'!AO35</f>
        <v>683</v>
      </c>
      <c r="D36" s="10">
        <f t="shared" si="1"/>
        <v>683</v>
      </c>
      <c r="E36" s="421">
        <f t="shared" si="1"/>
        <v>0</v>
      </c>
      <c r="F36" s="10">
        <f t="shared" si="1"/>
        <v>0</v>
      </c>
      <c r="G36" s="421">
        <f t="shared" si="1"/>
        <v>0</v>
      </c>
      <c r="H36" s="41">
        <f t="shared" si="1"/>
        <v>0</v>
      </c>
      <c r="I36" s="10">
        <f t="shared" si="1"/>
        <v>0</v>
      </c>
      <c r="J36" s="10">
        <f t="shared" si="2"/>
        <v>0</v>
      </c>
      <c r="K36" s="113">
        <f t="shared" si="3"/>
        <v>84687.877263581468</v>
      </c>
    </row>
    <row r="37" spans="1:11" x14ac:dyDescent="0.25">
      <c r="A37" s="49">
        <f>'A) Base RI'!A36</f>
        <v>5436</v>
      </c>
      <c r="B37" s="294" t="str">
        <f>'A) Base RI'!B36</f>
        <v>Saint-Oyens</v>
      </c>
      <c r="C37" s="10">
        <f>'A) Base RI'!AO36</f>
        <v>461</v>
      </c>
      <c r="D37" s="10">
        <f t="shared" si="1"/>
        <v>461</v>
      </c>
      <c r="E37" s="421">
        <f t="shared" si="1"/>
        <v>0</v>
      </c>
      <c r="F37" s="10">
        <f t="shared" si="1"/>
        <v>0</v>
      </c>
      <c r="G37" s="421">
        <f t="shared" si="1"/>
        <v>0</v>
      </c>
      <c r="H37" s="41">
        <f t="shared" si="1"/>
        <v>0</v>
      </c>
      <c r="I37" s="10">
        <f t="shared" si="1"/>
        <v>0</v>
      </c>
      <c r="J37" s="10">
        <f t="shared" si="2"/>
        <v>0</v>
      </c>
      <c r="K37" s="113">
        <f t="shared" si="3"/>
        <v>57161.21730382293</v>
      </c>
    </row>
    <row r="38" spans="1:11" x14ac:dyDescent="0.25">
      <c r="A38" s="49">
        <f>'A) Base RI'!A37</f>
        <v>5437</v>
      </c>
      <c r="B38" s="294" t="str">
        <f>'A) Base RI'!B37</f>
        <v>Saubraz</v>
      </c>
      <c r="C38" s="10">
        <f>'A) Base RI'!AO37</f>
        <v>423</v>
      </c>
      <c r="D38" s="10">
        <f t="shared" si="1"/>
        <v>423</v>
      </c>
      <c r="E38" s="421">
        <f t="shared" si="1"/>
        <v>0</v>
      </c>
      <c r="F38" s="10">
        <f t="shared" si="1"/>
        <v>0</v>
      </c>
      <c r="G38" s="421">
        <f t="shared" si="1"/>
        <v>0</v>
      </c>
      <c r="H38" s="41">
        <f t="shared" si="1"/>
        <v>0</v>
      </c>
      <c r="I38" s="10">
        <f t="shared" si="1"/>
        <v>0</v>
      </c>
      <c r="J38" s="10">
        <f t="shared" si="2"/>
        <v>0</v>
      </c>
      <c r="K38" s="113">
        <f t="shared" si="3"/>
        <v>52449.446680080473</v>
      </c>
    </row>
    <row r="39" spans="1:11" x14ac:dyDescent="0.25">
      <c r="A39" s="49">
        <f>'A) Base RI'!A38</f>
        <v>5451</v>
      </c>
      <c r="B39" s="294" t="str">
        <f>'A) Base RI'!B38</f>
        <v>Avenches</v>
      </c>
      <c r="C39" s="10">
        <f>'A) Base RI'!AO38</f>
        <v>4482</v>
      </c>
      <c r="D39" s="10">
        <f t="shared" si="1"/>
        <v>1000</v>
      </c>
      <c r="E39" s="421">
        <f t="shared" si="1"/>
        <v>2000</v>
      </c>
      <c r="F39" s="10">
        <f t="shared" si="1"/>
        <v>1482</v>
      </c>
      <c r="G39" s="421">
        <f t="shared" si="1"/>
        <v>0</v>
      </c>
      <c r="H39" s="41">
        <f t="shared" si="1"/>
        <v>0</v>
      </c>
      <c r="I39" s="10">
        <f t="shared" si="1"/>
        <v>0</v>
      </c>
      <c r="J39" s="10">
        <f t="shared" si="2"/>
        <v>0</v>
      </c>
      <c r="K39" s="113">
        <f t="shared" si="3"/>
        <v>1553396.3782696174</v>
      </c>
    </row>
    <row r="40" spans="1:11" x14ac:dyDescent="0.25">
      <c r="A40" s="49">
        <f>'A) Base RI'!A39</f>
        <v>5456</v>
      </c>
      <c r="B40" s="294" t="str">
        <f>'A) Base RI'!B39</f>
        <v>Cudrefin</v>
      </c>
      <c r="C40" s="10">
        <f>'A) Base RI'!AO39</f>
        <v>1780</v>
      </c>
      <c r="D40" s="10">
        <f t="shared" si="1"/>
        <v>1000</v>
      </c>
      <c r="E40" s="421">
        <f t="shared" si="1"/>
        <v>780</v>
      </c>
      <c r="F40" s="10">
        <f t="shared" si="1"/>
        <v>0</v>
      </c>
      <c r="G40" s="421">
        <f t="shared" si="1"/>
        <v>0</v>
      </c>
      <c r="H40" s="41">
        <f t="shared" si="1"/>
        <v>0</v>
      </c>
      <c r="I40" s="10">
        <f t="shared" si="1"/>
        <v>0</v>
      </c>
      <c r="J40" s="10">
        <f t="shared" si="2"/>
        <v>0</v>
      </c>
      <c r="K40" s="113">
        <f t="shared" si="3"/>
        <v>394796.7806841046</v>
      </c>
    </row>
    <row r="41" spans="1:11" x14ac:dyDescent="0.25">
      <c r="A41" s="49">
        <f>'A) Base RI'!A40</f>
        <v>5458</v>
      </c>
      <c r="B41" s="294" t="str">
        <f>'A) Base RI'!B40</f>
        <v>Faoug</v>
      </c>
      <c r="C41" s="10">
        <f>'A) Base RI'!AO40</f>
        <v>881</v>
      </c>
      <c r="D41" s="10">
        <f t="shared" si="1"/>
        <v>881</v>
      </c>
      <c r="E41" s="421">
        <f t="shared" si="1"/>
        <v>0</v>
      </c>
      <c r="F41" s="10">
        <f t="shared" si="1"/>
        <v>0</v>
      </c>
      <c r="G41" s="421">
        <f t="shared" si="1"/>
        <v>0</v>
      </c>
      <c r="H41" s="41">
        <f t="shared" si="1"/>
        <v>0</v>
      </c>
      <c r="I41" s="10">
        <f t="shared" si="1"/>
        <v>0</v>
      </c>
      <c r="J41" s="10">
        <f t="shared" si="2"/>
        <v>0</v>
      </c>
      <c r="K41" s="113">
        <f t="shared" si="3"/>
        <v>109238.68209255532</v>
      </c>
    </row>
    <row r="42" spans="1:11" x14ac:dyDescent="0.25">
      <c r="A42" s="49">
        <f>'A) Base RI'!A41</f>
        <v>5464</v>
      </c>
      <c r="B42" s="294" t="str">
        <f>'A) Base RI'!B41</f>
        <v>Vully-les-Lacs</v>
      </c>
      <c r="C42" s="10">
        <f>'A) Base RI'!AO41</f>
        <v>3360</v>
      </c>
      <c r="D42" s="10">
        <f t="shared" si="1"/>
        <v>1000</v>
      </c>
      <c r="E42" s="421">
        <f t="shared" si="1"/>
        <v>2000</v>
      </c>
      <c r="F42" s="10">
        <f t="shared" si="1"/>
        <v>360</v>
      </c>
      <c r="G42" s="421">
        <f t="shared" si="1"/>
        <v>0</v>
      </c>
      <c r="H42" s="41">
        <f t="shared" si="1"/>
        <v>0</v>
      </c>
      <c r="I42" s="10">
        <f t="shared" si="1"/>
        <v>0</v>
      </c>
      <c r="J42" s="10">
        <f t="shared" si="2"/>
        <v>0</v>
      </c>
      <c r="K42" s="113">
        <f t="shared" si="3"/>
        <v>996911.4688128772</v>
      </c>
    </row>
    <row r="43" spans="1:11" x14ac:dyDescent="0.25">
      <c r="A43" s="49">
        <f>'A) Base RI'!A42</f>
        <v>5471</v>
      </c>
      <c r="B43" s="294" t="str">
        <f>'A) Base RI'!B42</f>
        <v>Bettens</v>
      </c>
      <c r="C43" s="10">
        <f>'A) Base RI'!AO42</f>
        <v>636</v>
      </c>
      <c r="D43" s="10">
        <f t="shared" si="1"/>
        <v>636</v>
      </c>
      <c r="E43" s="421">
        <f t="shared" si="1"/>
        <v>0</v>
      </c>
      <c r="F43" s="10">
        <f t="shared" si="1"/>
        <v>0</v>
      </c>
      <c r="G43" s="421">
        <f t="shared" si="1"/>
        <v>0</v>
      </c>
      <c r="H43" s="41">
        <f t="shared" si="1"/>
        <v>0</v>
      </c>
      <c r="I43" s="10">
        <f t="shared" si="1"/>
        <v>0</v>
      </c>
      <c r="J43" s="10">
        <f t="shared" si="2"/>
        <v>0</v>
      </c>
      <c r="K43" s="113">
        <f t="shared" si="3"/>
        <v>78860.160965794756</v>
      </c>
    </row>
    <row r="44" spans="1:11" x14ac:dyDescent="0.25">
      <c r="A44" s="49">
        <f>'A) Base RI'!A43</f>
        <v>5472</v>
      </c>
      <c r="B44" s="294" t="str">
        <f>'A) Base RI'!B43</f>
        <v>Bournens</v>
      </c>
      <c r="C44" s="10">
        <f>'A) Base RI'!AO43</f>
        <v>490</v>
      </c>
      <c r="D44" s="10">
        <f t="shared" si="1"/>
        <v>490</v>
      </c>
      <c r="E44" s="421">
        <f t="shared" si="1"/>
        <v>0</v>
      </c>
      <c r="F44" s="10">
        <f t="shared" si="1"/>
        <v>0</v>
      </c>
      <c r="G44" s="421">
        <f t="shared" si="1"/>
        <v>0</v>
      </c>
      <c r="H44" s="41">
        <f t="shared" si="1"/>
        <v>0</v>
      </c>
      <c r="I44" s="10">
        <f t="shared" si="1"/>
        <v>0</v>
      </c>
      <c r="J44" s="10">
        <f t="shared" si="2"/>
        <v>0</v>
      </c>
      <c r="K44" s="113">
        <f t="shared" si="3"/>
        <v>60757.042253521118</v>
      </c>
    </row>
    <row r="45" spans="1:11" x14ac:dyDescent="0.25">
      <c r="A45" s="49">
        <f>'A) Base RI'!A44</f>
        <v>5473</v>
      </c>
      <c r="B45" s="294" t="str">
        <f>'A) Base RI'!B44</f>
        <v>Boussens</v>
      </c>
      <c r="C45" s="10">
        <f>'A) Base RI'!AO44</f>
        <v>999</v>
      </c>
      <c r="D45" s="10">
        <f t="shared" si="1"/>
        <v>999</v>
      </c>
      <c r="E45" s="421">
        <f t="shared" si="1"/>
        <v>0</v>
      </c>
      <c r="F45" s="10">
        <f t="shared" si="1"/>
        <v>0</v>
      </c>
      <c r="G45" s="421">
        <f t="shared" si="1"/>
        <v>0</v>
      </c>
      <c r="H45" s="41">
        <f t="shared" si="1"/>
        <v>0</v>
      </c>
      <c r="I45" s="10">
        <f t="shared" si="1"/>
        <v>0</v>
      </c>
      <c r="J45" s="10">
        <f t="shared" si="2"/>
        <v>0</v>
      </c>
      <c r="K45" s="113">
        <f t="shared" si="3"/>
        <v>123869.96981891347</v>
      </c>
    </row>
    <row r="46" spans="1:11" x14ac:dyDescent="0.25">
      <c r="A46" s="49">
        <f>'A) Base RI'!A45</f>
        <v>5474</v>
      </c>
      <c r="B46" s="294" t="str">
        <f>'A) Base RI'!B45</f>
        <v>La Chaux (Cossonay)</v>
      </c>
      <c r="C46" s="10">
        <f>'A) Base RI'!AO45</f>
        <v>391</v>
      </c>
      <c r="D46" s="10">
        <f t="shared" si="1"/>
        <v>391</v>
      </c>
      <c r="E46" s="421">
        <f t="shared" si="1"/>
        <v>0</v>
      </c>
      <c r="F46" s="10">
        <f t="shared" si="1"/>
        <v>0</v>
      </c>
      <c r="G46" s="421">
        <f t="shared" si="1"/>
        <v>0</v>
      </c>
      <c r="H46" s="41">
        <f t="shared" si="1"/>
        <v>0</v>
      </c>
      <c r="I46" s="10">
        <f t="shared" si="1"/>
        <v>0</v>
      </c>
      <c r="J46" s="10">
        <f t="shared" si="2"/>
        <v>0</v>
      </c>
      <c r="K46" s="113">
        <f t="shared" si="3"/>
        <v>48481.6398390342</v>
      </c>
    </row>
    <row r="47" spans="1:11" x14ac:dyDescent="0.25">
      <c r="A47" s="49">
        <f>'A) Base RI'!A46</f>
        <v>5475</v>
      </c>
      <c r="B47" s="294" t="str">
        <f>'A) Base RI'!B46</f>
        <v>Chavannes-le-Veyron</v>
      </c>
      <c r="C47" s="10">
        <f>'A) Base RI'!AO46</f>
        <v>152</v>
      </c>
      <c r="D47" s="10">
        <f t="shared" si="1"/>
        <v>152</v>
      </c>
      <c r="E47" s="421">
        <f t="shared" si="1"/>
        <v>0</v>
      </c>
      <c r="F47" s="10">
        <f t="shared" si="1"/>
        <v>0</v>
      </c>
      <c r="G47" s="421">
        <f t="shared" si="1"/>
        <v>0</v>
      </c>
      <c r="H47" s="41">
        <f t="shared" si="1"/>
        <v>0</v>
      </c>
      <c r="I47" s="10">
        <f t="shared" si="1"/>
        <v>0</v>
      </c>
      <c r="J47" s="10">
        <f t="shared" si="2"/>
        <v>0</v>
      </c>
      <c r="K47" s="113">
        <f t="shared" si="3"/>
        <v>18847.082494969814</v>
      </c>
    </row>
    <row r="48" spans="1:11" x14ac:dyDescent="0.25">
      <c r="A48" s="49">
        <f>'A) Base RI'!A47</f>
        <v>5476</v>
      </c>
      <c r="B48" s="294" t="str">
        <f>'A) Base RI'!B47</f>
        <v>Chevilly</v>
      </c>
      <c r="C48" s="10">
        <f>'A) Base RI'!AO47</f>
        <v>317</v>
      </c>
      <c r="D48" s="10">
        <f t="shared" si="1"/>
        <v>317</v>
      </c>
      <c r="E48" s="421">
        <f t="shared" si="1"/>
        <v>0</v>
      </c>
      <c r="F48" s="10">
        <f t="shared" si="1"/>
        <v>0</v>
      </c>
      <c r="G48" s="421">
        <f t="shared" si="1"/>
        <v>0</v>
      </c>
      <c r="H48" s="41">
        <f t="shared" si="1"/>
        <v>0</v>
      </c>
      <c r="I48" s="10">
        <f t="shared" si="1"/>
        <v>0</v>
      </c>
      <c r="J48" s="10">
        <f t="shared" si="2"/>
        <v>0</v>
      </c>
      <c r="K48" s="113">
        <f t="shared" si="3"/>
        <v>39306.08651911468</v>
      </c>
    </row>
    <row r="49" spans="1:11" x14ac:dyDescent="0.25">
      <c r="A49" s="49">
        <f>'A) Base RI'!A48</f>
        <v>5477</v>
      </c>
      <c r="B49" s="294" t="str">
        <f>'A) Base RI'!B48</f>
        <v>Cossonay</v>
      </c>
      <c r="C49" s="10">
        <f>'A) Base RI'!AO48</f>
        <v>4222</v>
      </c>
      <c r="D49" s="10">
        <f t="shared" si="1"/>
        <v>1000</v>
      </c>
      <c r="E49" s="421">
        <f t="shared" si="1"/>
        <v>2000</v>
      </c>
      <c r="F49" s="10">
        <f t="shared" si="1"/>
        <v>1222</v>
      </c>
      <c r="G49" s="421">
        <f t="shared" si="1"/>
        <v>0</v>
      </c>
      <c r="H49" s="41">
        <f t="shared" si="1"/>
        <v>0</v>
      </c>
      <c r="I49" s="10">
        <f t="shared" si="1"/>
        <v>0</v>
      </c>
      <c r="J49" s="10">
        <f t="shared" si="2"/>
        <v>0</v>
      </c>
      <c r="K49" s="113">
        <f t="shared" si="3"/>
        <v>1424442.6559356134</v>
      </c>
    </row>
    <row r="50" spans="1:11" x14ac:dyDescent="0.25">
      <c r="A50" s="49">
        <f>'A) Base RI'!A49</f>
        <v>5478</v>
      </c>
      <c r="B50" s="294" t="str">
        <f>'A) Base RI'!B49</f>
        <v>Cottens</v>
      </c>
      <c r="C50" s="10">
        <f>'A) Base RI'!AO49</f>
        <v>491</v>
      </c>
      <c r="D50" s="10">
        <f t="shared" si="1"/>
        <v>491</v>
      </c>
      <c r="E50" s="421">
        <f t="shared" si="1"/>
        <v>0</v>
      </c>
      <c r="F50" s="10">
        <f t="shared" si="1"/>
        <v>0</v>
      </c>
      <c r="G50" s="421">
        <f t="shared" si="1"/>
        <v>0</v>
      </c>
      <c r="H50" s="41">
        <f t="shared" si="1"/>
        <v>0</v>
      </c>
      <c r="I50" s="10">
        <f t="shared" si="1"/>
        <v>0</v>
      </c>
      <c r="J50" s="10">
        <f t="shared" si="2"/>
        <v>0</v>
      </c>
      <c r="K50" s="113">
        <f t="shared" si="3"/>
        <v>60881.036217303816</v>
      </c>
    </row>
    <row r="51" spans="1:11" x14ac:dyDescent="0.25">
      <c r="A51" s="49">
        <f>'A) Base RI'!A50</f>
        <v>5479</v>
      </c>
      <c r="B51" s="294" t="str">
        <f>'A) Base RI'!B50</f>
        <v>Cuarnens</v>
      </c>
      <c r="C51" s="10">
        <f>'A) Base RI'!AO50</f>
        <v>527</v>
      </c>
      <c r="D51" s="10">
        <f t="shared" si="1"/>
        <v>527</v>
      </c>
      <c r="E51" s="421">
        <f t="shared" si="1"/>
        <v>0</v>
      </c>
      <c r="F51" s="10">
        <f t="shared" si="1"/>
        <v>0</v>
      </c>
      <c r="G51" s="421">
        <f t="shared" si="1"/>
        <v>0</v>
      </c>
      <c r="H51" s="41">
        <f t="shared" si="1"/>
        <v>0</v>
      </c>
      <c r="I51" s="10">
        <f t="shared" si="1"/>
        <v>0</v>
      </c>
      <c r="J51" s="10">
        <f t="shared" si="2"/>
        <v>0</v>
      </c>
      <c r="K51" s="113">
        <f t="shared" si="3"/>
        <v>65344.818913480871</v>
      </c>
    </row>
    <row r="52" spans="1:11" x14ac:dyDescent="0.25">
      <c r="A52" s="49">
        <f>'A) Base RI'!A51</f>
        <v>5480</v>
      </c>
      <c r="B52" s="294" t="str">
        <f>'A) Base RI'!B51</f>
        <v>Daillens</v>
      </c>
      <c r="C52" s="10">
        <f>'A) Base RI'!AO51</f>
        <v>1048</v>
      </c>
      <c r="D52" s="10">
        <f t="shared" si="1"/>
        <v>1000</v>
      </c>
      <c r="E52" s="421">
        <f t="shared" si="1"/>
        <v>48</v>
      </c>
      <c r="F52" s="10">
        <f t="shared" si="1"/>
        <v>0</v>
      </c>
      <c r="G52" s="421">
        <f t="shared" si="1"/>
        <v>0</v>
      </c>
      <c r="H52" s="41">
        <f t="shared" si="1"/>
        <v>0</v>
      </c>
      <c r="I52" s="10">
        <f t="shared" si="1"/>
        <v>0</v>
      </c>
      <c r="J52" s="10">
        <f t="shared" si="2"/>
        <v>0</v>
      </c>
      <c r="K52" s="113">
        <f t="shared" si="3"/>
        <v>140658.75251509051</v>
      </c>
    </row>
    <row r="53" spans="1:11" x14ac:dyDescent="0.25">
      <c r="A53" s="49">
        <f>'A) Base RI'!A52</f>
        <v>5481</v>
      </c>
      <c r="B53" s="294" t="str">
        <f>'A) Base RI'!B52</f>
        <v>Dizy</v>
      </c>
      <c r="C53" s="10">
        <f>'A) Base RI'!AO52</f>
        <v>224</v>
      </c>
      <c r="D53" s="10">
        <f t="shared" si="1"/>
        <v>224</v>
      </c>
      <c r="E53" s="421">
        <f t="shared" si="1"/>
        <v>0</v>
      </c>
      <c r="F53" s="10">
        <f t="shared" si="1"/>
        <v>0</v>
      </c>
      <c r="G53" s="421">
        <f t="shared" si="1"/>
        <v>0</v>
      </c>
      <c r="H53" s="41">
        <f t="shared" si="1"/>
        <v>0</v>
      </c>
      <c r="I53" s="10">
        <f t="shared" si="1"/>
        <v>0</v>
      </c>
      <c r="J53" s="10">
        <f t="shared" si="2"/>
        <v>0</v>
      </c>
      <c r="K53" s="113">
        <f t="shared" si="3"/>
        <v>27774.647887323939</v>
      </c>
    </row>
    <row r="54" spans="1:11" x14ac:dyDescent="0.25">
      <c r="A54" s="49">
        <f>'A) Base RI'!A53</f>
        <v>5482</v>
      </c>
      <c r="B54" s="294" t="str">
        <f>'A) Base RI'!B53</f>
        <v>Eclépens</v>
      </c>
      <c r="C54" s="10">
        <f>'A) Base RI'!AO53</f>
        <v>1220</v>
      </c>
      <c r="D54" s="10">
        <f t="shared" si="1"/>
        <v>1000</v>
      </c>
      <c r="E54" s="421">
        <f t="shared" si="1"/>
        <v>220</v>
      </c>
      <c r="F54" s="10">
        <f t="shared" si="1"/>
        <v>0</v>
      </c>
      <c r="G54" s="421">
        <f t="shared" si="1"/>
        <v>0</v>
      </c>
      <c r="H54" s="41">
        <f t="shared" si="1"/>
        <v>0</v>
      </c>
      <c r="I54" s="10">
        <f t="shared" si="1"/>
        <v>0</v>
      </c>
      <c r="J54" s="10">
        <f t="shared" si="2"/>
        <v>0</v>
      </c>
      <c r="K54" s="113">
        <f t="shared" si="3"/>
        <v>200374.24547283701</v>
      </c>
    </row>
    <row r="55" spans="1:11" x14ac:dyDescent="0.25">
      <c r="A55" s="49">
        <f>'A) Base RI'!A54</f>
        <v>5483</v>
      </c>
      <c r="B55" s="294" t="str">
        <f>'A) Base RI'!B54</f>
        <v>Ferreyres</v>
      </c>
      <c r="C55" s="10">
        <f>'A) Base RI'!AO54</f>
        <v>319</v>
      </c>
      <c r="D55" s="10">
        <f t="shared" si="1"/>
        <v>319</v>
      </c>
      <c r="E55" s="421">
        <f t="shared" si="1"/>
        <v>0</v>
      </c>
      <c r="F55" s="10">
        <f t="shared" si="1"/>
        <v>0</v>
      </c>
      <c r="G55" s="421">
        <f t="shared" si="1"/>
        <v>0</v>
      </c>
      <c r="H55" s="41">
        <f t="shared" si="1"/>
        <v>0</v>
      </c>
      <c r="I55" s="10">
        <f t="shared" si="1"/>
        <v>0</v>
      </c>
      <c r="J55" s="10">
        <f t="shared" si="2"/>
        <v>0</v>
      </c>
      <c r="K55" s="113">
        <f t="shared" si="3"/>
        <v>39554.074446680075</v>
      </c>
    </row>
    <row r="56" spans="1:11" x14ac:dyDescent="0.25">
      <c r="A56" s="49">
        <f>'A) Base RI'!A55</f>
        <v>5484</v>
      </c>
      <c r="B56" s="294" t="str">
        <f>'A) Base RI'!B55</f>
        <v>Gollion</v>
      </c>
      <c r="C56" s="10">
        <f>'A) Base RI'!AO55</f>
        <v>996</v>
      </c>
      <c r="D56" s="10">
        <f t="shared" si="1"/>
        <v>996</v>
      </c>
      <c r="E56" s="421">
        <f t="shared" si="1"/>
        <v>0</v>
      </c>
      <c r="F56" s="10">
        <f t="shared" si="1"/>
        <v>0</v>
      </c>
      <c r="G56" s="421">
        <f t="shared" si="1"/>
        <v>0</v>
      </c>
      <c r="H56" s="41">
        <f t="shared" si="1"/>
        <v>0</v>
      </c>
      <c r="I56" s="10">
        <f t="shared" si="1"/>
        <v>0</v>
      </c>
      <c r="J56" s="10">
        <f t="shared" si="2"/>
        <v>0</v>
      </c>
      <c r="K56" s="113">
        <f t="shared" si="3"/>
        <v>123497.98792756537</v>
      </c>
    </row>
    <row r="57" spans="1:11" x14ac:dyDescent="0.25">
      <c r="A57" s="49">
        <f>'A) Base RI'!A56</f>
        <v>5485</v>
      </c>
      <c r="B57" s="294" t="str">
        <f>'A) Base RI'!B56</f>
        <v>Grancy</v>
      </c>
      <c r="C57" s="10">
        <f>'A) Base RI'!AO56</f>
        <v>406</v>
      </c>
      <c r="D57" s="10">
        <f t="shared" si="1"/>
        <v>406</v>
      </c>
      <c r="E57" s="421">
        <f t="shared" si="1"/>
        <v>0</v>
      </c>
      <c r="F57" s="10">
        <f t="shared" si="1"/>
        <v>0</v>
      </c>
      <c r="G57" s="421">
        <f t="shared" si="1"/>
        <v>0</v>
      </c>
      <c r="H57" s="41">
        <f t="shared" si="1"/>
        <v>0</v>
      </c>
      <c r="I57" s="10">
        <f t="shared" si="1"/>
        <v>0</v>
      </c>
      <c r="J57" s="10">
        <f t="shared" si="2"/>
        <v>0</v>
      </c>
      <c r="K57" s="113">
        <f t="shared" si="3"/>
        <v>50341.549295774639</v>
      </c>
    </row>
    <row r="58" spans="1:11" x14ac:dyDescent="0.25">
      <c r="A58" s="49">
        <f>'A) Base RI'!A57</f>
        <v>5486</v>
      </c>
      <c r="B58" s="294" t="str">
        <f>'A) Base RI'!B57</f>
        <v>L'Isle</v>
      </c>
      <c r="C58" s="10">
        <f>'A) Base RI'!AO57</f>
        <v>1065</v>
      </c>
      <c r="D58" s="10">
        <f t="shared" si="1"/>
        <v>1000</v>
      </c>
      <c r="E58" s="421">
        <f t="shared" si="1"/>
        <v>65</v>
      </c>
      <c r="F58" s="10">
        <f t="shared" si="1"/>
        <v>0</v>
      </c>
      <c r="G58" s="421">
        <f t="shared" si="1"/>
        <v>0</v>
      </c>
      <c r="H58" s="41">
        <f t="shared" si="1"/>
        <v>0</v>
      </c>
      <c r="I58" s="10">
        <f t="shared" si="1"/>
        <v>0</v>
      </c>
      <c r="J58" s="10">
        <f t="shared" si="2"/>
        <v>0</v>
      </c>
      <c r="K58" s="113">
        <f t="shared" si="3"/>
        <v>146560.86519114685</v>
      </c>
    </row>
    <row r="59" spans="1:11" x14ac:dyDescent="0.25">
      <c r="A59" s="49">
        <f>'A) Base RI'!A58</f>
        <v>5487</v>
      </c>
      <c r="B59" s="294" t="str">
        <f>'A) Base RI'!B58</f>
        <v>Lussery-Villars</v>
      </c>
      <c r="C59" s="10">
        <f>'A) Base RI'!AO58</f>
        <v>459</v>
      </c>
      <c r="D59" s="10">
        <f t="shared" si="1"/>
        <v>459</v>
      </c>
      <c r="E59" s="421">
        <f t="shared" si="1"/>
        <v>0</v>
      </c>
      <c r="F59" s="10">
        <f t="shared" si="1"/>
        <v>0</v>
      </c>
      <c r="G59" s="421">
        <f t="shared" si="1"/>
        <v>0</v>
      </c>
      <c r="H59" s="41">
        <f t="shared" si="1"/>
        <v>0</v>
      </c>
      <c r="I59" s="10">
        <f t="shared" si="1"/>
        <v>0</v>
      </c>
      <c r="J59" s="10">
        <f t="shared" si="2"/>
        <v>0</v>
      </c>
      <c r="K59" s="113">
        <f t="shared" si="3"/>
        <v>56913.229376257535</v>
      </c>
    </row>
    <row r="60" spans="1:11" x14ac:dyDescent="0.25">
      <c r="A60" s="49">
        <f>'A) Base RI'!A59</f>
        <v>5488</v>
      </c>
      <c r="B60" s="294" t="str">
        <f>'A) Base RI'!B59</f>
        <v>Mauraz</v>
      </c>
      <c r="C60" s="10">
        <f>'A) Base RI'!AO59</f>
        <v>58</v>
      </c>
      <c r="D60" s="10">
        <f t="shared" si="1"/>
        <v>58</v>
      </c>
      <c r="E60" s="421">
        <f t="shared" si="1"/>
        <v>0</v>
      </c>
      <c r="F60" s="10">
        <f t="shared" si="1"/>
        <v>0</v>
      </c>
      <c r="G60" s="421">
        <f t="shared" si="1"/>
        <v>0</v>
      </c>
      <c r="H60" s="41">
        <f t="shared" si="1"/>
        <v>0</v>
      </c>
      <c r="I60" s="10">
        <f t="shared" si="1"/>
        <v>0</v>
      </c>
      <c r="J60" s="10">
        <f t="shared" si="2"/>
        <v>0</v>
      </c>
      <c r="K60" s="113">
        <f t="shared" si="3"/>
        <v>7191.6498993963769</v>
      </c>
    </row>
    <row r="61" spans="1:11" x14ac:dyDescent="0.25">
      <c r="A61" s="49">
        <f>'A) Base RI'!A60</f>
        <v>5489</v>
      </c>
      <c r="B61" s="294" t="str">
        <f>'A) Base RI'!B60</f>
        <v>Mex</v>
      </c>
      <c r="C61" s="10">
        <f>'A) Base RI'!AO60</f>
        <v>791</v>
      </c>
      <c r="D61" s="10">
        <f t="shared" si="1"/>
        <v>791</v>
      </c>
      <c r="E61" s="421">
        <f t="shared" si="1"/>
        <v>0</v>
      </c>
      <c r="F61" s="10">
        <f t="shared" si="1"/>
        <v>0</v>
      </c>
      <c r="G61" s="421">
        <f t="shared" si="1"/>
        <v>0</v>
      </c>
      <c r="H61" s="41">
        <f t="shared" si="1"/>
        <v>0</v>
      </c>
      <c r="I61" s="10">
        <f t="shared" si="1"/>
        <v>0</v>
      </c>
      <c r="J61" s="10">
        <f t="shared" si="2"/>
        <v>0</v>
      </c>
      <c r="K61" s="113">
        <f t="shared" si="3"/>
        <v>98079.225352112655</v>
      </c>
    </row>
    <row r="62" spans="1:11" x14ac:dyDescent="0.25">
      <c r="A62" s="49">
        <f>'A) Base RI'!A61</f>
        <v>5490</v>
      </c>
      <c r="B62" s="294" t="str">
        <f>'A) Base RI'!B61</f>
        <v>Moiry</v>
      </c>
      <c r="C62" s="10">
        <f>'A) Base RI'!AO61</f>
        <v>311</v>
      </c>
      <c r="D62" s="10">
        <f t="shared" si="1"/>
        <v>311</v>
      </c>
      <c r="E62" s="421">
        <f t="shared" si="1"/>
        <v>0</v>
      </c>
      <c r="F62" s="10">
        <f t="shared" si="1"/>
        <v>0</v>
      </c>
      <c r="G62" s="421">
        <f t="shared" si="1"/>
        <v>0</v>
      </c>
      <c r="H62" s="41">
        <f t="shared" si="1"/>
        <v>0</v>
      </c>
      <c r="I62" s="10">
        <f t="shared" si="1"/>
        <v>0</v>
      </c>
      <c r="J62" s="10">
        <f t="shared" si="2"/>
        <v>0</v>
      </c>
      <c r="K62" s="113">
        <f t="shared" si="3"/>
        <v>38562.122736418503</v>
      </c>
    </row>
    <row r="63" spans="1:11" x14ac:dyDescent="0.25">
      <c r="A63" s="49">
        <f>'A) Base RI'!A62</f>
        <v>5491</v>
      </c>
      <c r="B63" s="294" t="str">
        <f>'A) Base RI'!B62</f>
        <v>Mont-la-Ville</v>
      </c>
      <c r="C63" s="10">
        <f>'A) Base RI'!AO62</f>
        <v>490</v>
      </c>
      <c r="D63" s="10">
        <f t="shared" si="1"/>
        <v>490</v>
      </c>
      <c r="E63" s="421">
        <f t="shared" si="1"/>
        <v>0</v>
      </c>
      <c r="F63" s="10">
        <f t="shared" si="1"/>
        <v>0</v>
      </c>
      <c r="G63" s="421">
        <f t="shared" si="1"/>
        <v>0</v>
      </c>
      <c r="H63" s="41">
        <f t="shared" si="1"/>
        <v>0</v>
      </c>
      <c r="I63" s="10">
        <f t="shared" si="1"/>
        <v>0</v>
      </c>
      <c r="J63" s="10">
        <f t="shared" si="2"/>
        <v>0</v>
      </c>
      <c r="K63" s="113">
        <f t="shared" si="3"/>
        <v>60757.042253521118</v>
      </c>
    </row>
    <row r="64" spans="1:11" x14ac:dyDescent="0.25">
      <c r="A64" s="49">
        <f>'A) Base RI'!A63</f>
        <v>5492</v>
      </c>
      <c r="B64" s="294" t="str">
        <f>'A) Base RI'!B63</f>
        <v>Montricher</v>
      </c>
      <c r="C64" s="10">
        <f>'A) Base RI'!AO63</f>
        <v>964</v>
      </c>
      <c r="D64" s="10">
        <f t="shared" ref="D64:I106" si="4">IF($C64&gt;D$4,IF($C64&lt;D$5,$C64-D$4,D$5-D$4),0)</f>
        <v>964</v>
      </c>
      <c r="E64" s="421">
        <f t="shared" si="4"/>
        <v>0</v>
      </c>
      <c r="F64" s="10">
        <f t="shared" si="4"/>
        <v>0</v>
      </c>
      <c r="G64" s="421">
        <f t="shared" si="4"/>
        <v>0</v>
      </c>
      <c r="H64" s="41">
        <f t="shared" si="4"/>
        <v>0</v>
      </c>
      <c r="I64" s="10">
        <f t="shared" si="4"/>
        <v>0</v>
      </c>
      <c r="J64" s="10">
        <f t="shared" si="2"/>
        <v>0</v>
      </c>
      <c r="K64" s="113">
        <f t="shared" si="3"/>
        <v>119530.18108651909</v>
      </c>
    </row>
    <row r="65" spans="1:11" x14ac:dyDescent="0.25">
      <c r="A65" s="49">
        <f>'A) Base RI'!A64</f>
        <v>5493</v>
      </c>
      <c r="B65" s="294" t="str">
        <f>'A) Base RI'!B64</f>
        <v>Orny</v>
      </c>
      <c r="C65" s="10">
        <f>'A) Base RI'!AO64</f>
        <v>462</v>
      </c>
      <c r="D65" s="10">
        <f t="shared" si="4"/>
        <v>462</v>
      </c>
      <c r="E65" s="421">
        <f t="shared" si="4"/>
        <v>0</v>
      </c>
      <c r="F65" s="10">
        <f t="shared" si="4"/>
        <v>0</v>
      </c>
      <c r="G65" s="421">
        <f t="shared" si="4"/>
        <v>0</v>
      </c>
      <c r="H65" s="41">
        <f t="shared" si="4"/>
        <v>0</v>
      </c>
      <c r="I65" s="10">
        <f t="shared" si="4"/>
        <v>0</v>
      </c>
      <c r="J65" s="10">
        <f t="shared" si="2"/>
        <v>0</v>
      </c>
      <c r="K65" s="113">
        <f t="shared" si="3"/>
        <v>57285.21126760562</v>
      </c>
    </row>
    <row r="66" spans="1:11" x14ac:dyDescent="0.25">
      <c r="A66" s="49">
        <f>'A) Base RI'!A65</f>
        <v>5494</v>
      </c>
      <c r="B66" s="294" t="str">
        <f>'A) Base RI'!B65</f>
        <v>Pampigny</v>
      </c>
      <c r="C66" s="10">
        <f>'A) Base RI'!AO65</f>
        <v>1128</v>
      </c>
      <c r="D66" s="10">
        <f t="shared" si="4"/>
        <v>1000</v>
      </c>
      <c r="E66" s="421">
        <f t="shared" si="4"/>
        <v>128</v>
      </c>
      <c r="F66" s="10">
        <f t="shared" si="4"/>
        <v>0</v>
      </c>
      <c r="G66" s="421">
        <f t="shared" si="4"/>
        <v>0</v>
      </c>
      <c r="H66" s="41">
        <f t="shared" si="4"/>
        <v>0</v>
      </c>
      <c r="I66" s="10">
        <f t="shared" si="4"/>
        <v>0</v>
      </c>
      <c r="J66" s="10">
        <f t="shared" si="2"/>
        <v>0</v>
      </c>
      <c r="K66" s="113">
        <f t="shared" si="3"/>
        <v>168433.40040241447</v>
      </c>
    </row>
    <row r="67" spans="1:11" x14ac:dyDescent="0.25">
      <c r="A67" s="49">
        <f>'A) Base RI'!A66</f>
        <v>5495</v>
      </c>
      <c r="B67" s="294" t="str">
        <f>'A) Base RI'!B66</f>
        <v>Penthalaz</v>
      </c>
      <c r="C67" s="10">
        <f>'A) Base RI'!AO66</f>
        <v>3207</v>
      </c>
      <c r="D67" s="10">
        <f t="shared" si="4"/>
        <v>1000</v>
      </c>
      <c r="E67" s="421">
        <f t="shared" si="4"/>
        <v>2000</v>
      </c>
      <c r="F67" s="10">
        <f t="shared" si="4"/>
        <v>207</v>
      </c>
      <c r="G67" s="421">
        <f t="shared" si="4"/>
        <v>0</v>
      </c>
      <c r="H67" s="41">
        <f t="shared" si="4"/>
        <v>0</v>
      </c>
      <c r="I67" s="10">
        <f t="shared" si="4"/>
        <v>0</v>
      </c>
      <c r="J67" s="10">
        <f t="shared" si="2"/>
        <v>0</v>
      </c>
      <c r="K67" s="113">
        <f t="shared" si="3"/>
        <v>921027.16297786706</v>
      </c>
    </row>
    <row r="68" spans="1:11" x14ac:dyDescent="0.25">
      <c r="A68" s="49">
        <f>'A) Base RI'!A67</f>
        <v>5496</v>
      </c>
      <c r="B68" s="294" t="str">
        <f>'A) Base RI'!B67</f>
        <v>Penthaz</v>
      </c>
      <c r="C68" s="10">
        <f>'A) Base RI'!AO67</f>
        <v>1855</v>
      </c>
      <c r="D68" s="10">
        <f t="shared" si="4"/>
        <v>1000</v>
      </c>
      <c r="E68" s="421">
        <f t="shared" si="4"/>
        <v>855</v>
      </c>
      <c r="F68" s="10">
        <f t="shared" si="4"/>
        <v>0</v>
      </c>
      <c r="G68" s="421">
        <f t="shared" si="4"/>
        <v>0</v>
      </c>
      <c r="H68" s="41">
        <f t="shared" si="4"/>
        <v>0</v>
      </c>
      <c r="I68" s="10">
        <f t="shared" si="4"/>
        <v>0</v>
      </c>
      <c r="J68" s="10">
        <f t="shared" si="2"/>
        <v>0</v>
      </c>
      <c r="K68" s="113">
        <f t="shared" si="3"/>
        <v>420835.51307847077</v>
      </c>
    </row>
    <row r="69" spans="1:11" x14ac:dyDescent="0.25">
      <c r="A69" s="49">
        <f>'A) Base RI'!A68</f>
        <v>5497</v>
      </c>
      <c r="B69" s="294" t="str">
        <f>'A) Base RI'!B68</f>
        <v>Pompaples</v>
      </c>
      <c r="C69" s="10">
        <f>'A) Base RI'!AO68</f>
        <v>847</v>
      </c>
      <c r="D69" s="10">
        <f t="shared" si="4"/>
        <v>847</v>
      </c>
      <c r="E69" s="421">
        <f t="shared" si="4"/>
        <v>0</v>
      </c>
      <c r="F69" s="10">
        <f t="shared" si="4"/>
        <v>0</v>
      </c>
      <c r="G69" s="421">
        <f t="shared" si="4"/>
        <v>0</v>
      </c>
      <c r="H69" s="41">
        <f t="shared" si="4"/>
        <v>0</v>
      </c>
      <c r="I69" s="10">
        <f t="shared" si="4"/>
        <v>0</v>
      </c>
      <c r="J69" s="10">
        <f t="shared" si="2"/>
        <v>0</v>
      </c>
      <c r="K69" s="113">
        <f t="shared" si="3"/>
        <v>105022.88732394365</v>
      </c>
    </row>
    <row r="70" spans="1:11" x14ac:dyDescent="0.25">
      <c r="A70" s="49">
        <f>'A) Base RI'!A69</f>
        <v>5498</v>
      </c>
      <c r="B70" s="294" t="str">
        <f>'A) Base RI'!B69</f>
        <v>La Sarraz</v>
      </c>
      <c r="C70" s="10">
        <f>'A) Base RI'!AO69</f>
        <v>2598</v>
      </c>
      <c r="D70" s="10">
        <f t="shared" si="4"/>
        <v>1000</v>
      </c>
      <c r="E70" s="421">
        <f t="shared" si="4"/>
        <v>1598</v>
      </c>
      <c r="F70" s="10">
        <f t="shared" si="4"/>
        <v>0</v>
      </c>
      <c r="G70" s="421">
        <f t="shared" si="4"/>
        <v>0</v>
      </c>
      <c r="H70" s="41">
        <f t="shared" si="4"/>
        <v>0</v>
      </c>
      <c r="I70" s="10">
        <f t="shared" si="4"/>
        <v>0</v>
      </c>
      <c r="J70" s="10">
        <f t="shared" si="2"/>
        <v>0</v>
      </c>
      <c r="K70" s="113">
        <f t="shared" si="3"/>
        <v>678792.55533199187</v>
      </c>
    </row>
    <row r="71" spans="1:11" x14ac:dyDescent="0.25">
      <c r="A71" s="49">
        <f>'A) Base RI'!A70</f>
        <v>5499</v>
      </c>
      <c r="B71" s="294" t="str">
        <f>'A) Base RI'!B70</f>
        <v>Senarclens</v>
      </c>
      <c r="C71" s="10">
        <f>'A) Base RI'!AO70</f>
        <v>496</v>
      </c>
      <c r="D71" s="10">
        <f t="shared" si="4"/>
        <v>496</v>
      </c>
      <c r="E71" s="421">
        <f t="shared" si="4"/>
        <v>0</v>
      </c>
      <c r="F71" s="10">
        <f t="shared" si="4"/>
        <v>0</v>
      </c>
      <c r="G71" s="421">
        <f t="shared" si="4"/>
        <v>0</v>
      </c>
      <c r="H71" s="41">
        <f t="shared" si="4"/>
        <v>0</v>
      </c>
      <c r="I71" s="10">
        <f t="shared" si="4"/>
        <v>0</v>
      </c>
      <c r="J71" s="10">
        <f t="shared" si="2"/>
        <v>0</v>
      </c>
      <c r="K71" s="113">
        <f t="shared" si="3"/>
        <v>61501.006036217295</v>
      </c>
    </row>
    <row r="72" spans="1:11" x14ac:dyDescent="0.25">
      <c r="A72" s="49">
        <f>'A) Base RI'!A71</f>
        <v>5500</v>
      </c>
      <c r="B72" s="294" t="str">
        <f>'A) Base RI'!B71</f>
        <v>Sévery</v>
      </c>
      <c r="C72" s="10">
        <f>'A) Base RI'!AO71</f>
        <v>214</v>
      </c>
      <c r="D72" s="10">
        <f t="shared" si="4"/>
        <v>214</v>
      </c>
      <c r="E72" s="421">
        <f t="shared" si="4"/>
        <v>0</v>
      </c>
      <c r="F72" s="10">
        <f t="shared" si="4"/>
        <v>0</v>
      </c>
      <c r="G72" s="421">
        <f t="shared" si="4"/>
        <v>0</v>
      </c>
      <c r="H72" s="41">
        <f t="shared" si="4"/>
        <v>0</v>
      </c>
      <c r="I72" s="10">
        <f t="shared" si="4"/>
        <v>0</v>
      </c>
      <c r="J72" s="10">
        <f t="shared" si="2"/>
        <v>0</v>
      </c>
      <c r="K72" s="113">
        <f t="shared" si="3"/>
        <v>26534.708249496976</v>
      </c>
    </row>
    <row r="73" spans="1:11" x14ac:dyDescent="0.25">
      <c r="A73" s="49">
        <f>'A) Base RI'!A72</f>
        <v>5501</v>
      </c>
      <c r="B73" s="294" t="str">
        <f>'A) Base RI'!B72</f>
        <v>Sullens</v>
      </c>
      <c r="C73" s="10">
        <f>'A) Base RI'!AO72</f>
        <v>1041</v>
      </c>
      <c r="D73" s="10">
        <f t="shared" si="4"/>
        <v>1000</v>
      </c>
      <c r="E73" s="421">
        <f t="shared" si="4"/>
        <v>41</v>
      </c>
      <c r="F73" s="10">
        <f t="shared" si="4"/>
        <v>0</v>
      </c>
      <c r="G73" s="421">
        <f t="shared" si="4"/>
        <v>0</v>
      </c>
      <c r="H73" s="41">
        <f t="shared" si="4"/>
        <v>0</v>
      </c>
      <c r="I73" s="10">
        <f t="shared" si="4"/>
        <v>0</v>
      </c>
      <c r="J73" s="10">
        <f t="shared" ref="J73:J136" si="5">IF(C73&gt;$J$4,C73-$J$4,0)</f>
        <v>0</v>
      </c>
      <c r="K73" s="113">
        <f t="shared" ref="K73:K136" si="6">(D73*D$7)+(E73*E$7)+(F73*F$7)+(G73*G$7)+(H73*H$7)+(I73*I$7)+(J73*J$7)</f>
        <v>138228.47082494968</v>
      </c>
    </row>
    <row r="74" spans="1:11" x14ac:dyDescent="0.25">
      <c r="A74" s="49">
        <f>'A) Base RI'!A73</f>
        <v>5503</v>
      </c>
      <c r="B74" s="294" t="str">
        <f>'A) Base RI'!B73</f>
        <v>Vufflens-la-Ville</v>
      </c>
      <c r="C74" s="10">
        <f>'A) Base RI'!AO73</f>
        <v>1349</v>
      </c>
      <c r="D74" s="10">
        <f t="shared" si="4"/>
        <v>1000</v>
      </c>
      <c r="E74" s="421">
        <f t="shared" si="4"/>
        <v>349</v>
      </c>
      <c r="F74" s="10">
        <f t="shared" si="4"/>
        <v>0</v>
      </c>
      <c r="G74" s="421">
        <f t="shared" si="4"/>
        <v>0</v>
      </c>
      <c r="H74" s="41">
        <f t="shared" si="4"/>
        <v>0</v>
      </c>
      <c r="I74" s="10">
        <f t="shared" si="4"/>
        <v>0</v>
      </c>
      <c r="J74" s="10">
        <f t="shared" si="5"/>
        <v>0</v>
      </c>
      <c r="K74" s="113">
        <f t="shared" si="6"/>
        <v>245160.86519114685</v>
      </c>
    </row>
    <row r="75" spans="1:11" x14ac:dyDescent="0.25">
      <c r="A75" s="49">
        <f>'A) Base RI'!A74</f>
        <v>5511</v>
      </c>
      <c r="B75" s="294" t="str">
        <f>'A) Base RI'!B74</f>
        <v>Assens</v>
      </c>
      <c r="C75" s="10">
        <f>'A) Base RI'!AO74</f>
        <v>1141</v>
      </c>
      <c r="D75" s="10">
        <f t="shared" si="4"/>
        <v>1000</v>
      </c>
      <c r="E75" s="421">
        <f t="shared" si="4"/>
        <v>141</v>
      </c>
      <c r="F75" s="10">
        <f t="shared" si="4"/>
        <v>0</v>
      </c>
      <c r="G75" s="421">
        <f t="shared" si="4"/>
        <v>0</v>
      </c>
      <c r="H75" s="41">
        <f t="shared" si="4"/>
        <v>0</v>
      </c>
      <c r="I75" s="10">
        <f t="shared" si="4"/>
        <v>0</v>
      </c>
      <c r="J75" s="10">
        <f t="shared" si="5"/>
        <v>0</v>
      </c>
      <c r="K75" s="113">
        <f t="shared" si="6"/>
        <v>172946.7806841046</v>
      </c>
    </row>
    <row r="76" spans="1:11" x14ac:dyDescent="0.25">
      <c r="A76" s="49">
        <f>'A) Base RI'!A75</f>
        <v>5512</v>
      </c>
      <c r="B76" s="294" t="str">
        <f>'A) Base RI'!B75</f>
        <v>Bercher</v>
      </c>
      <c r="C76" s="10">
        <f>'A) Base RI'!AO75</f>
        <v>1323</v>
      </c>
      <c r="D76" s="10">
        <f t="shared" si="4"/>
        <v>1000</v>
      </c>
      <c r="E76" s="421">
        <f t="shared" si="4"/>
        <v>323</v>
      </c>
      <c r="F76" s="10">
        <f t="shared" si="4"/>
        <v>0</v>
      </c>
      <c r="G76" s="421">
        <f t="shared" si="4"/>
        <v>0</v>
      </c>
      <c r="H76" s="41">
        <f t="shared" si="4"/>
        <v>0</v>
      </c>
      <c r="I76" s="10">
        <f t="shared" si="4"/>
        <v>0</v>
      </c>
      <c r="J76" s="10">
        <f t="shared" si="5"/>
        <v>0</v>
      </c>
      <c r="K76" s="113">
        <f t="shared" si="6"/>
        <v>236134.10462776656</v>
      </c>
    </row>
    <row r="77" spans="1:11" x14ac:dyDescent="0.25">
      <c r="A77" s="49">
        <f>'A) Base RI'!A76</f>
        <v>5513</v>
      </c>
      <c r="B77" s="294" t="str">
        <f>'A) Base RI'!B76</f>
        <v>Bioley-Orjulaz</v>
      </c>
      <c r="C77" s="10">
        <f>'A) Base RI'!AO76</f>
        <v>525</v>
      </c>
      <c r="D77" s="10">
        <f t="shared" si="4"/>
        <v>525</v>
      </c>
      <c r="E77" s="421">
        <f t="shared" si="4"/>
        <v>0</v>
      </c>
      <c r="F77" s="10">
        <f t="shared" si="4"/>
        <v>0</v>
      </c>
      <c r="G77" s="421">
        <f t="shared" si="4"/>
        <v>0</v>
      </c>
      <c r="H77" s="41">
        <f t="shared" si="4"/>
        <v>0</v>
      </c>
      <c r="I77" s="10">
        <f t="shared" si="4"/>
        <v>0</v>
      </c>
      <c r="J77" s="10">
        <f t="shared" si="5"/>
        <v>0</v>
      </c>
      <c r="K77" s="113">
        <f t="shared" si="6"/>
        <v>65096.830985915483</v>
      </c>
    </row>
    <row r="78" spans="1:11" x14ac:dyDescent="0.25">
      <c r="A78" s="49">
        <f>'A) Base RI'!A77</f>
        <v>5514</v>
      </c>
      <c r="B78" s="294" t="str">
        <f>'A) Base RI'!B77</f>
        <v>Bottens</v>
      </c>
      <c r="C78" s="10">
        <f>'A) Base RI'!AO77</f>
        <v>1330</v>
      </c>
      <c r="D78" s="10">
        <f t="shared" si="4"/>
        <v>1000</v>
      </c>
      <c r="E78" s="421">
        <f t="shared" si="4"/>
        <v>330</v>
      </c>
      <c r="F78" s="10">
        <f t="shared" si="4"/>
        <v>0</v>
      </c>
      <c r="G78" s="421">
        <f t="shared" si="4"/>
        <v>0</v>
      </c>
      <c r="H78" s="41">
        <f t="shared" si="4"/>
        <v>0</v>
      </c>
      <c r="I78" s="10">
        <f t="shared" si="4"/>
        <v>0</v>
      </c>
      <c r="J78" s="10">
        <f t="shared" si="5"/>
        <v>0</v>
      </c>
      <c r="K78" s="113">
        <f t="shared" si="6"/>
        <v>238564.38631790743</v>
      </c>
    </row>
    <row r="79" spans="1:11" x14ac:dyDescent="0.25">
      <c r="A79" s="49">
        <f>'A) Base RI'!A78</f>
        <v>5515</v>
      </c>
      <c r="B79" s="294" t="str">
        <f>'A) Base RI'!B78</f>
        <v>Bretigny-sur-Morrens</v>
      </c>
      <c r="C79" s="10">
        <f>'A) Base RI'!AO78</f>
        <v>859</v>
      </c>
      <c r="D79" s="10">
        <f t="shared" si="4"/>
        <v>859</v>
      </c>
      <c r="E79" s="421">
        <f t="shared" si="4"/>
        <v>0</v>
      </c>
      <c r="F79" s="10">
        <f t="shared" si="4"/>
        <v>0</v>
      </c>
      <c r="G79" s="421">
        <f t="shared" si="4"/>
        <v>0</v>
      </c>
      <c r="H79" s="41">
        <f t="shared" si="4"/>
        <v>0</v>
      </c>
      <c r="I79" s="10">
        <f t="shared" si="4"/>
        <v>0</v>
      </c>
      <c r="J79" s="10">
        <f t="shared" si="5"/>
        <v>0</v>
      </c>
      <c r="K79" s="113">
        <f t="shared" si="6"/>
        <v>106510.814889336</v>
      </c>
    </row>
    <row r="80" spans="1:11" x14ac:dyDescent="0.25">
      <c r="A80" s="49">
        <f>'A) Base RI'!A79</f>
        <v>5516</v>
      </c>
      <c r="B80" s="294" t="str">
        <f>'A) Base RI'!B79</f>
        <v>Cugy</v>
      </c>
      <c r="C80" s="10">
        <f>'A) Base RI'!AO79</f>
        <v>2760</v>
      </c>
      <c r="D80" s="10">
        <f t="shared" si="4"/>
        <v>1000</v>
      </c>
      <c r="E80" s="421">
        <f t="shared" si="4"/>
        <v>1760</v>
      </c>
      <c r="F80" s="10">
        <f t="shared" si="4"/>
        <v>0</v>
      </c>
      <c r="G80" s="421">
        <f t="shared" si="4"/>
        <v>0</v>
      </c>
      <c r="H80" s="41">
        <f t="shared" si="4"/>
        <v>0</v>
      </c>
      <c r="I80" s="10">
        <f t="shared" si="4"/>
        <v>0</v>
      </c>
      <c r="J80" s="10">
        <f t="shared" si="5"/>
        <v>0</v>
      </c>
      <c r="K80" s="113">
        <f t="shared" si="6"/>
        <v>735036.21730382286</v>
      </c>
    </row>
    <row r="81" spans="1:11" x14ac:dyDescent="0.25">
      <c r="A81" s="49">
        <f>'A) Base RI'!A80</f>
        <v>5518</v>
      </c>
      <c r="B81" s="294" t="str">
        <f>'A) Base RI'!B80</f>
        <v>Echallens</v>
      </c>
      <c r="C81" s="10">
        <f>'A) Base RI'!AO80</f>
        <v>5731</v>
      </c>
      <c r="D81" s="10">
        <f t="shared" si="4"/>
        <v>1000</v>
      </c>
      <c r="E81" s="421">
        <f t="shared" si="4"/>
        <v>2000</v>
      </c>
      <c r="F81" s="10">
        <f t="shared" si="4"/>
        <v>2000</v>
      </c>
      <c r="G81" s="421">
        <f t="shared" si="4"/>
        <v>731</v>
      </c>
      <c r="H81" s="41">
        <f t="shared" si="4"/>
        <v>0</v>
      </c>
      <c r="I81" s="10">
        <f t="shared" si="4"/>
        <v>0</v>
      </c>
      <c r="J81" s="10">
        <f t="shared" si="5"/>
        <v>0</v>
      </c>
      <c r="K81" s="113">
        <f t="shared" si="6"/>
        <v>2245381.8913480882</v>
      </c>
    </row>
    <row r="82" spans="1:11" x14ac:dyDescent="0.25">
      <c r="A82" s="49">
        <f>'A) Base RI'!A81</f>
        <v>5520</v>
      </c>
      <c r="B82" s="294" t="str">
        <f>'A) Base RI'!B81</f>
        <v>Essertines-sur-Yverdon</v>
      </c>
      <c r="C82" s="10">
        <f>'A) Base RI'!AO81</f>
        <v>1036</v>
      </c>
      <c r="D82" s="10">
        <f t="shared" si="4"/>
        <v>1000</v>
      </c>
      <c r="E82" s="421">
        <f t="shared" si="4"/>
        <v>36</v>
      </c>
      <c r="F82" s="10">
        <f t="shared" si="4"/>
        <v>0</v>
      </c>
      <c r="G82" s="421">
        <f t="shared" si="4"/>
        <v>0</v>
      </c>
      <c r="H82" s="41">
        <f t="shared" si="4"/>
        <v>0</v>
      </c>
      <c r="I82" s="10">
        <f t="shared" si="4"/>
        <v>0</v>
      </c>
      <c r="J82" s="10">
        <f t="shared" si="5"/>
        <v>0</v>
      </c>
      <c r="K82" s="113">
        <f t="shared" si="6"/>
        <v>136492.55533199193</v>
      </c>
    </row>
    <row r="83" spans="1:11" x14ac:dyDescent="0.25">
      <c r="A83" s="49">
        <f>'A) Base RI'!A82</f>
        <v>5521</v>
      </c>
      <c r="B83" s="294" t="str">
        <f>'A) Base RI'!B82</f>
        <v>Etagnières</v>
      </c>
      <c r="C83" s="10">
        <f>'A) Base RI'!AO82</f>
        <v>1148</v>
      </c>
      <c r="D83" s="10">
        <f t="shared" si="4"/>
        <v>1000</v>
      </c>
      <c r="E83" s="421">
        <f t="shared" si="4"/>
        <v>148</v>
      </c>
      <c r="F83" s="10">
        <f t="shared" si="4"/>
        <v>0</v>
      </c>
      <c r="G83" s="421">
        <f t="shared" si="4"/>
        <v>0</v>
      </c>
      <c r="H83" s="41">
        <f t="shared" si="4"/>
        <v>0</v>
      </c>
      <c r="I83" s="10">
        <f t="shared" si="4"/>
        <v>0</v>
      </c>
      <c r="J83" s="10">
        <f t="shared" si="5"/>
        <v>0</v>
      </c>
      <c r="K83" s="113">
        <f t="shared" si="6"/>
        <v>175377.06237424543</v>
      </c>
    </row>
    <row r="84" spans="1:11" x14ac:dyDescent="0.25">
      <c r="A84" s="49">
        <f>'A) Base RI'!A83</f>
        <v>5522</v>
      </c>
      <c r="B84" s="294" t="str">
        <f>'A) Base RI'!B83</f>
        <v>Fey</v>
      </c>
      <c r="C84" s="10">
        <f>'A) Base RI'!AO83</f>
        <v>749</v>
      </c>
      <c r="D84" s="10">
        <f t="shared" si="4"/>
        <v>749</v>
      </c>
      <c r="E84" s="421">
        <f t="shared" si="4"/>
        <v>0</v>
      </c>
      <c r="F84" s="10">
        <f t="shared" si="4"/>
        <v>0</v>
      </c>
      <c r="G84" s="421">
        <f t="shared" si="4"/>
        <v>0</v>
      </c>
      <c r="H84" s="41">
        <f t="shared" si="4"/>
        <v>0</v>
      </c>
      <c r="I84" s="10">
        <f t="shared" si="4"/>
        <v>0</v>
      </c>
      <c r="J84" s="10">
        <f t="shared" si="5"/>
        <v>0</v>
      </c>
      <c r="K84" s="113">
        <f t="shared" si="6"/>
        <v>92871.478873239423</v>
      </c>
    </row>
    <row r="85" spans="1:11" x14ac:dyDescent="0.25">
      <c r="A85" s="49">
        <f>'A) Base RI'!A84</f>
        <v>5523</v>
      </c>
      <c r="B85" s="294" t="str">
        <f>'A) Base RI'!B84</f>
        <v>Froideville</v>
      </c>
      <c r="C85" s="10">
        <f>'A) Base RI'!AO84</f>
        <v>2694</v>
      </c>
      <c r="D85" s="10">
        <f t="shared" si="4"/>
        <v>1000</v>
      </c>
      <c r="E85" s="421">
        <f t="shared" si="4"/>
        <v>1694</v>
      </c>
      <c r="F85" s="10">
        <f t="shared" si="4"/>
        <v>0</v>
      </c>
      <c r="G85" s="421">
        <f t="shared" si="4"/>
        <v>0</v>
      </c>
      <c r="H85" s="41">
        <f t="shared" si="4"/>
        <v>0</v>
      </c>
      <c r="I85" s="10">
        <f t="shared" si="4"/>
        <v>0</v>
      </c>
      <c r="J85" s="10">
        <f t="shared" si="5"/>
        <v>0</v>
      </c>
      <c r="K85" s="113">
        <f t="shared" si="6"/>
        <v>712122.13279678056</v>
      </c>
    </row>
    <row r="86" spans="1:11" x14ac:dyDescent="0.25">
      <c r="A86" s="49">
        <f>'A) Base RI'!A85</f>
        <v>5527</v>
      </c>
      <c r="B86" s="294" t="str">
        <f>'A) Base RI'!B85</f>
        <v>Morrens</v>
      </c>
      <c r="C86" s="10">
        <f>'A) Base RI'!AO85</f>
        <v>1153</v>
      </c>
      <c r="D86" s="10">
        <f t="shared" si="4"/>
        <v>1000</v>
      </c>
      <c r="E86" s="421">
        <f t="shared" si="4"/>
        <v>153</v>
      </c>
      <c r="F86" s="10">
        <f t="shared" si="4"/>
        <v>0</v>
      </c>
      <c r="G86" s="421">
        <f t="shared" si="4"/>
        <v>0</v>
      </c>
      <c r="H86" s="41">
        <f t="shared" si="4"/>
        <v>0</v>
      </c>
      <c r="I86" s="10">
        <f t="shared" si="4"/>
        <v>0</v>
      </c>
      <c r="J86" s="10">
        <f t="shared" si="5"/>
        <v>0</v>
      </c>
      <c r="K86" s="113">
        <f t="shared" si="6"/>
        <v>177112.97786720318</v>
      </c>
    </row>
    <row r="87" spans="1:11" x14ac:dyDescent="0.25">
      <c r="A87" s="49">
        <f>'A) Base RI'!A86</f>
        <v>5529</v>
      </c>
      <c r="B87" s="294" t="str">
        <f>'A) Base RI'!B86</f>
        <v>Oulens-sous-Echallens</v>
      </c>
      <c r="C87" s="10">
        <f>'A) Base RI'!AO86</f>
        <v>618</v>
      </c>
      <c r="D87" s="10">
        <f t="shared" si="4"/>
        <v>618</v>
      </c>
      <c r="E87" s="421">
        <f t="shared" si="4"/>
        <v>0</v>
      </c>
      <c r="F87" s="10">
        <f t="shared" si="4"/>
        <v>0</v>
      </c>
      <c r="G87" s="421">
        <f t="shared" si="4"/>
        <v>0</v>
      </c>
      <c r="H87" s="41">
        <f t="shared" si="4"/>
        <v>0</v>
      </c>
      <c r="I87" s="10">
        <f t="shared" si="4"/>
        <v>0</v>
      </c>
      <c r="J87" s="10">
        <f t="shared" si="5"/>
        <v>0</v>
      </c>
      <c r="K87" s="113">
        <f t="shared" si="6"/>
        <v>76628.269617706217</v>
      </c>
    </row>
    <row r="88" spans="1:11" x14ac:dyDescent="0.25">
      <c r="A88" s="49">
        <f>'A) Base RI'!A87</f>
        <v>5530</v>
      </c>
      <c r="B88" s="294" t="str">
        <f>'A) Base RI'!B87</f>
        <v>Pailly</v>
      </c>
      <c r="C88" s="10">
        <f>'A) Base RI'!AO87</f>
        <v>567</v>
      </c>
      <c r="D88" s="10">
        <f t="shared" si="4"/>
        <v>567</v>
      </c>
      <c r="E88" s="421">
        <f t="shared" si="4"/>
        <v>0</v>
      </c>
      <c r="F88" s="10">
        <f t="shared" si="4"/>
        <v>0</v>
      </c>
      <c r="G88" s="421">
        <f t="shared" si="4"/>
        <v>0</v>
      </c>
      <c r="H88" s="41">
        <f t="shared" si="4"/>
        <v>0</v>
      </c>
      <c r="I88" s="10">
        <f t="shared" si="4"/>
        <v>0</v>
      </c>
      <c r="J88" s="10">
        <f t="shared" si="5"/>
        <v>0</v>
      </c>
      <c r="K88" s="113">
        <f t="shared" si="6"/>
        <v>70304.577464788716</v>
      </c>
    </row>
    <row r="89" spans="1:11" x14ac:dyDescent="0.25">
      <c r="A89" s="49">
        <f>'A) Base RI'!A88</f>
        <v>5531</v>
      </c>
      <c r="B89" s="294" t="str">
        <f>'A) Base RI'!B88</f>
        <v>Penthéréaz</v>
      </c>
      <c r="C89" s="10">
        <f>'A) Base RI'!AO88</f>
        <v>419</v>
      </c>
      <c r="D89" s="10">
        <f t="shared" si="4"/>
        <v>419</v>
      </c>
      <c r="E89" s="421">
        <f t="shared" si="4"/>
        <v>0</v>
      </c>
      <c r="F89" s="10">
        <f t="shared" si="4"/>
        <v>0</v>
      </c>
      <c r="G89" s="421">
        <f t="shared" si="4"/>
        <v>0</v>
      </c>
      <c r="H89" s="41">
        <f t="shared" si="4"/>
        <v>0</v>
      </c>
      <c r="I89" s="10">
        <f t="shared" si="4"/>
        <v>0</v>
      </c>
      <c r="J89" s="10">
        <f t="shared" si="5"/>
        <v>0</v>
      </c>
      <c r="K89" s="113">
        <f t="shared" si="6"/>
        <v>51953.470824949691</v>
      </c>
    </row>
    <row r="90" spans="1:11" x14ac:dyDescent="0.25">
      <c r="A90" s="49">
        <f>'A) Base RI'!A89</f>
        <v>5533</v>
      </c>
      <c r="B90" s="294" t="str">
        <f>'A) Base RI'!B89</f>
        <v>Poliez-Pittet</v>
      </c>
      <c r="C90" s="10">
        <f>'A) Base RI'!AO89</f>
        <v>829</v>
      </c>
      <c r="D90" s="10">
        <f t="shared" si="4"/>
        <v>829</v>
      </c>
      <c r="E90" s="421">
        <f t="shared" si="4"/>
        <v>0</v>
      </c>
      <c r="F90" s="10">
        <f t="shared" si="4"/>
        <v>0</v>
      </c>
      <c r="G90" s="421">
        <f t="shared" si="4"/>
        <v>0</v>
      </c>
      <c r="H90" s="41">
        <f t="shared" si="4"/>
        <v>0</v>
      </c>
      <c r="I90" s="10">
        <f t="shared" si="4"/>
        <v>0</v>
      </c>
      <c r="J90" s="10">
        <f t="shared" si="5"/>
        <v>0</v>
      </c>
      <c r="K90" s="113">
        <f t="shared" si="6"/>
        <v>102790.99597585511</v>
      </c>
    </row>
    <row r="91" spans="1:11" x14ac:dyDescent="0.25">
      <c r="A91" s="49">
        <f>'A) Base RI'!A90</f>
        <v>5534</v>
      </c>
      <c r="B91" s="294" t="str">
        <f>'A) Base RI'!B90</f>
        <v>Rueyres</v>
      </c>
      <c r="C91" s="10">
        <f>'A) Base RI'!AO90</f>
        <v>266</v>
      </c>
      <c r="D91" s="10">
        <f t="shared" si="4"/>
        <v>266</v>
      </c>
      <c r="E91" s="421">
        <f t="shared" si="4"/>
        <v>0</v>
      </c>
      <c r="F91" s="10">
        <f t="shared" si="4"/>
        <v>0</v>
      </c>
      <c r="G91" s="421">
        <f t="shared" si="4"/>
        <v>0</v>
      </c>
      <c r="H91" s="41">
        <f t="shared" si="4"/>
        <v>0</v>
      </c>
      <c r="I91" s="10">
        <f t="shared" si="4"/>
        <v>0</v>
      </c>
      <c r="J91" s="10">
        <f t="shared" si="5"/>
        <v>0</v>
      </c>
      <c r="K91" s="113">
        <f t="shared" si="6"/>
        <v>32982.394366197179</v>
      </c>
    </row>
    <row r="92" spans="1:11" x14ac:dyDescent="0.25">
      <c r="A92" s="49">
        <f>'A) Base RI'!A91</f>
        <v>5535</v>
      </c>
      <c r="B92" s="294" t="str">
        <f>'A) Base RI'!B91</f>
        <v>Saint-Barthélemy</v>
      </c>
      <c r="C92" s="10">
        <f>'A) Base RI'!AO91</f>
        <v>784</v>
      </c>
      <c r="D92" s="10">
        <f t="shared" si="4"/>
        <v>784</v>
      </c>
      <c r="E92" s="421">
        <f t="shared" si="4"/>
        <v>0</v>
      </c>
      <c r="F92" s="10">
        <f t="shared" si="4"/>
        <v>0</v>
      </c>
      <c r="G92" s="421">
        <f t="shared" si="4"/>
        <v>0</v>
      </c>
      <c r="H92" s="41">
        <f t="shared" si="4"/>
        <v>0</v>
      </c>
      <c r="I92" s="10">
        <f t="shared" si="4"/>
        <v>0</v>
      </c>
      <c r="J92" s="10">
        <f t="shared" si="5"/>
        <v>0</v>
      </c>
      <c r="K92" s="113">
        <f t="shared" si="6"/>
        <v>97211.26760563378</v>
      </c>
    </row>
    <row r="93" spans="1:11" x14ac:dyDescent="0.25">
      <c r="A93" s="49">
        <f>'A) Base RI'!A92</f>
        <v>5537</v>
      </c>
      <c r="B93" s="294" t="str">
        <f>'A) Base RI'!B92</f>
        <v>Villars-le-Terroir</v>
      </c>
      <c r="C93" s="10">
        <f>'A) Base RI'!AO92</f>
        <v>1281</v>
      </c>
      <c r="D93" s="10">
        <f t="shared" si="4"/>
        <v>1000</v>
      </c>
      <c r="E93" s="421">
        <f t="shared" si="4"/>
        <v>281</v>
      </c>
      <c r="F93" s="10">
        <f t="shared" si="4"/>
        <v>0</v>
      </c>
      <c r="G93" s="421">
        <f t="shared" si="4"/>
        <v>0</v>
      </c>
      <c r="H93" s="41">
        <f t="shared" si="4"/>
        <v>0</v>
      </c>
      <c r="I93" s="10">
        <f t="shared" si="4"/>
        <v>0</v>
      </c>
      <c r="J93" s="10">
        <f t="shared" si="5"/>
        <v>0</v>
      </c>
      <c r="K93" s="113">
        <f t="shared" si="6"/>
        <v>221552.41448692151</v>
      </c>
    </row>
    <row r="94" spans="1:11" x14ac:dyDescent="0.25">
      <c r="A94" s="49">
        <f>'A) Base RI'!A93</f>
        <v>5539</v>
      </c>
      <c r="B94" s="294" t="str">
        <f>'A) Base RI'!B93</f>
        <v>Vuarrens</v>
      </c>
      <c r="C94" s="10">
        <f>'A) Base RI'!AO93</f>
        <v>1060</v>
      </c>
      <c r="D94" s="10">
        <f t="shared" si="4"/>
        <v>1000</v>
      </c>
      <c r="E94" s="421">
        <f t="shared" si="4"/>
        <v>60</v>
      </c>
      <c r="F94" s="10">
        <f t="shared" si="4"/>
        <v>0</v>
      </c>
      <c r="G94" s="421">
        <f t="shared" si="4"/>
        <v>0</v>
      </c>
      <c r="H94" s="41">
        <f t="shared" si="4"/>
        <v>0</v>
      </c>
      <c r="I94" s="10">
        <f t="shared" si="4"/>
        <v>0</v>
      </c>
      <c r="J94" s="10">
        <f t="shared" si="5"/>
        <v>0</v>
      </c>
      <c r="K94" s="113">
        <f t="shared" si="6"/>
        <v>144824.9496981891</v>
      </c>
    </row>
    <row r="95" spans="1:11" x14ac:dyDescent="0.25">
      <c r="A95" s="49">
        <f>'A) Base RI'!A94</f>
        <v>5540</v>
      </c>
      <c r="B95" s="294" t="str">
        <f>'A) Base RI'!B94</f>
        <v>Montilliez</v>
      </c>
      <c r="C95" s="10">
        <f>'A) Base RI'!AO94</f>
        <v>1857</v>
      </c>
      <c r="D95" s="10">
        <f t="shared" si="4"/>
        <v>1000</v>
      </c>
      <c r="E95" s="421">
        <f t="shared" si="4"/>
        <v>857</v>
      </c>
      <c r="F95" s="10">
        <f t="shared" si="4"/>
        <v>0</v>
      </c>
      <c r="G95" s="421">
        <f t="shared" si="4"/>
        <v>0</v>
      </c>
      <c r="H95" s="41">
        <f t="shared" si="4"/>
        <v>0</v>
      </c>
      <c r="I95" s="10">
        <f t="shared" si="4"/>
        <v>0</v>
      </c>
      <c r="J95" s="10">
        <f t="shared" si="5"/>
        <v>0</v>
      </c>
      <c r="K95" s="113">
        <f t="shared" si="6"/>
        <v>421529.87927565386</v>
      </c>
    </row>
    <row r="96" spans="1:11" x14ac:dyDescent="0.25">
      <c r="A96" s="49">
        <f>'A) Base RI'!A95</f>
        <v>5541</v>
      </c>
      <c r="B96" s="294" t="str">
        <f>'A) Base RI'!B95</f>
        <v>Goumoëns</v>
      </c>
      <c r="C96" s="10">
        <f>'A) Base RI'!AO95</f>
        <v>1153</v>
      </c>
      <c r="D96" s="10">
        <f t="shared" si="4"/>
        <v>1000</v>
      </c>
      <c r="E96" s="421">
        <f t="shared" si="4"/>
        <v>153</v>
      </c>
      <c r="F96" s="10">
        <f t="shared" si="4"/>
        <v>0</v>
      </c>
      <c r="G96" s="421">
        <f t="shared" si="4"/>
        <v>0</v>
      </c>
      <c r="H96" s="41">
        <f t="shared" si="4"/>
        <v>0</v>
      </c>
      <c r="I96" s="10">
        <f t="shared" si="4"/>
        <v>0</v>
      </c>
      <c r="J96" s="10">
        <f t="shared" si="5"/>
        <v>0</v>
      </c>
      <c r="K96" s="113">
        <f t="shared" si="6"/>
        <v>177112.97786720318</v>
      </c>
    </row>
    <row r="97" spans="1:11" x14ac:dyDescent="0.25">
      <c r="A97" s="49">
        <f>'A) Base RI'!A96</f>
        <v>5551</v>
      </c>
      <c r="B97" s="294" t="str">
        <f>'A) Base RI'!B96</f>
        <v>Bonvillars</v>
      </c>
      <c r="C97" s="10">
        <f>'A) Base RI'!AO96</f>
        <v>489</v>
      </c>
      <c r="D97" s="10">
        <f t="shared" si="4"/>
        <v>489</v>
      </c>
      <c r="E97" s="421">
        <f t="shared" si="4"/>
        <v>0</v>
      </c>
      <c r="F97" s="10">
        <f t="shared" si="4"/>
        <v>0</v>
      </c>
      <c r="G97" s="421">
        <f t="shared" si="4"/>
        <v>0</v>
      </c>
      <c r="H97" s="41">
        <f t="shared" si="4"/>
        <v>0</v>
      </c>
      <c r="I97" s="10">
        <f t="shared" si="4"/>
        <v>0</v>
      </c>
      <c r="J97" s="10">
        <f t="shared" si="5"/>
        <v>0</v>
      </c>
      <c r="K97" s="113">
        <f t="shared" si="6"/>
        <v>60633.048289738421</v>
      </c>
    </row>
    <row r="98" spans="1:11" x14ac:dyDescent="0.25">
      <c r="A98" s="49">
        <f>'A) Base RI'!A97</f>
        <v>5552</v>
      </c>
      <c r="B98" s="294" t="str">
        <f>'A) Base RI'!B97</f>
        <v>Bullet</v>
      </c>
      <c r="C98" s="10">
        <f>'A) Base RI'!AO97</f>
        <v>657</v>
      </c>
      <c r="D98" s="10">
        <f t="shared" si="4"/>
        <v>657</v>
      </c>
      <c r="E98" s="421">
        <f t="shared" si="4"/>
        <v>0</v>
      </c>
      <c r="F98" s="10">
        <f t="shared" si="4"/>
        <v>0</v>
      </c>
      <c r="G98" s="421">
        <f t="shared" si="4"/>
        <v>0</v>
      </c>
      <c r="H98" s="41">
        <f t="shared" si="4"/>
        <v>0</v>
      </c>
      <c r="I98" s="10">
        <f t="shared" si="4"/>
        <v>0</v>
      </c>
      <c r="J98" s="10">
        <f t="shared" si="5"/>
        <v>0</v>
      </c>
      <c r="K98" s="113">
        <f t="shared" si="6"/>
        <v>81464.034205231379</v>
      </c>
    </row>
    <row r="99" spans="1:11" x14ac:dyDescent="0.25">
      <c r="A99" s="49">
        <f>'A) Base RI'!A98</f>
        <v>5553</v>
      </c>
      <c r="B99" s="294" t="str">
        <f>'A) Base RI'!B98</f>
        <v>Champagne</v>
      </c>
      <c r="C99" s="10">
        <f>'A) Base RI'!AO98</f>
        <v>1061</v>
      </c>
      <c r="D99" s="10">
        <f t="shared" si="4"/>
        <v>1000</v>
      </c>
      <c r="E99" s="421">
        <f t="shared" si="4"/>
        <v>61</v>
      </c>
      <c r="F99" s="10">
        <f t="shared" si="4"/>
        <v>0</v>
      </c>
      <c r="G99" s="421">
        <f t="shared" si="4"/>
        <v>0</v>
      </c>
      <c r="H99" s="41">
        <f t="shared" si="4"/>
        <v>0</v>
      </c>
      <c r="I99" s="10">
        <f t="shared" si="4"/>
        <v>0</v>
      </c>
      <c r="J99" s="10">
        <f t="shared" si="5"/>
        <v>0</v>
      </c>
      <c r="K99" s="113">
        <f t="shared" si="6"/>
        <v>145172.13279678067</v>
      </c>
    </row>
    <row r="100" spans="1:11" x14ac:dyDescent="0.25">
      <c r="A100" s="49">
        <f>'A) Base RI'!A99</f>
        <v>5554</v>
      </c>
      <c r="B100" s="294" t="str">
        <f>'A) Base RI'!B99</f>
        <v>Concise</v>
      </c>
      <c r="C100" s="10">
        <f>'A) Base RI'!AO99</f>
        <v>1001</v>
      </c>
      <c r="D100" s="10">
        <f t="shared" si="4"/>
        <v>1000</v>
      </c>
      <c r="E100" s="421">
        <f t="shared" si="4"/>
        <v>1</v>
      </c>
      <c r="F100" s="10">
        <f t="shared" si="4"/>
        <v>0</v>
      </c>
      <c r="G100" s="421">
        <f t="shared" si="4"/>
        <v>0</v>
      </c>
      <c r="H100" s="41">
        <f t="shared" si="4"/>
        <v>0</v>
      </c>
      <c r="I100" s="10">
        <f t="shared" si="4"/>
        <v>0</v>
      </c>
      <c r="J100" s="10">
        <f t="shared" si="5"/>
        <v>0</v>
      </c>
      <c r="K100" s="113">
        <f t="shared" si="6"/>
        <v>124341.1468812877</v>
      </c>
    </row>
    <row r="101" spans="1:11" x14ac:dyDescent="0.25">
      <c r="A101" s="49">
        <f>'A) Base RI'!A100</f>
        <v>5555</v>
      </c>
      <c r="B101" s="294" t="str">
        <f>'A) Base RI'!B100</f>
        <v>Corcelles-près-Concise</v>
      </c>
      <c r="C101" s="10">
        <f>'A) Base RI'!AO100</f>
        <v>419</v>
      </c>
      <c r="D101" s="10">
        <f t="shared" si="4"/>
        <v>419</v>
      </c>
      <c r="E101" s="421">
        <f t="shared" si="4"/>
        <v>0</v>
      </c>
      <c r="F101" s="10">
        <f t="shared" si="4"/>
        <v>0</v>
      </c>
      <c r="G101" s="421">
        <f t="shared" si="4"/>
        <v>0</v>
      </c>
      <c r="H101" s="41">
        <f t="shared" si="4"/>
        <v>0</v>
      </c>
      <c r="I101" s="10">
        <f t="shared" si="4"/>
        <v>0</v>
      </c>
      <c r="J101" s="10">
        <f t="shared" si="5"/>
        <v>0</v>
      </c>
      <c r="K101" s="113">
        <f t="shared" si="6"/>
        <v>51953.470824949691</v>
      </c>
    </row>
    <row r="102" spans="1:11" x14ac:dyDescent="0.25">
      <c r="A102" s="49">
        <f>'A) Base RI'!A101</f>
        <v>5556</v>
      </c>
      <c r="B102" s="294" t="str">
        <f>'A) Base RI'!B101</f>
        <v>Fiez</v>
      </c>
      <c r="C102" s="10">
        <f>'A) Base RI'!AO101</f>
        <v>451</v>
      </c>
      <c r="D102" s="10">
        <f t="shared" si="4"/>
        <v>451</v>
      </c>
      <c r="E102" s="421">
        <f t="shared" si="4"/>
        <v>0</v>
      </c>
      <c r="F102" s="10">
        <f t="shared" si="4"/>
        <v>0</v>
      </c>
      <c r="G102" s="421">
        <f t="shared" si="4"/>
        <v>0</v>
      </c>
      <c r="H102" s="41">
        <f t="shared" si="4"/>
        <v>0</v>
      </c>
      <c r="I102" s="10">
        <f t="shared" si="4"/>
        <v>0</v>
      </c>
      <c r="J102" s="10">
        <f t="shared" si="5"/>
        <v>0</v>
      </c>
      <c r="K102" s="113">
        <f t="shared" si="6"/>
        <v>55921.277665995964</v>
      </c>
    </row>
    <row r="103" spans="1:11" x14ac:dyDescent="0.25">
      <c r="A103" s="49">
        <f>'A) Base RI'!A102</f>
        <v>5557</v>
      </c>
      <c r="B103" s="294" t="str">
        <f>'A) Base RI'!B102</f>
        <v>Fontaines-sur-Grandson</v>
      </c>
      <c r="C103" s="10">
        <f>'A) Base RI'!AO102</f>
        <v>219</v>
      </c>
      <c r="D103" s="10">
        <f t="shared" si="4"/>
        <v>219</v>
      </c>
      <c r="E103" s="421">
        <f t="shared" si="4"/>
        <v>0</v>
      </c>
      <c r="F103" s="10">
        <f t="shared" si="4"/>
        <v>0</v>
      </c>
      <c r="G103" s="421">
        <f t="shared" si="4"/>
        <v>0</v>
      </c>
      <c r="H103" s="41">
        <f t="shared" si="4"/>
        <v>0</v>
      </c>
      <c r="I103" s="10">
        <f t="shared" si="4"/>
        <v>0</v>
      </c>
      <c r="J103" s="10">
        <f t="shared" si="5"/>
        <v>0</v>
      </c>
      <c r="K103" s="113">
        <f t="shared" si="6"/>
        <v>27154.67806841046</v>
      </c>
    </row>
    <row r="104" spans="1:11" x14ac:dyDescent="0.25">
      <c r="A104" s="49">
        <f>'A) Base RI'!A103</f>
        <v>5559</v>
      </c>
      <c r="B104" s="294" t="str">
        <f>'A) Base RI'!B103</f>
        <v>Giez</v>
      </c>
      <c r="C104" s="10">
        <f>'A) Base RI'!AO103</f>
        <v>414</v>
      </c>
      <c r="D104" s="10">
        <f t="shared" si="4"/>
        <v>414</v>
      </c>
      <c r="E104" s="421">
        <f t="shared" si="4"/>
        <v>0</v>
      </c>
      <c r="F104" s="10">
        <f t="shared" si="4"/>
        <v>0</v>
      </c>
      <c r="G104" s="421">
        <f t="shared" si="4"/>
        <v>0</v>
      </c>
      <c r="H104" s="41">
        <f t="shared" si="4"/>
        <v>0</v>
      </c>
      <c r="I104" s="10">
        <f t="shared" si="4"/>
        <v>0</v>
      </c>
      <c r="J104" s="10">
        <f t="shared" si="5"/>
        <v>0</v>
      </c>
      <c r="K104" s="113">
        <f t="shared" si="6"/>
        <v>51333.501006036211</v>
      </c>
    </row>
    <row r="105" spans="1:11" x14ac:dyDescent="0.25">
      <c r="A105" s="49">
        <f>'A) Base RI'!A104</f>
        <v>5560</v>
      </c>
      <c r="B105" s="294" t="str">
        <f>'A) Base RI'!B104</f>
        <v>Grandevent</v>
      </c>
      <c r="C105" s="10">
        <f>'A) Base RI'!AO104</f>
        <v>226</v>
      </c>
      <c r="D105" s="10">
        <f t="shared" si="4"/>
        <v>226</v>
      </c>
      <c r="E105" s="421">
        <f t="shared" si="4"/>
        <v>0</v>
      </c>
      <c r="F105" s="10">
        <f t="shared" si="4"/>
        <v>0</v>
      </c>
      <c r="G105" s="421">
        <f t="shared" si="4"/>
        <v>0</v>
      </c>
      <c r="H105" s="41">
        <f t="shared" si="4"/>
        <v>0</v>
      </c>
      <c r="I105" s="10">
        <f t="shared" si="4"/>
        <v>0</v>
      </c>
      <c r="J105" s="10">
        <f t="shared" si="5"/>
        <v>0</v>
      </c>
      <c r="K105" s="113">
        <f t="shared" si="6"/>
        <v>28022.635814889331</v>
      </c>
    </row>
    <row r="106" spans="1:11" x14ac:dyDescent="0.25">
      <c r="A106" s="49">
        <f>'A) Base RI'!A105</f>
        <v>5561</v>
      </c>
      <c r="B106" s="294" t="str">
        <f>'A) Base RI'!B105</f>
        <v>Grandson</v>
      </c>
      <c r="C106" s="10">
        <f>'A) Base RI'!AO105</f>
        <v>3356</v>
      </c>
      <c r="D106" s="10">
        <f t="shared" si="4"/>
        <v>1000</v>
      </c>
      <c r="E106" s="421">
        <f t="shared" si="4"/>
        <v>2000</v>
      </c>
      <c r="F106" s="10">
        <f t="shared" si="4"/>
        <v>356</v>
      </c>
      <c r="G106" s="421">
        <f t="shared" ref="E106:I157" si="7">IF($C106&gt;G$4,IF($C106&lt;G$5,$C106-G$4,G$5-G$4),0)</f>
        <v>0</v>
      </c>
      <c r="H106" s="41">
        <f t="shared" si="7"/>
        <v>0</v>
      </c>
      <c r="I106" s="10">
        <f t="shared" si="7"/>
        <v>0</v>
      </c>
      <c r="J106" s="10">
        <f t="shared" si="5"/>
        <v>0</v>
      </c>
      <c r="K106" s="113">
        <f t="shared" si="6"/>
        <v>994927.56539235404</v>
      </c>
    </row>
    <row r="107" spans="1:11" x14ac:dyDescent="0.25">
      <c r="A107" s="49">
        <f>'A) Base RI'!A106</f>
        <v>5562</v>
      </c>
      <c r="B107" s="294" t="str">
        <f>'A) Base RI'!B106</f>
        <v>Mauborget</v>
      </c>
      <c r="C107" s="10">
        <f>'A) Base RI'!AO106</f>
        <v>128</v>
      </c>
      <c r="D107" s="10">
        <f t="shared" ref="D107:D170" si="8">IF($C107&gt;D$4,IF($C107&lt;D$5,$C107-D$4,D$5-D$4),0)</f>
        <v>128</v>
      </c>
      <c r="E107" s="421">
        <f t="shared" si="7"/>
        <v>0</v>
      </c>
      <c r="F107" s="10">
        <f t="shared" si="7"/>
        <v>0</v>
      </c>
      <c r="G107" s="421">
        <f t="shared" si="7"/>
        <v>0</v>
      </c>
      <c r="H107" s="41">
        <f t="shared" si="7"/>
        <v>0</v>
      </c>
      <c r="I107" s="10">
        <f t="shared" si="7"/>
        <v>0</v>
      </c>
      <c r="J107" s="10">
        <f t="shared" si="5"/>
        <v>0</v>
      </c>
      <c r="K107" s="113">
        <f t="shared" si="6"/>
        <v>15871.227364185108</v>
      </c>
    </row>
    <row r="108" spans="1:11" x14ac:dyDescent="0.25">
      <c r="A108" s="49">
        <f>'A) Base RI'!A107</f>
        <v>5563</v>
      </c>
      <c r="B108" s="294" t="str">
        <f>'A) Base RI'!B107</f>
        <v>Mutrux</v>
      </c>
      <c r="C108" s="10">
        <f>'A) Base RI'!AO107</f>
        <v>149</v>
      </c>
      <c r="D108" s="10">
        <f t="shared" si="8"/>
        <v>149</v>
      </c>
      <c r="E108" s="421">
        <f t="shared" si="7"/>
        <v>0</v>
      </c>
      <c r="F108" s="10">
        <f t="shared" si="7"/>
        <v>0</v>
      </c>
      <c r="G108" s="421">
        <f t="shared" si="7"/>
        <v>0</v>
      </c>
      <c r="H108" s="41">
        <f t="shared" si="7"/>
        <v>0</v>
      </c>
      <c r="I108" s="10">
        <f t="shared" si="7"/>
        <v>0</v>
      </c>
      <c r="J108" s="10">
        <f t="shared" si="5"/>
        <v>0</v>
      </c>
      <c r="K108" s="113">
        <f t="shared" si="6"/>
        <v>18475.100603621726</v>
      </c>
    </row>
    <row r="109" spans="1:11" x14ac:dyDescent="0.25">
      <c r="A109" s="49">
        <f>'A) Base RI'!A108</f>
        <v>5564</v>
      </c>
      <c r="B109" s="294" t="str">
        <f>'A) Base RI'!B108</f>
        <v>Novalles</v>
      </c>
      <c r="C109" s="10">
        <f>'A) Base RI'!AO108</f>
        <v>99</v>
      </c>
      <c r="D109" s="10">
        <f t="shared" si="8"/>
        <v>99</v>
      </c>
      <c r="E109" s="421">
        <f t="shared" si="7"/>
        <v>0</v>
      </c>
      <c r="F109" s="10">
        <f t="shared" si="7"/>
        <v>0</v>
      </c>
      <c r="G109" s="421">
        <f t="shared" si="7"/>
        <v>0</v>
      </c>
      <c r="H109" s="41">
        <f t="shared" si="7"/>
        <v>0</v>
      </c>
      <c r="I109" s="10">
        <f t="shared" si="7"/>
        <v>0</v>
      </c>
      <c r="J109" s="10">
        <f t="shared" si="5"/>
        <v>0</v>
      </c>
      <c r="K109" s="113">
        <f t="shared" si="6"/>
        <v>12275.40241448692</v>
      </c>
    </row>
    <row r="110" spans="1:11" x14ac:dyDescent="0.25">
      <c r="A110" s="49">
        <f>'A) Base RI'!A109</f>
        <v>5565</v>
      </c>
      <c r="B110" s="294" t="str">
        <f>'A) Base RI'!B109</f>
        <v>Onnens</v>
      </c>
      <c r="C110" s="10">
        <f>'A) Base RI'!AO109</f>
        <v>505</v>
      </c>
      <c r="D110" s="10">
        <f t="shared" si="8"/>
        <v>505</v>
      </c>
      <c r="E110" s="421">
        <f t="shared" si="7"/>
        <v>0</v>
      </c>
      <c r="F110" s="10">
        <f t="shared" si="7"/>
        <v>0</v>
      </c>
      <c r="G110" s="421">
        <f t="shared" si="7"/>
        <v>0</v>
      </c>
      <c r="H110" s="41">
        <f t="shared" si="7"/>
        <v>0</v>
      </c>
      <c r="I110" s="10">
        <f t="shared" si="7"/>
        <v>0</v>
      </c>
      <c r="J110" s="10">
        <f t="shared" si="5"/>
        <v>0</v>
      </c>
      <c r="K110" s="113">
        <f t="shared" si="6"/>
        <v>62616.951710261557</v>
      </c>
    </row>
    <row r="111" spans="1:11" x14ac:dyDescent="0.25">
      <c r="A111" s="49">
        <f>'A) Base RI'!A110</f>
        <v>5566</v>
      </c>
      <c r="B111" s="294" t="str">
        <f>'A) Base RI'!B110</f>
        <v>Provence</v>
      </c>
      <c r="C111" s="10">
        <f>'A) Base RI'!AO110</f>
        <v>392</v>
      </c>
      <c r="D111" s="10">
        <f t="shared" si="8"/>
        <v>392</v>
      </c>
      <c r="E111" s="421">
        <f t="shared" si="7"/>
        <v>0</v>
      </c>
      <c r="F111" s="10">
        <f t="shared" si="7"/>
        <v>0</v>
      </c>
      <c r="G111" s="421">
        <f t="shared" si="7"/>
        <v>0</v>
      </c>
      <c r="H111" s="41">
        <f t="shared" si="7"/>
        <v>0</v>
      </c>
      <c r="I111" s="10">
        <f t="shared" si="7"/>
        <v>0</v>
      </c>
      <c r="J111" s="10">
        <f t="shared" si="5"/>
        <v>0</v>
      </c>
      <c r="K111" s="113">
        <f t="shared" si="6"/>
        <v>48605.63380281689</v>
      </c>
    </row>
    <row r="112" spans="1:11" x14ac:dyDescent="0.25">
      <c r="A112" s="49">
        <f>'A) Base RI'!A111</f>
        <v>5568</v>
      </c>
      <c r="B112" s="294" t="str">
        <f>'A) Base RI'!B111</f>
        <v>Sainte-Croix</v>
      </c>
      <c r="C112" s="10">
        <f>'A) Base RI'!AO111</f>
        <v>4917</v>
      </c>
      <c r="D112" s="10">
        <f t="shared" si="8"/>
        <v>1000</v>
      </c>
      <c r="E112" s="421">
        <f t="shared" si="7"/>
        <v>2000</v>
      </c>
      <c r="F112" s="10">
        <f t="shared" si="7"/>
        <v>1917</v>
      </c>
      <c r="G112" s="421">
        <f t="shared" si="7"/>
        <v>0</v>
      </c>
      <c r="H112" s="41">
        <f t="shared" si="7"/>
        <v>0</v>
      </c>
      <c r="I112" s="10">
        <f t="shared" si="7"/>
        <v>0</v>
      </c>
      <c r="J112" s="10">
        <f t="shared" si="5"/>
        <v>0</v>
      </c>
      <c r="K112" s="113">
        <f t="shared" si="6"/>
        <v>1769145.8752515088</v>
      </c>
    </row>
    <row r="113" spans="1:11" x14ac:dyDescent="0.25">
      <c r="A113" s="49">
        <f>'A) Base RI'!A112</f>
        <v>5571</v>
      </c>
      <c r="B113" s="294" t="str">
        <f>'A) Base RI'!B112</f>
        <v>Tévenon</v>
      </c>
      <c r="C113" s="10">
        <f>'A) Base RI'!AO112</f>
        <v>894</v>
      </c>
      <c r="D113" s="10">
        <f t="shared" si="8"/>
        <v>894</v>
      </c>
      <c r="E113" s="421">
        <f t="shared" si="7"/>
        <v>0</v>
      </c>
      <c r="F113" s="10">
        <f t="shared" si="7"/>
        <v>0</v>
      </c>
      <c r="G113" s="421">
        <f t="shared" si="7"/>
        <v>0</v>
      </c>
      <c r="H113" s="41">
        <f t="shared" si="7"/>
        <v>0</v>
      </c>
      <c r="I113" s="10">
        <f t="shared" si="7"/>
        <v>0</v>
      </c>
      <c r="J113" s="10">
        <f t="shared" si="5"/>
        <v>0</v>
      </c>
      <c r="K113" s="113">
        <f t="shared" si="6"/>
        <v>110850.60362173036</v>
      </c>
    </row>
    <row r="114" spans="1:11" x14ac:dyDescent="0.25">
      <c r="A114" s="49">
        <f>'A) Base RI'!A113</f>
        <v>5581</v>
      </c>
      <c r="B114" s="294" t="str">
        <f>'A) Base RI'!B113</f>
        <v>Belmont-sur-Lausanne</v>
      </c>
      <c r="C114" s="10">
        <f>'A) Base RI'!AO113</f>
        <v>3756</v>
      </c>
      <c r="D114" s="10">
        <f t="shared" si="8"/>
        <v>1000</v>
      </c>
      <c r="E114" s="421">
        <f t="shared" si="7"/>
        <v>2000</v>
      </c>
      <c r="F114" s="10">
        <f t="shared" si="7"/>
        <v>756</v>
      </c>
      <c r="G114" s="421">
        <f t="shared" si="7"/>
        <v>0</v>
      </c>
      <c r="H114" s="41">
        <f t="shared" si="7"/>
        <v>0</v>
      </c>
      <c r="I114" s="10">
        <f t="shared" si="7"/>
        <v>0</v>
      </c>
      <c r="J114" s="10">
        <f t="shared" si="5"/>
        <v>0</v>
      </c>
      <c r="K114" s="113">
        <f t="shared" si="6"/>
        <v>1193317.907444668</v>
      </c>
    </row>
    <row r="115" spans="1:11" x14ac:dyDescent="0.25">
      <c r="A115" s="49">
        <f>'A) Base RI'!A114</f>
        <v>5582</v>
      </c>
      <c r="B115" s="294" t="str">
        <f>'A) Base RI'!B114</f>
        <v>Cheseaux-sur-Lausanne</v>
      </c>
      <c r="C115" s="10">
        <f>'A) Base RI'!AO114</f>
        <v>4367</v>
      </c>
      <c r="D115" s="10">
        <f t="shared" si="8"/>
        <v>1000</v>
      </c>
      <c r="E115" s="421">
        <f t="shared" si="7"/>
        <v>2000</v>
      </c>
      <c r="F115" s="10">
        <f t="shared" si="7"/>
        <v>1367</v>
      </c>
      <c r="G115" s="421">
        <f t="shared" si="7"/>
        <v>0</v>
      </c>
      <c r="H115" s="41">
        <f t="shared" si="7"/>
        <v>0</v>
      </c>
      <c r="I115" s="10">
        <f t="shared" si="7"/>
        <v>0</v>
      </c>
      <c r="J115" s="10">
        <f t="shared" si="5"/>
        <v>0</v>
      </c>
      <c r="K115" s="113">
        <f t="shared" si="6"/>
        <v>1496359.1549295774</v>
      </c>
    </row>
    <row r="116" spans="1:11" x14ac:dyDescent="0.25">
      <c r="A116" s="49">
        <f>'A) Base RI'!A115</f>
        <v>5583</v>
      </c>
      <c r="B116" s="294" t="str">
        <f>'A) Base RI'!B115</f>
        <v>Crissier</v>
      </c>
      <c r="C116" s="10">
        <f>'A) Base RI'!AO115</f>
        <v>8700</v>
      </c>
      <c r="D116" s="10">
        <f t="shared" si="8"/>
        <v>1000</v>
      </c>
      <c r="E116" s="421">
        <f t="shared" si="7"/>
        <v>2000</v>
      </c>
      <c r="F116" s="10">
        <f t="shared" si="7"/>
        <v>2000</v>
      </c>
      <c r="G116" s="421">
        <f t="shared" si="7"/>
        <v>3700</v>
      </c>
      <c r="H116" s="41">
        <f t="shared" si="7"/>
        <v>0</v>
      </c>
      <c r="I116" s="10">
        <f t="shared" si="7"/>
        <v>0</v>
      </c>
      <c r="J116" s="10">
        <f t="shared" si="5"/>
        <v>0</v>
      </c>
      <c r="K116" s="113">
        <f t="shared" si="6"/>
        <v>4012444.6680080481</v>
      </c>
    </row>
    <row r="117" spans="1:11" x14ac:dyDescent="0.25">
      <c r="A117" s="49">
        <f>'A) Base RI'!A116</f>
        <v>5584</v>
      </c>
      <c r="B117" s="294" t="str">
        <f>'A) Base RI'!B116</f>
        <v>Epalinges</v>
      </c>
      <c r="C117" s="10">
        <f>'A) Base RI'!AO116</f>
        <v>9755</v>
      </c>
      <c r="D117" s="10">
        <f t="shared" si="8"/>
        <v>1000</v>
      </c>
      <c r="E117" s="421">
        <f t="shared" si="7"/>
        <v>2000</v>
      </c>
      <c r="F117" s="10">
        <f t="shared" si="7"/>
        <v>2000</v>
      </c>
      <c r="G117" s="421">
        <f t="shared" si="7"/>
        <v>4000</v>
      </c>
      <c r="H117" s="41">
        <f t="shared" si="7"/>
        <v>755</v>
      </c>
      <c r="I117" s="10">
        <f t="shared" si="7"/>
        <v>0</v>
      </c>
      <c r="J117" s="10">
        <f t="shared" si="5"/>
        <v>0</v>
      </c>
      <c r="K117" s="113">
        <f t="shared" si="6"/>
        <v>4827580.9859154923</v>
      </c>
    </row>
    <row r="118" spans="1:11" x14ac:dyDescent="0.25">
      <c r="A118" s="49">
        <f>'A) Base RI'!A117</f>
        <v>5585</v>
      </c>
      <c r="B118" s="294" t="str">
        <f>'A) Base RI'!B117</f>
        <v>Jouxtens-Mézery</v>
      </c>
      <c r="C118" s="10">
        <f>'A) Base RI'!AO117</f>
        <v>1411</v>
      </c>
      <c r="D118" s="10">
        <f t="shared" si="8"/>
        <v>1000</v>
      </c>
      <c r="E118" s="421">
        <f t="shared" si="7"/>
        <v>411</v>
      </c>
      <c r="F118" s="10">
        <f t="shared" si="7"/>
        <v>0</v>
      </c>
      <c r="G118" s="421">
        <f t="shared" si="7"/>
        <v>0</v>
      </c>
      <c r="H118" s="41">
        <f t="shared" si="7"/>
        <v>0</v>
      </c>
      <c r="I118" s="10">
        <f t="shared" si="7"/>
        <v>0</v>
      </c>
      <c r="J118" s="10">
        <f t="shared" si="5"/>
        <v>0</v>
      </c>
      <c r="K118" s="113">
        <f t="shared" si="6"/>
        <v>266686.21730382292</v>
      </c>
    </row>
    <row r="119" spans="1:11" x14ac:dyDescent="0.25">
      <c r="A119" s="49">
        <f>'A) Base RI'!A118</f>
        <v>5586</v>
      </c>
      <c r="B119" s="294" t="str">
        <f>'A) Base RI'!B118</f>
        <v>Lausanne</v>
      </c>
      <c r="C119" s="10">
        <f>'A) Base RI'!AO118</f>
        <v>140430</v>
      </c>
      <c r="D119" s="10">
        <f t="shared" si="8"/>
        <v>1000</v>
      </c>
      <c r="E119" s="421">
        <f t="shared" si="7"/>
        <v>2000</v>
      </c>
      <c r="F119" s="10">
        <f t="shared" si="7"/>
        <v>2000</v>
      </c>
      <c r="G119" s="421">
        <f t="shared" si="7"/>
        <v>4000</v>
      </c>
      <c r="H119" s="41">
        <f t="shared" si="7"/>
        <v>3000</v>
      </c>
      <c r="I119" s="10">
        <f t="shared" si="7"/>
        <v>3000</v>
      </c>
      <c r="J119" s="10">
        <f t="shared" si="5"/>
        <v>125430</v>
      </c>
      <c r="K119" s="113">
        <f t="shared" si="6"/>
        <v>140337856.13682091</v>
      </c>
    </row>
    <row r="120" spans="1:11" x14ac:dyDescent="0.25">
      <c r="A120" s="49">
        <f>'A) Base RI'!A119</f>
        <v>5587</v>
      </c>
      <c r="B120" s="294" t="str">
        <f>'A) Base RI'!B119</f>
        <v>Le Mont-sur-Lausanne</v>
      </c>
      <c r="C120" s="10">
        <f>'A) Base RI'!AO119</f>
        <v>9136</v>
      </c>
      <c r="D120" s="10">
        <f t="shared" si="8"/>
        <v>1000</v>
      </c>
      <c r="E120" s="421">
        <f t="shared" si="7"/>
        <v>2000</v>
      </c>
      <c r="F120" s="10">
        <f t="shared" si="7"/>
        <v>2000</v>
      </c>
      <c r="G120" s="421">
        <f t="shared" si="7"/>
        <v>4000</v>
      </c>
      <c r="H120" s="41">
        <f t="shared" si="7"/>
        <v>136</v>
      </c>
      <c r="I120" s="10">
        <f t="shared" si="7"/>
        <v>0</v>
      </c>
      <c r="J120" s="10">
        <f t="shared" si="5"/>
        <v>0</v>
      </c>
      <c r="K120" s="113">
        <f t="shared" si="6"/>
        <v>4305665.5935613681</v>
      </c>
    </row>
    <row r="121" spans="1:11" x14ac:dyDescent="0.25">
      <c r="A121" s="49">
        <f>'A) Base RI'!A120</f>
        <v>5588</v>
      </c>
      <c r="B121" s="294" t="str">
        <f>'A) Base RI'!B120</f>
        <v>Paudex</v>
      </c>
      <c r="C121" s="10">
        <f>'A) Base RI'!AO120</f>
        <v>1538</v>
      </c>
      <c r="D121" s="10">
        <f t="shared" si="8"/>
        <v>1000</v>
      </c>
      <c r="E121" s="421">
        <f t="shared" si="7"/>
        <v>538</v>
      </c>
      <c r="F121" s="10">
        <f t="shared" si="7"/>
        <v>0</v>
      </c>
      <c r="G121" s="421">
        <f t="shared" si="7"/>
        <v>0</v>
      </c>
      <c r="H121" s="41">
        <f t="shared" si="7"/>
        <v>0</v>
      </c>
      <c r="I121" s="10">
        <f t="shared" si="7"/>
        <v>0</v>
      </c>
      <c r="J121" s="10">
        <f t="shared" si="5"/>
        <v>0</v>
      </c>
      <c r="K121" s="113">
        <f t="shared" si="6"/>
        <v>310778.47082494968</v>
      </c>
    </row>
    <row r="122" spans="1:11" x14ac:dyDescent="0.25">
      <c r="A122" s="49">
        <f>'A) Base RI'!A121</f>
        <v>5589</v>
      </c>
      <c r="B122" s="294" t="str">
        <f>'A) Base RI'!B121</f>
        <v>Prilly</v>
      </c>
      <c r="C122" s="10">
        <f>'A) Base RI'!AO121</f>
        <v>12383</v>
      </c>
      <c r="D122" s="10">
        <f t="shared" si="8"/>
        <v>1000</v>
      </c>
      <c r="E122" s="421">
        <f t="shared" si="7"/>
        <v>2000</v>
      </c>
      <c r="F122" s="10">
        <f t="shared" si="7"/>
        <v>2000</v>
      </c>
      <c r="G122" s="421">
        <f t="shared" si="7"/>
        <v>4000</v>
      </c>
      <c r="H122" s="41">
        <f t="shared" si="7"/>
        <v>3000</v>
      </c>
      <c r="I122" s="10">
        <f t="shared" si="7"/>
        <v>383</v>
      </c>
      <c r="J122" s="10">
        <f t="shared" si="5"/>
        <v>0</v>
      </c>
      <c r="K122" s="113">
        <f t="shared" si="6"/>
        <v>7100390.3420523126</v>
      </c>
    </row>
    <row r="123" spans="1:11" x14ac:dyDescent="0.25">
      <c r="A123" s="49">
        <f>'A) Base RI'!A122</f>
        <v>5590</v>
      </c>
      <c r="B123" s="294" t="str">
        <f>'A) Base RI'!B122</f>
        <v>Pully</v>
      </c>
      <c r="C123" s="10">
        <f>'A) Base RI'!AO122</f>
        <v>18688</v>
      </c>
      <c r="D123" s="10">
        <f t="shared" si="8"/>
        <v>1000</v>
      </c>
      <c r="E123" s="421">
        <f t="shared" si="7"/>
        <v>2000</v>
      </c>
      <c r="F123" s="10">
        <f t="shared" si="7"/>
        <v>2000</v>
      </c>
      <c r="G123" s="421">
        <f t="shared" si="7"/>
        <v>4000</v>
      </c>
      <c r="H123" s="41">
        <f t="shared" si="7"/>
        <v>3000</v>
      </c>
      <c r="I123" s="10">
        <f t="shared" si="7"/>
        <v>3000</v>
      </c>
      <c r="J123" s="10">
        <f t="shared" si="5"/>
        <v>3688</v>
      </c>
      <c r="K123" s="113">
        <f t="shared" si="6"/>
        <v>13537561.77062374</v>
      </c>
    </row>
    <row r="124" spans="1:11" x14ac:dyDescent="0.25">
      <c r="A124" s="49">
        <f>'A) Base RI'!A123</f>
        <v>5591</v>
      </c>
      <c r="B124" s="294" t="str">
        <f>'A) Base RI'!B123</f>
        <v>Renens</v>
      </c>
      <c r="C124" s="10">
        <f>'A) Base RI'!AO123</f>
        <v>20863</v>
      </c>
      <c r="D124" s="10">
        <f t="shared" si="8"/>
        <v>1000</v>
      </c>
      <c r="E124" s="421">
        <f t="shared" si="7"/>
        <v>2000</v>
      </c>
      <c r="F124" s="10">
        <f t="shared" si="7"/>
        <v>2000</v>
      </c>
      <c r="G124" s="421">
        <f t="shared" si="7"/>
        <v>4000</v>
      </c>
      <c r="H124" s="41">
        <f t="shared" si="7"/>
        <v>3000</v>
      </c>
      <c r="I124" s="10">
        <f t="shared" si="7"/>
        <v>3000</v>
      </c>
      <c r="J124" s="10">
        <f t="shared" si="5"/>
        <v>5863</v>
      </c>
      <c r="K124" s="113">
        <f t="shared" si="6"/>
        <v>15802931.488933599</v>
      </c>
    </row>
    <row r="125" spans="1:11" x14ac:dyDescent="0.25">
      <c r="A125" s="49">
        <f>'A) Base RI'!A124</f>
        <v>5592</v>
      </c>
      <c r="B125" s="294" t="str">
        <f>'A) Base RI'!B124</f>
        <v>Romanel-sur-Lausanne</v>
      </c>
      <c r="C125" s="10">
        <f>'A) Base RI'!AO124</f>
        <v>3247</v>
      </c>
      <c r="D125" s="10">
        <f t="shared" si="8"/>
        <v>1000</v>
      </c>
      <c r="E125" s="421">
        <f t="shared" si="7"/>
        <v>2000</v>
      </c>
      <c r="F125" s="10">
        <f t="shared" si="7"/>
        <v>247</v>
      </c>
      <c r="G125" s="421">
        <f t="shared" si="7"/>
        <v>0</v>
      </c>
      <c r="H125" s="41">
        <f t="shared" si="7"/>
        <v>0</v>
      </c>
      <c r="I125" s="10">
        <f t="shared" si="7"/>
        <v>0</v>
      </c>
      <c r="J125" s="10">
        <f t="shared" si="5"/>
        <v>0</v>
      </c>
      <c r="K125" s="113">
        <f t="shared" si="6"/>
        <v>940866.19718309853</v>
      </c>
    </row>
    <row r="126" spans="1:11" x14ac:dyDescent="0.25">
      <c r="A126" s="49">
        <f>'A) Base RI'!A125</f>
        <v>5601</v>
      </c>
      <c r="B126" s="294" t="str">
        <f>'A) Base RI'!B125</f>
        <v>Chexbres</v>
      </c>
      <c r="C126" s="10">
        <f>'A) Base RI'!AO125</f>
        <v>2251</v>
      </c>
      <c r="D126" s="10">
        <f t="shared" si="8"/>
        <v>1000</v>
      </c>
      <c r="E126" s="421">
        <f t="shared" si="7"/>
        <v>1251</v>
      </c>
      <c r="F126" s="10">
        <f t="shared" si="7"/>
        <v>0</v>
      </c>
      <c r="G126" s="421">
        <f t="shared" si="7"/>
        <v>0</v>
      </c>
      <c r="H126" s="41">
        <f t="shared" si="7"/>
        <v>0</v>
      </c>
      <c r="I126" s="10">
        <f t="shared" si="7"/>
        <v>0</v>
      </c>
      <c r="J126" s="10">
        <f t="shared" si="5"/>
        <v>0</v>
      </c>
      <c r="K126" s="113">
        <f t="shared" si="6"/>
        <v>558320.02012072422</v>
      </c>
    </row>
    <row r="127" spans="1:11" x14ac:dyDescent="0.25">
      <c r="A127" s="49">
        <f>'A) Base RI'!A126</f>
        <v>5604</v>
      </c>
      <c r="B127" s="294" t="str">
        <f>'A) Base RI'!B126</f>
        <v>Forel (Lavaux)</v>
      </c>
      <c r="C127" s="10">
        <f>'A) Base RI'!AO126</f>
        <v>2105</v>
      </c>
      <c r="D127" s="10">
        <f t="shared" si="8"/>
        <v>1000</v>
      </c>
      <c r="E127" s="421">
        <f t="shared" si="7"/>
        <v>1105</v>
      </c>
      <c r="F127" s="10">
        <f t="shared" si="7"/>
        <v>0</v>
      </c>
      <c r="G127" s="421">
        <f t="shared" si="7"/>
        <v>0</v>
      </c>
      <c r="H127" s="41">
        <f t="shared" si="7"/>
        <v>0</v>
      </c>
      <c r="I127" s="10">
        <f t="shared" si="7"/>
        <v>0</v>
      </c>
      <c r="J127" s="10">
        <f t="shared" si="5"/>
        <v>0</v>
      </c>
      <c r="K127" s="113">
        <f t="shared" si="6"/>
        <v>507631.2877263581</v>
      </c>
    </row>
    <row r="128" spans="1:11" x14ac:dyDescent="0.25">
      <c r="A128" s="49">
        <f>'A) Base RI'!A127</f>
        <v>5606</v>
      </c>
      <c r="B128" s="294" t="str">
        <f>'A) Base RI'!B127</f>
        <v>Lutry</v>
      </c>
      <c r="C128" s="10">
        <f>'A) Base RI'!AO127</f>
        <v>10455</v>
      </c>
      <c r="D128" s="10">
        <f t="shared" si="8"/>
        <v>1000</v>
      </c>
      <c r="E128" s="421">
        <f t="shared" si="7"/>
        <v>2000</v>
      </c>
      <c r="F128" s="10">
        <f t="shared" si="7"/>
        <v>2000</v>
      </c>
      <c r="G128" s="421">
        <f t="shared" si="7"/>
        <v>4000</v>
      </c>
      <c r="H128" s="41">
        <f t="shared" si="7"/>
        <v>1455</v>
      </c>
      <c r="I128" s="10">
        <f t="shared" si="7"/>
        <v>0</v>
      </c>
      <c r="J128" s="10">
        <f t="shared" si="5"/>
        <v>0</v>
      </c>
      <c r="K128" s="113">
        <f t="shared" si="6"/>
        <v>5417792.2535211258</v>
      </c>
    </row>
    <row r="129" spans="1:11" x14ac:dyDescent="0.25">
      <c r="A129" s="49">
        <f>'A) Base RI'!A128</f>
        <v>5607</v>
      </c>
      <c r="B129" s="294" t="str">
        <f>'A) Base RI'!B128</f>
        <v>Puidoux</v>
      </c>
      <c r="C129" s="10">
        <f>'A) Base RI'!AO128</f>
        <v>2894</v>
      </c>
      <c r="D129" s="10">
        <f t="shared" si="8"/>
        <v>1000</v>
      </c>
      <c r="E129" s="421">
        <f t="shared" si="7"/>
        <v>1894</v>
      </c>
      <c r="F129" s="10">
        <f t="shared" si="7"/>
        <v>0</v>
      </c>
      <c r="G129" s="421">
        <f t="shared" si="7"/>
        <v>0</v>
      </c>
      <c r="H129" s="41">
        <f t="shared" si="7"/>
        <v>0</v>
      </c>
      <c r="I129" s="10">
        <f t="shared" si="7"/>
        <v>0</v>
      </c>
      <c r="J129" s="10">
        <f t="shared" si="5"/>
        <v>0</v>
      </c>
      <c r="K129" s="113">
        <f t="shared" si="6"/>
        <v>781558.75251509051</v>
      </c>
    </row>
    <row r="130" spans="1:11" x14ac:dyDescent="0.25">
      <c r="A130" s="49">
        <f>'A) Base RI'!A129</f>
        <v>5609</v>
      </c>
      <c r="B130" s="294" t="str">
        <f>'A) Base RI'!B129</f>
        <v>Rivaz</v>
      </c>
      <c r="C130" s="10">
        <f>'A) Base RI'!AO129</f>
        <v>337</v>
      </c>
      <c r="D130" s="10">
        <f t="shared" si="8"/>
        <v>337</v>
      </c>
      <c r="E130" s="421">
        <f t="shared" si="7"/>
        <v>0</v>
      </c>
      <c r="F130" s="10">
        <f t="shared" si="7"/>
        <v>0</v>
      </c>
      <c r="G130" s="421">
        <f t="shared" si="7"/>
        <v>0</v>
      </c>
      <c r="H130" s="41">
        <f t="shared" si="7"/>
        <v>0</v>
      </c>
      <c r="I130" s="10">
        <f t="shared" si="7"/>
        <v>0</v>
      </c>
      <c r="J130" s="10">
        <f t="shared" si="5"/>
        <v>0</v>
      </c>
      <c r="K130" s="113">
        <f t="shared" si="6"/>
        <v>41785.965794768606</v>
      </c>
    </row>
    <row r="131" spans="1:11" x14ac:dyDescent="0.25">
      <c r="A131" s="49">
        <f>'A) Base RI'!A130</f>
        <v>5610</v>
      </c>
      <c r="B131" s="294" t="str">
        <f>'A) Base RI'!B130</f>
        <v>St-Saphorin (Lavaux)</v>
      </c>
      <c r="C131" s="10">
        <f>'A) Base RI'!AO130</f>
        <v>388</v>
      </c>
      <c r="D131" s="10">
        <f t="shared" si="8"/>
        <v>388</v>
      </c>
      <c r="E131" s="421">
        <f t="shared" si="7"/>
        <v>0</v>
      </c>
      <c r="F131" s="10">
        <f t="shared" si="7"/>
        <v>0</v>
      </c>
      <c r="G131" s="421">
        <f t="shared" si="7"/>
        <v>0</v>
      </c>
      <c r="H131" s="41">
        <f t="shared" si="7"/>
        <v>0</v>
      </c>
      <c r="I131" s="10">
        <f t="shared" si="7"/>
        <v>0</v>
      </c>
      <c r="J131" s="10">
        <f t="shared" si="5"/>
        <v>0</v>
      </c>
      <c r="K131" s="113">
        <f t="shared" si="6"/>
        <v>48109.657947686108</v>
      </c>
    </row>
    <row r="132" spans="1:11" x14ac:dyDescent="0.25">
      <c r="A132" s="49">
        <f>'A) Base RI'!A131</f>
        <v>5611</v>
      </c>
      <c r="B132" s="294" t="str">
        <f>'A) Base RI'!B131</f>
        <v>Savigny</v>
      </c>
      <c r="C132" s="10">
        <f>'A) Base RI'!AO131</f>
        <v>3348</v>
      </c>
      <c r="D132" s="10">
        <f t="shared" si="8"/>
        <v>1000</v>
      </c>
      <c r="E132" s="421">
        <f t="shared" si="7"/>
        <v>2000</v>
      </c>
      <c r="F132" s="10">
        <f t="shared" si="7"/>
        <v>348</v>
      </c>
      <c r="G132" s="421">
        <f t="shared" si="7"/>
        <v>0</v>
      </c>
      <c r="H132" s="41">
        <f t="shared" si="7"/>
        <v>0</v>
      </c>
      <c r="I132" s="10">
        <f t="shared" si="7"/>
        <v>0</v>
      </c>
      <c r="J132" s="10">
        <f t="shared" si="5"/>
        <v>0</v>
      </c>
      <c r="K132" s="113">
        <f t="shared" si="6"/>
        <v>990959.75855130772</v>
      </c>
    </row>
    <row r="133" spans="1:11" x14ac:dyDescent="0.25">
      <c r="A133" s="49">
        <f>'A) Base RI'!A132</f>
        <v>5613</v>
      </c>
      <c r="B133" s="294" t="str">
        <f>'A) Base RI'!B132</f>
        <v>Bourg-en-Lavaux</v>
      </c>
      <c r="C133" s="10">
        <f>'A) Base RI'!AO132</f>
        <v>5389</v>
      </c>
      <c r="D133" s="10">
        <f t="shared" si="8"/>
        <v>1000</v>
      </c>
      <c r="E133" s="421">
        <f t="shared" si="7"/>
        <v>2000</v>
      </c>
      <c r="F133" s="10">
        <f t="shared" si="7"/>
        <v>2000</v>
      </c>
      <c r="G133" s="421">
        <f t="shared" si="7"/>
        <v>389</v>
      </c>
      <c r="H133" s="41">
        <f t="shared" si="7"/>
        <v>0</v>
      </c>
      <c r="I133" s="10">
        <f t="shared" si="7"/>
        <v>0</v>
      </c>
      <c r="J133" s="10">
        <f t="shared" si="5"/>
        <v>0</v>
      </c>
      <c r="K133" s="113">
        <f t="shared" si="6"/>
        <v>2041833.4004024144</v>
      </c>
    </row>
    <row r="134" spans="1:11" x14ac:dyDescent="0.25">
      <c r="A134" s="49">
        <f>'A) Base RI'!A133</f>
        <v>5621</v>
      </c>
      <c r="B134" s="294" t="str">
        <f>'A) Base RI'!B133</f>
        <v>Aclens</v>
      </c>
      <c r="C134" s="10">
        <f>'A) Base RI'!AO133</f>
        <v>528</v>
      </c>
      <c r="D134" s="10">
        <f t="shared" si="8"/>
        <v>528</v>
      </c>
      <c r="E134" s="421">
        <f t="shared" si="7"/>
        <v>0</v>
      </c>
      <c r="F134" s="10">
        <f t="shared" si="7"/>
        <v>0</v>
      </c>
      <c r="G134" s="421">
        <f t="shared" si="7"/>
        <v>0</v>
      </c>
      <c r="H134" s="41">
        <f t="shared" si="7"/>
        <v>0</v>
      </c>
      <c r="I134" s="10">
        <f t="shared" si="7"/>
        <v>0</v>
      </c>
      <c r="J134" s="10">
        <f t="shared" si="5"/>
        <v>0</v>
      </c>
      <c r="K134" s="113">
        <f t="shared" si="6"/>
        <v>65468.812877263568</v>
      </c>
    </row>
    <row r="135" spans="1:11" x14ac:dyDescent="0.25">
      <c r="A135" s="49">
        <f>'A) Base RI'!A134</f>
        <v>5622</v>
      </c>
      <c r="B135" s="294" t="str">
        <f>'A) Base RI'!B134</f>
        <v>Bremblens</v>
      </c>
      <c r="C135" s="10">
        <f>'A) Base RI'!AO134</f>
        <v>583</v>
      </c>
      <c r="D135" s="10">
        <f t="shared" si="8"/>
        <v>583</v>
      </c>
      <c r="E135" s="421">
        <f t="shared" si="7"/>
        <v>0</v>
      </c>
      <c r="F135" s="10">
        <f t="shared" si="7"/>
        <v>0</v>
      </c>
      <c r="G135" s="421">
        <f t="shared" si="7"/>
        <v>0</v>
      </c>
      <c r="H135" s="41">
        <f t="shared" si="7"/>
        <v>0</v>
      </c>
      <c r="I135" s="10">
        <f t="shared" si="7"/>
        <v>0</v>
      </c>
      <c r="J135" s="10">
        <f t="shared" si="5"/>
        <v>0</v>
      </c>
      <c r="K135" s="113">
        <f t="shared" si="6"/>
        <v>72288.480885311859</v>
      </c>
    </row>
    <row r="136" spans="1:11" x14ac:dyDescent="0.25">
      <c r="A136" s="49">
        <f>'A) Base RI'!A135</f>
        <v>5623</v>
      </c>
      <c r="B136" s="294" t="str">
        <f>'A) Base RI'!B135</f>
        <v>Buchillon</v>
      </c>
      <c r="C136" s="10">
        <f>'A) Base RI'!AO135</f>
        <v>686</v>
      </c>
      <c r="D136" s="10">
        <f t="shared" si="8"/>
        <v>686</v>
      </c>
      <c r="E136" s="421">
        <f t="shared" si="7"/>
        <v>0</v>
      </c>
      <c r="F136" s="10">
        <f t="shared" si="7"/>
        <v>0</v>
      </c>
      <c r="G136" s="421">
        <f t="shared" si="7"/>
        <v>0</v>
      </c>
      <c r="H136" s="41">
        <f t="shared" si="7"/>
        <v>0</v>
      </c>
      <c r="I136" s="10">
        <f t="shared" si="7"/>
        <v>0</v>
      </c>
      <c r="J136" s="10">
        <f t="shared" si="5"/>
        <v>0</v>
      </c>
      <c r="K136" s="113">
        <f t="shared" si="6"/>
        <v>85059.859154929567</v>
      </c>
    </row>
    <row r="137" spans="1:11" x14ac:dyDescent="0.25">
      <c r="A137" s="49">
        <f>'A) Base RI'!A136</f>
        <v>5624</v>
      </c>
      <c r="B137" s="294" t="str">
        <f>'A) Base RI'!B136</f>
        <v>Bussigny</v>
      </c>
      <c r="C137" s="10">
        <f>'A) Base RI'!AO136</f>
        <v>9614</v>
      </c>
      <c r="D137" s="10">
        <f t="shared" si="8"/>
        <v>1000</v>
      </c>
      <c r="E137" s="421">
        <f t="shared" si="7"/>
        <v>2000</v>
      </c>
      <c r="F137" s="10">
        <f t="shared" si="7"/>
        <v>2000</v>
      </c>
      <c r="G137" s="421">
        <f t="shared" si="7"/>
        <v>4000</v>
      </c>
      <c r="H137" s="41">
        <f t="shared" si="7"/>
        <v>614</v>
      </c>
      <c r="I137" s="10">
        <f t="shared" si="7"/>
        <v>0</v>
      </c>
      <c r="J137" s="10">
        <f t="shared" ref="J137:J200" si="9">IF(C137&gt;$J$4,C137-$J$4,0)</f>
        <v>0</v>
      </c>
      <c r="K137" s="113">
        <f t="shared" ref="K137:K200" si="10">(D137*D$7)+(E137*E$7)+(F137*F$7)+(G137*G$7)+(H137*H$7)+(I137*I$7)+(J137*J$7)</f>
        <v>4708695.573440643</v>
      </c>
    </row>
    <row r="138" spans="1:11" x14ac:dyDescent="0.25">
      <c r="A138" s="49">
        <f>'A) Base RI'!A137</f>
        <v>5625</v>
      </c>
      <c r="B138" s="294" t="str">
        <f>'A) Base RI'!B137</f>
        <v>Bussy-Chardonney</v>
      </c>
      <c r="C138" s="10">
        <f>'A) Base RI'!AO137</f>
        <v>404</v>
      </c>
      <c r="D138" s="10">
        <f t="shared" si="8"/>
        <v>404</v>
      </c>
      <c r="E138" s="421">
        <f t="shared" si="7"/>
        <v>0</v>
      </c>
      <c r="F138" s="10">
        <f t="shared" si="7"/>
        <v>0</v>
      </c>
      <c r="G138" s="421">
        <f t="shared" si="7"/>
        <v>0</v>
      </c>
      <c r="H138" s="41">
        <f t="shared" si="7"/>
        <v>0</v>
      </c>
      <c r="I138" s="10">
        <f t="shared" si="7"/>
        <v>0</v>
      </c>
      <c r="J138" s="10">
        <f t="shared" si="9"/>
        <v>0</v>
      </c>
      <c r="K138" s="113">
        <f t="shared" si="10"/>
        <v>50093.561368209244</v>
      </c>
    </row>
    <row r="139" spans="1:11" x14ac:dyDescent="0.25">
      <c r="A139" s="49">
        <f>'A) Base RI'!A138</f>
        <v>5627</v>
      </c>
      <c r="B139" s="294" t="str">
        <f>'A) Base RI'!B138</f>
        <v>Chavannes-près-Renens</v>
      </c>
      <c r="C139" s="10">
        <f>'A) Base RI'!AO138</f>
        <v>8487</v>
      </c>
      <c r="D139" s="10">
        <f t="shared" si="8"/>
        <v>1000</v>
      </c>
      <c r="E139" s="421">
        <f t="shared" si="7"/>
        <v>2000</v>
      </c>
      <c r="F139" s="10">
        <f t="shared" si="7"/>
        <v>2000</v>
      </c>
      <c r="G139" s="421">
        <f t="shared" si="7"/>
        <v>3487</v>
      </c>
      <c r="H139" s="41">
        <f t="shared" si="7"/>
        <v>0</v>
      </c>
      <c r="I139" s="10">
        <f t="shared" si="7"/>
        <v>0</v>
      </c>
      <c r="J139" s="10">
        <f t="shared" si="9"/>
        <v>0</v>
      </c>
      <c r="K139" s="113">
        <f t="shared" si="10"/>
        <v>3885673.2394366194</v>
      </c>
    </row>
    <row r="140" spans="1:11" x14ac:dyDescent="0.25">
      <c r="A140" s="49">
        <f>'A) Base RI'!A139</f>
        <v>5628</v>
      </c>
      <c r="B140" s="294" t="str">
        <f>'A) Base RI'!B139</f>
        <v>Chigny</v>
      </c>
      <c r="C140" s="10">
        <f>'A) Base RI'!AO139</f>
        <v>396</v>
      </c>
      <c r="D140" s="10">
        <f t="shared" si="8"/>
        <v>396</v>
      </c>
      <c r="E140" s="421">
        <f t="shared" si="7"/>
        <v>0</v>
      </c>
      <c r="F140" s="10">
        <f t="shared" si="7"/>
        <v>0</v>
      </c>
      <c r="G140" s="421">
        <f t="shared" si="7"/>
        <v>0</v>
      </c>
      <c r="H140" s="41">
        <f t="shared" si="7"/>
        <v>0</v>
      </c>
      <c r="I140" s="10">
        <f t="shared" si="7"/>
        <v>0</v>
      </c>
      <c r="J140" s="10">
        <f t="shared" si="9"/>
        <v>0</v>
      </c>
      <c r="K140" s="113">
        <f t="shared" si="10"/>
        <v>49101.60965794768</v>
      </c>
    </row>
    <row r="141" spans="1:11" x14ac:dyDescent="0.25">
      <c r="A141" s="49">
        <f>'A) Base RI'!A140</f>
        <v>5629</v>
      </c>
      <c r="B141" s="294" t="str">
        <f>'A) Base RI'!B140</f>
        <v>Clarmont</v>
      </c>
      <c r="C141" s="10">
        <f>'A) Base RI'!AO140</f>
        <v>201</v>
      </c>
      <c r="D141" s="10">
        <f t="shared" si="8"/>
        <v>201</v>
      </c>
      <c r="E141" s="421">
        <f t="shared" si="7"/>
        <v>0</v>
      </c>
      <c r="F141" s="10">
        <f t="shared" si="7"/>
        <v>0</v>
      </c>
      <c r="G141" s="421">
        <f t="shared" si="7"/>
        <v>0</v>
      </c>
      <c r="H141" s="41">
        <f t="shared" si="7"/>
        <v>0</v>
      </c>
      <c r="I141" s="10">
        <f t="shared" si="7"/>
        <v>0</v>
      </c>
      <c r="J141" s="10">
        <f t="shared" si="9"/>
        <v>0</v>
      </c>
      <c r="K141" s="113">
        <f t="shared" si="10"/>
        <v>24922.786720321928</v>
      </c>
    </row>
    <row r="142" spans="1:11" x14ac:dyDescent="0.25">
      <c r="A142" s="49">
        <f>'A) Base RI'!A141</f>
        <v>5631</v>
      </c>
      <c r="B142" s="294" t="str">
        <f>'A) Base RI'!B141</f>
        <v>Denens</v>
      </c>
      <c r="C142" s="10">
        <f>'A) Base RI'!AO141</f>
        <v>742</v>
      </c>
      <c r="D142" s="10">
        <f t="shared" si="8"/>
        <v>742</v>
      </c>
      <c r="E142" s="421">
        <f t="shared" si="7"/>
        <v>0</v>
      </c>
      <c r="F142" s="10">
        <f t="shared" si="7"/>
        <v>0</v>
      </c>
      <c r="G142" s="421">
        <f t="shared" si="7"/>
        <v>0</v>
      </c>
      <c r="H142" s="41">
        <f t="shared" si="7"/>
        <v>0</v>
      </c>
      <c r="I142" s="10">
        <f t="shared" si="7"/>
        <v>0</v>
      </c>
      <c r="J142" s="10">
        <f t="shared" si="9"/>
        <v>0</v>
      </c>
      <c r="K142" s="113">
        <f t="shared" si="10"/>
        <v>92003.521126760548</v>
      </c>
    </row>
    <row r="143" spans="1:11" x14ac:dyDescent="0.25">
      <c r="A143" s="49">
        <f>'A) Base RI'!A142</f>
        <v>5632</v>
      </c>
      <c r="B143" s="294" t="str">
        <f>'A) Base RI'!B142</f>
        <v>Denges</v>
      </c>
      <c r="C143" s="10">
        <f>'A) Base RI'!AO142</f>
        <v>1730</v>
      </c>
      <c r="D143" s="10">
        <f t="shared" si="8"/>
        <v>1000</v>
      </c>
      <c r="E143" s="421">
        <f t="shared" si="7"/>
        <v>730</v>
      </c>
      <c r="F143" s="10">
        <f t="shared" si="7"/>
        <v>0</v>
      </c>
      <c r="G143" s="421">
        <f t="shared" si="7"/>
        <v>0</v>
      </c>
      <c r="H143" s="41">
        <f t="shared" si="7"/>
        <v>0</v>
      </c>
      <c r="I143" s="10">
        <f t="shared" si="7"/>
        <v>0</v>
      </c>
      <c r="J143" s="10">
        <f t="shared" si="9"/>
        <v>0</v>
      </c>
      <c r="K143" s="113">
        <f t="shared" si="10"/>
        <v>377437.62575452711</v>
      </c>
    </row>
    <row r="144" spans="1:11" x14ac:dyDescent="0.25">
      <c r="A144" s="49">
        <f>'A) Base RI'!A143</f>
        <v>5633</v>
      </c>
      <c r="B144" s="294" t="str">
        <f>'A) Base RI'!B143</f>
        <v>Echandens</v>
      </c>
      <c r="C144" s="10">
        <f>'A) Base RI'!AO143</f>
        <v>2743</v>
      </c>
      <c r="D144" s="10">
        <f t="shared" si="8"/>
        <v>1000</v>
      </c>
      <c r="E144" s="421">
        <f t="shared" si="7"/>
        <v>1743</v>
      </c>
      <c r="F144" s="10">
        <f t="shared" si="7"/>
        <v>0</v>
      </c>
      <c r="G144" s="421">
        <f t="shared" si="7"/>
        <v>0</v>
      </c>
      <c r="H144" s="41">
        <f t="shared" si="7"/>
        <v>0</v>
      </c>
      <c r="I144" s="10">
        <f t="shared" si="7"/>
        <v>0</v>
      </c>
      <c r="J144" s="10">
        <f t="shared" si="9"/>
        <v>0</v>
      </c>
      <c r="K144" s="113">
        <f t="shared" si="10"/>
        <v>729134.10462776653</v>
      </c>
    </row>
    <row r="145" spans="1:11" x14ac:dyDescent="0.25">
      <c r="A145" s="49">
        <f>'A) Base RI'!A144</f>
        <v>5634</v>
      </c>
      <c r="B145" s="294" t="str">
        <f>'A) Base RI'!B144</f>
        <v>Echichens</v>
      </c>
      <c r="C145" s="10">
        <f>'A) Base RI'!AO144</f>
        <v>3127</v>
      </c>
      <c r="D145" s="10">
        <f t="shared" si="8"/>
        <v>1000</v>
      </c>
      <c r="E145" s="421">
        <f t="shared" si="7"/>
        <v>2000</v>
      </c>
      <c r="F145" s="10">
        <f t="shared" si="7"/>
        <v>127</v>
      </c>
      <c r="G145" s="421">
        <f t="shared" si="7"/>
        <v>0</v>
      </c>
      <c r="H145" s="41">
        <f t="shared" si="7"/>
        <v>0</v>
      </c>
      <c r="I145" s="10">
        <f t="shared" si="7"/>
        <v>0</v>
      </c>
      <c r="J145" s="10">
        <f t="shared" si="9"/>
        <v>0</v>
      </c>
      <c r="K145" s="113">
        <f t="shared" si="10"/>
        <v>881349.09456740436</v>
      </c>
    </row>
    <row r="146" spans="1:11" x14ac:dyDescent="0.25">
      <c r="A146" s="49">
        <f>'A) Base RI'!A145</f>
        <v>5635</v>
      </c>
      <c r="B146" s="294" t="str">
        <f>'A) Base RI'!B145</f>
        <v>Ecublens</v>
      </c>
      <c r="C146" s="10">
        <f>'A) Base RI'!AO145</f>
        <v>13164</v>
      </c>
      <c r="D146" s="10">
        <f t="shared" si="8"/>
        <v>1000</v>
      </c>
      <c r="E146" s="421">
        <f t="shared" si="7"/>
        <v>2000</v>
      </c>
      <c r="F146" s="10">
        <f t="shared" si="7"/>
        <v>2000</v>
      </c>
      <c r="G146" s="421">
        <f t="shared" si="7"/>
        <v>4000</v>
      </c>
      <c r="H146" s="41">
        <f t="shared" si="7"/>
        <v>3000</v>
      </c>
      <c r="I146" s="10">
        <f t="shared" si="7"/>
        <v>1164</v>
      </c>
      <c r="J146" s="10">
        <f t="shared" si="9"/>
        <v>0</v>
      </c>
      <c r="K146" s="113">
        <f t="shared" si="10"/>
        <v>7875104.627766598</v>
      </c>
    </row>
    <row r="147" spans="1:11" x14ac:dyDescent="0.25">
      <c r="A147" s="49">
        <f>'A) Base RI'!A146</f>
        <v>5636</v>
      </c>
      <c r="B147" s="294" t="str">
        <f>'A) Base RI'!B146</f>
        <v>Etoy</v>
      </c>
      <c r="C147" s="10">
        <f>'A) Base RI'!AO146</f>
        <v>2909</v>
      </c>
      <c r="D147" s="10">
        <f t="shared" si="8"/>
        <v>1000</v>
      </c>
      <c r="E147" s="421">
        <f t="shared" si="7"/>
        <v>1909</v>
      </c>
      <c r="F147" s="10">
        <f t="shared" si="7"/>
        <v>0</v>
      </c>
      <c r="G147" s="421">
        <f t="shared" si="7"/>
        <v>0</v>
      </c>
      <c r="H147" s="41">
        <f t="shared" si="7"/>
        <v>0</v>
      </c>
      <c r="I147" s="10">
        <f t="shared" si="7"/>
        <v>0</v>
      </c>
      <c r="J147" s="10">
        <f t="shared" si="9"/>
        <v>0</v>
      </c>
      <c r="K147" s="113">
        <f t="shared" si="10"/>
        <v>786766.4989939637</v>
      </c>
    </row>
    <row r="148" spans="1:11" x14ac:dyDescent="0.25">
      <c r="A148" s="49">
        <f>'A) Base RI'!A147</f>
        <v>5637</v>
      </c>
      <c r="B148" s="294" t="str">
        <f>'A) Base RI'!B147</f>
        <v>Lavigny</v>
      </c>
      <c r="C148" s="10">
        <f>'A) Base RI'!AO147</f>
        <v>1008</v>
      </c>
      <c r="D148" s="10">
        <f t="shared" si="8"/>
        <v>1000</v>
      </c>
      <c r="E148" s="421">
        <f t="shared" si="7"/>
        <v>8</v>
      </c>
      <c r="F148" s="10">
        <f t="shared" si="7"/>
        <v>0</v>
      </c>
      <c r="G148" s="421">
        <f t="shared" si="7"/>
        <v>0</v>
      </c>
      <c r="H148" s="41">
        <f t="shared" si="7"/>
        <v>0</v>
      </c>
      <c r="I148" s="10">
        <f t="shared" si="7"/>
        <v>0</v>
      </c>
      <c r="J148" s="10">
        <f t="shared" si="9"/>
        <v>0</v>
      </c>
      <c r="K148" s="113">
        <f t="shared" si="10"/>
        <v>126771.42857142855</v>
      </c>
    </row>
    <row r="149" spans="1:11" x14ac:dyDescent="0.25">
      <c r="A149" s="49">
        <f>'A) Base RI'!A148</f>
        <v>5638</v>
      </c>
      <c r="B149" s="294" t="str">
        <f>'A) Base RI'!B148</f>
        <v>Lonay</v>
      </c>
      <c r="C149" s="10">
        <f>'A) Base RI'!AO148</f>
        <v>2679</v>
      </c>
      <c r="D149" s="10">
        <f t="shared" si="8"/>
        <v>1000</v>
      </c>
      <c r="E149" s="421">
        <f t="shared" si="7"/>
        <v>1679</v>
      </c>
      <c r="F149" s="10">
        <f t="shared" si="7"/>
        <v>0</v>
      </c>
      <c r="G149" s="421">
        <f t="shared" si="7"/>
        <v>0</v>
      </c>
      <c r="H149" s="41">
        <f t="shared" si="7"/>
        <v>0</v>
      </c>
      <c r="I149" s="10">
        <f t="shared" si="7"/>
        <v>0</v>
      </c>
      <c r="J149" s="10">
        <f t="shared" si="9"/>
        <v>0</v>
      </c>
      <c r="K149" s="113">
        <f t="shared" si="10"/>
        <v>706914.38631790737</v>
      </c>
    </row>
    <row r="150" spans="1:11" x14ac:dyDescent="0.25">
      <c r="A150" s="49">
        <f>'A) Base RI'!A149</f>
        <v>5639</v>
      </c>
      <c r="B150" s="294" t="str">
        <f>'A) Base RI'!B149</f>
        <v>Lully</v>
      </c>
      <c r="C150" s="10">
        <f>'A) Base RI'!AO149</f>
        <v>825</v>
      </c>
      <c r="D150" s="10">
        <f t="shared" si="8"/>
        <v>825</v>
      </c>
      <c r="E150" s="421">
        <f t="shared" si="7"/>
        <v>0</v>
      </c>
      <c r="F150" s="10">
        <f t="shared" si="7"/>
        <v>0</v>
      </c>
      <c r="G150" s="421">
        <f t="shared" si="7"/>
        <v>0</v>
      </c>
      <c r="H150" s="41">
        <f t="shared" si="7"/>
        <v>0</v>
      </c>
      <c r="I150" s="10">
        <f t="shared" si="7"/>
        <v>0</v>
      </c>
      <c r="J150" s="10">
        <f t="shared" si="9"/>
        <v>0</v>
      </c>
      <c r="K150" s="113">
        <f t="shared" si="10"/>
        <v>102295.02012072432</v>
      </c>
    </row>
    <row r="151" spans="1:11" x14ac:dyDescent="0.25">
      <c r="A151" s="49">
        <f>'A) Base RI'!A150</f>
        <v>5640</v>
      </c>
      <c r="B151" s="294" t="str">
        <f>'A) Base RI'!B150</f>
        <v>Lussy-sur-Morges</v>
      </c>
      <c r="C151" s="10">
        <f>'A) Base RI'!AO150</f>
        <v>722</v>
      </c>
      <c r="D151" s="10">
        <f t="shared" si="8"/>
        <v>722</v>
      </c>
      <c r="E151" s="421">
        <f t="shared" si="7"/>
        <v>0</v>
      </c>
      <c r="F151" s="10">
        <f t="shared" si="7"/>
        <v>0</v>
      </c>
      <c r="G151" s="421">
        <f t="shared" si="7"/>
        <v>0</v>
      </c>
      <c r="H151" s="41">
        <f t="shared" si="7"/>
        <v>0</v>
      </c>
      <c r="I151" s="10">
        <f t="shared" si="7"/>
        <v>0</v>
      </c>
      <c r="J151" s="10">
        <f t="shared" si="9"/>
        <v>0</v>
      </c>
      <c r="K151" s="113">
        <f t="shared" si="10"/>
        <v>89523.641851106629</v>
      </c>
    </row>
    <row r="152" spans="1:11" x14ac:dyDescent="0.25">
      <c r="A152" s="49">
        <f>'A) Base RI'!A151</f>
        <v>5642</v>
      </c>
      <c r="B152" s="294" t="str">
        <f>'A) Base RI'!B151</f>
        <v>Morges</v>
      </c>
      <c r="C152" s="10">
        <f>'A) Base RI'!AO151</f>
        <v>16095</v>
      </c>
      <c r="D152" s="10">
        <f t="shared" si="8"/>
        <v>1000</v>
      </c>
      <c r="E152" s="421">
        <f t="shared" si="7"/>
        <v>2000</v>
      </c>
      <c r="F152" s="10">
        <f t="shared" si="7"/>
        <v>2000</v>
      </c>
      <c r="G152" s="421">
        <f t="shared" si="7"/>
        <v>4000</v>
      </c>
      <c r="H152" s="41">
        <f t="shared" si="7"/>
        <v>3000</v>
      </c>
      <c r="I152" s="10">
        <f t="shared" si="7"/>
        <v>3000</v>
      </c>
      <c r="J152" s="10">
        <f t="shared" si="9"/>
        <v>1095</v>
      </c>
      <c r="K152" s="113">
        <f t="shared" si="10"/>
        <v>10836824.446680078</v>
      </c>
    </row>
    <row r="153" spans="1:11" x14ac:dyDescent="0.25">
      <c r="A153" s="49">
        <f>'A) Base RI'!A152</f>
        <v>5643</v>
      </c>
      <c r="B153" s="294" t="str">
        <f>'A) Base RI'!B152</f>
        <v>Préverenges</v>
      </c>
      <c r="C153" s="10">
        <f>'A) Base RI'!AO152</f>
        <v>5241</v>
      </c>
      <c r="D153" s="10">
        <f t="shared" si="8"/>
        <v>1000</v>
      </c>
      <c r="E153" s="421">
        <f t="shared" si="7"/>
        <v>2000</v>
      </c>
      <c r="F153" s="10">
        <f t="shared" si="7"/>
        <v>2000</v>
      </c>
      <c r="G153" s="421">
        <f t="shared" si="7"/>
        <v>241</v>
      </c>
      <c r="H153" s="41">
        <f t="shared" si="7"/>
        <v>0</v>
      </c>
      <c r="I153" s="10">
        <f t="shared" si="7"/>
        <v>0</v>
      </c>
      <c r="J153" s="10">
        <f t="shared" si="9"/>
        <v>0</v>
      </c>
      <c r="K153" s="113">
        <f t="shared" si="10"/>
        <v>1953748.088531187</v>
      </c>
    </row>
    <row r="154" spans="1:11" x14ac:dyDescent="0.25">
      <c r="A154" s="49">
        <f>'A) Base RI'!A153</f>
        <v>5644</v>
      </c>
      <c r="B154" s="294" t="str">
        <f>'A) Base RI'!B153</f>
        <v>Reverolle</v>
      </c>
      <c r="C154" s="10">
        <f>'A) Base RI'!AO153</f>
        <v>407</v>
      </c>
      <c r="D154" s="10">
        <f t="shared" si="8"/>
        <v>407</v>
      </c>
      <c r="E154" s="421">
        <f t="shared" si="7"/>
        <v>0</v>
      </c>
      <c r="F154" s="10">
        <f t="shared" si="7"/>
        <v>0</v>
      </c>
      <c r="G154" s="421">
        <f t="shared" si="7"/>
        <v>0</v>
      </c>
      <c r="H154" s="41">
        <f t="shared" si="7"/>
        <v>0</v>
      </c>
      <c r="I154" s="10">
        <f t="shared" si="7"/>
        <v>0</v>
      </c>
      <c r="J154" s="10">
        <f t="shared" si="9"/>
        <v>0</v>
      </c>
      <c r="K154" s="113">
        <f t="shared" si="10"/>
        <v>50465.543259557337</v>
      </c>
    </row>
    <row r="155" spans="1:11" x14ac:dyDescent="0.25">
      <c r="A155" s="49">
        <f>'A) Base RI'!A154</f>
        <v>5645</v>
      </c>
      <c r="B155" s="294" t="str">
        <f>'A) Base RI'!B154</f>
        <v>Romanel-sur-Morges</v>
      </c>
      <c r="C155" s="10">
        <f>'A) Base RI'!AO154</f>
        <v>466</v>
      </c>
      <c r="D155" s="10">
        <f t="shared" si="8"/>
        <v>466</v>
      </c>
      <c r="E155" s="421">
        <f t="shared" si="7"/>
        <v>0</v>
      </c>
      <c r="F155" s="10">
        <f t="shared" si="7"/>
        <v>0</v>
      </c>
      <c r="G155" s="421">
        <f t="shared" si="7"/>
        <v>0</v>
      </c>
      <c r="H155" s="41">
        <f t="shared" si="7"/>
        <v>0</v>
      </c>
      <c r="I155" s="10">
        <f t="shared" si="7"/>
        <v>0</v>
      </c>
      <c r="J155" s="10">
        <f t="shared" si="9"/>
        <v>0</v>
      </c>
      <c r="K155" s="113">
        <f t="shared" si="10"/>
        <v>57781.18712273641</v>
      </c>
    </row>
    <row r="156" spans="1:11" x14ac:dyDescent="0.25">
      <c r="A156" s="49">
        <f>'A) Base RI'!A155</f>
        <v>5646</v>
      </c>
      <c r="B156" s="294" t="str">
        <f>'A) Base RI'!B155</f>
        <v>Saint-Prex</v>
      </c>
      <c r="C156" s="10">
        <f>'A) Base RI'!AO155</f>
        <v>5865</v>
      </c>
      <c r="D156" s="10">
        <f t="shared" si="8"/>
        <v>1000</v>
      </c>
      <c r="E156" s="421">
        <f t="shared" si="7"/>
        <v>2000</v>
      </c>
      <c r="F156" s="10">
        <f t="shared" si="7"/>
        <v>2000</v>
      </c>
      <c r="G156" s="421">
        <f t="shared" si="7"/>
        <v>865</v>
      </c>
      <c r="H156" s="41">
        <f t="shared" si="7"/>
        <v>0</v>
      </c>
      <c r="I156" s="10">
        <f t="shared" si="7"/>
        <v>0</v>
      </c>
      <c r="J156" s="10">
        <f t="shared" si="9"/>
        <v>0</v>
      </c>
      <c r="K156" s="113">
        <f t="shared" si="10"/>
        <v>2325134.8088531187</v>
      </c>
    </row>
    <row r="157" spans="1:11" x14ac:dyDescent="0.25">
      <c r="A157" s="49">
        <f>'A) Base RI'!A156</f>
        <v>5648</v>
      </c>
      <c r="B157" s="294" t="str">
        <f>'A) Base RI'!B156</f>
        <v>Saint-Sulpice</v>
      </c>
      <c r="C157" s="10">
        <f>'A) Base RI'!AO156</f>
        <v>4909</v>
      </c>
      <c r="D157" s="10">
        <f t="shared" si="8"/>
        <v>1000</v>
      </c>
      <c r="E157" s="421">
        <f t="shared" si="7"/>
        <v>2000</v>
      </c>
      <c r="F157" s="10">
        <f t="shared" si="7"/>
        <v>1909</v>
      </c>
      <c r="G157" s="421">
        <f t="shared" ref="E157:I208" si="11">IF($C157&gt;G$4,IF($C157&lt;G$5,$C157-G$4,G$5-G$4),0)</f>
        <v>0</v>
      </c>
      <c r="H157" s="41">
        <f t="shared" si="11"/>
        <v>0</v>
      </c>
      <c r="I157" s="10">
        <f t="shared" si="11"/>
        <v>0</v>
      </c>
      <c r="J157" s="10">
        <f t="shared" si="9"/>
        <v>0</v>
      </c>
      <c r="K157" s="113">
        <f t="shared" si="10"/>
        <v>1765178.0684104627</v>
      </c>
    </row>
    <row r="158" spans="1:11" x14ac:dyDescent="0.25">
      <c r="A158" s="49">
        <f>'A) Base RI'!A157</f>
        <v>5649</v>
      </c>
      <c r="B158" s="294" t="str">
        <f>'A) Base RI'!B157</f>
        <v>Tolochenaz</v>
      </c>
      <c r="C158" s="10">
        <f>'A) Base RI'!AO157</f>
        <v>1889</v>
      </c>
      <c r="D158" s="10">
        <f t="shared" si="8"/>
        <v>1000</v>
      </c>
      <c r="E158" s="421">
        <f t="shared" si="11"/>
        <v>889</v>
      </c>
      <c r="F158" s="10">
        <f t="shared" si="11"/>
        <v>0</v>
      </c>
      <c r="G158" s="421">
        <f t="shared" si="11"/>
        <v>0</v>
      </c>
      <c r="H158" s="41">
        <f t="shared" si="11"/>
        <v>0</v>
      </c>
      <c r="I158" s="10">
        <f t="shared" si="11"/>
        <v>0</v>
      </c>
      <c r="J158" s="10">
        <f t="shared" si="9"/>
        <v>0</v>
      </c>
      <c r="K158" s="113">
        <f t="shared" si="10"/>
        <v>432639.73843058344</v>
      </c>
    </row>
    <row r="159" spans="1:11" x14ac:dyDescent="0.25">
      <c r="A159" s="49">
        <f>'A) Base RI'!A158</f>
        <v>5650</v>
      </c>
      <c r="B159" s="294" t="str">
        <f>'A) Base RI'!B158</f>
        <v>Vaux-sur-Morges</v>
      </c>
      <c r="C159" s="10">
        <f>'A) Base RI'!AO158</f>
        <v>194</v>
      </c>
      <c r="D159" s="10">
        <f t="shared" si="8"/>
        <v>194</v>
      </c>
      <c r="E159" s="421">
        <f t="shared" si="11"/>
        <v>0</v>
      </c>
      <c r="F159" s="10">
        <f t="shared" si="11"/>
        <v>0</v>
      </c>
      <c r="G159" s="421">
        <f t="shared" si="11"/>
        <v>0</v>
      </c>
      <c r="H159" s="41">
        <f t="shared" si="11"/>
        <v>0</v>
      </c>
      <c r="I159" s="10">
        <f t="shared" si="11"/>
        <v>0</v>
      </c>
      <c r="J159" s="10">
        <f t="shared" si="9"/>
        <v>0</v>
      </c>
      <c r="K159" s="113">
        <f t="shared" si="10"/>
        <v>24054.828973843054</v>
      </c>
    </row>
    <row r="160" spans="1:11" x14ac:dyDescent="0.25">
      <c r="A160" s="49">
        <f>'A) Base RI'!A159</f>
        <v>5651</v>
      </c>
      <c r="B160" s="294" t="str">
        <f>'A) Base RI'!B159</f>
        <v>Villars-Sainte-Croix</v>
      </c>
      <c r="C160" s="10">
        <f>'A) Base RI'!AO159</f>
        <v>958</v>
      </c>
      <c r="D160" s="10">
        <f t="shared" si="8"/>
        <v>958</v>
      </c>
      <c r="E160" s="421">
        <f t="shared" si="11"/>
        <v>0</v>
      </c>
      <c r="F160" s="10">
        <f t="shared" si="11"/>
        <v>0</v>
      </c>
      <c r="G160" s="421">
        <f t="shared" si="11"/>
        <v>0</v>
      </c>
      <c r="H160" s="41">
        <f t="shared" si="11"/>
        <v>0</v>
      </c>
      <c r="I160" s="10">
        <f t="shared" si="11"/>
        <v>0</v>
      </c>
      <c r="J160" s="10">
        <f t="shared" si="9"/>
        <v>0</v>
      </c>
      <c r="K160" s="113">
        <f t="shared" si="10"/>
        <v>118786.21730382292</v>
      </c>
    </row>
    <row r="161" spans="1:11" x14ac:dyDescent="0.25">
      <c r="A161" s="49">
        <f>'A) Base RI'!A160</f>
        <v>5652</v>
      </c>
      <c r="B161" s="294" t="str">
        <f>'A) Base RI'!B160</f>
        <v>Villars-sous-Yens</v>
      </c>
      <c r="C161" s="10">
        <f>'A) Base RI'!AO160</f>
        <v>615</v>
      </c>
      <c r="D161" s="10">
        <f t="shared" si="8"/>
        <v>615</v>
      </c>
      <c r="E161" s="421">
        <f t="shared" si="11"/>
        <v>0</v>
      </c>
      <c r="F161" s="10">
        <f t="shared" si="11"/>
        <v>0</v>
      </c>
      <c r="G161" s="421">
        <f t="shared" si="11"/>
        <v>0</v>
      </c>
      <c r="H161" s="41">
        <f t="shared" si="11"/>
        <v>0</v>
      </c>
      <c r="I161" s="10">
        <f t="shared" si="11"/>
        <v>0</v>
      </c>
      <c r="J161" s="10">
        <f t="shared" si="9"/>
        <v>0</v>
      </c>
      <c r="K161" s="113">
        <f t="shared" si="10"/>
        <v>76256.287726358132</v>
      </c>
    </row>
    <row r="162" spans="1:11" x14ac:dyDescent="0.25">
      <c r="A162" s="49">
        <f>'A) Base RI'!A161</f>
        <v>5653</v>
      </c>
      <c r="B162" s="294" t="str">
        <f>'A) Base RI'!B161</f>
        <v>Vufflens-le-Château</v>
      </c>
      <c r="C162" s="10">
        <f>'A) Base RI'!AO161</f>
        <v>870</v>
      </c>
      <c r="D162" s="10">
        <f t="shared" si="8"/>
        <v>870</v>
      </c>
      <c r="E162" s="421">
        <f t="shared" si="11"/>
        <v>0</v>
      </c>
      <c r="F162" s="10">
        <f t="shared" si="11"/>
        <v>0</v>
      </c>
      <c r="G162" s="421">
        <f t="shared" si="11"/>
        <v>0</v>
      </c>
      <c r="H162" s="41">
        <f t="shared" si="11"/>
        <v>0</v>
      </c>
      <c r="I162" s="10">
        <f t="shared" si="11"/>
        <v>0</v>
      </c>
      <c r="J162" s="10">
        <f t="shared" si="9"/>
        <v>0</v>
      </c>
      <c r="K162" s="113">
        <f t="shared" si="10"/>
        <v>107874.74849094565</v>
      </c>
    </row>
    <row r="163" spans="1:11" x14ac:dyDescent="0.25">
      <c r="A163" s="49">
        <f>'A) Base RI'!A162</f>
        <v>5654</v>
      </c>
      <c r="B163" s="294" t="str">
        <f>'A) Base RI'!B162</f>
        <v>Vullierens</v>
      </c>
      <c r="C163" s="10">
        <f>'A) Base RI'!AO162</f>
        <v>542</v>
      </c>
      <c r="D163" s="10">
        <f t="shared" si="8"/>
        <v>542</v>
      </c>
      <c r="E163" s="421">
        <f t="shared" si="11"/>
        <v>0</v>
      </c>
      <c r="F163" s="10">
        <f t="shared" si="11"/>
        <v>0</v>
      </c>
      <c r="G163" s="421">
        <f t="shared" si="11"/>
        <v>0</v>
      </c>
      <c r="H163" s="41">
        <f t="shared" si="11"/>
        <v>0</v>
      </c>
      <c r="I163" s="10">
        <f t="shared" si="11"/>
        <v>0</v>
      </c>
      <c r="J163" s="10">
        <f t="shared" si="9"/>
        <v>0</v>
      </c>
      <c r="K163" s="113">
        <f t="shared" si="10"/>
        <v>67204.728370221317</v>
      </c>
    </row>
    <row r="164" spans="1:11" x14ac:dyDescent="0.25">
      <c r="A164" s="49">
        <f>'A) Base RI'!A163</f>
        <v>5655</v>
      </c>
      <c r="B164" s="294" t="str">
        <f>'A) Base RI'!B163</f>
        <v>Yens</v>
      </c>
      <c r="C164" s="10">
        <f>'A) Base RI'!AO163</f>
        <v>1480</v>
      </c>
      <c r="D164" s="10">
        <f t="shared" si="8"/>
        <v>1000</v>
      </c>
      <c r="E164" s="421">
        <f t="shared" si="11"/>
        <v>480</v>
      </c>
      <c r="F164" s="10">
        <f t="shared" si="11"/>
        <v>0</v>
      </c>
      <c r="G164" s="421">
        <f t="shared" si="11"/>
        <v>0</v>
      </c>
      <c r="H164" s="41">
        <f t="shared" si="11"/>
        <v>0</v>
      </c>
      <c r="I164" s="10">
        <f t="shared" si="11"/>
        <v>0</v>
      </c>
      <c r="J164" s="10">
        <f t="shared" si="9"/>
        <v>0</v>
      </c>
      <c r="K164" s="113">
        <f t="shared" si="10"/>
        <v>290641.85110663978</v>
      </c>
    </row>
    <row r="165" spans="1:11" x14ac:dyDescent="0.25">
      <c r="A165" s="49">
        <f>'A) Base RI'!A164</f>
        <v>5661</v>
      </c>
      <c r="B165" s="294" t="str">
        <f>'A) Base RI'!B164</f>
        <v>Boulens</v>
      </c>
      <c r="C165" s="10">
        <f>'A) Base RI'!AO164</f>
        <v>369</v>
      </c>
      <c r="D165" s="10">
        <f t="shared" si="8"/>
        <v>369</v>
      </c>
      <c r="E165" s="421">
        <f t="shared" si="11"/>
        <v>0</v>
      </c>
      <c r="F165" s="10">
        <f t="shared" si="11"/>
        <v>0</v>
      </c>
      <c r="G165" s="421">
        <f t="shared" si="11"/>
        <v>0</v>
      </c>
      <c r="H165" s="41">
        <f t="shared" si="11"/>
        <v>0</v>
      </c>
      <c r="I165" s="10">
        <f t="shared" si="11"/>
        <v>0</v>
      </c>
      <c r="J165" s="10">
        <f t="shared" si="9"/>
        <v>0</v>
      </c>
      <c r="K165" s="113">
        <f t="shared" si="10"/>
        <v>45753.772635814879</v>
      </c>
    </row>
    <row r="166" spans="1:11" x14ac:dyDescent="0.25">
      <c r="A166" s="49">
        <f>'A) Base RI'!A165</f>
        <v>5663</v>
      </c>
      <c r="B166" s="294" t="str">
        <f>'A) Base RI'!B165</f>
        <v>Bussy-sur-Moudon</v>
      </c>
      <c r="C166" s="10">
        <f>'A) Base RI'!AO165</f>
        <v>219</v>
      </c>
      <c r="D166" s="10">
        <f t="shared" si="8"/>
        <v>219</v>
      </c>
      <c r="E166" s="421">
        <f t="shared" si="11"/>
        <v>0</v>
      </c>
      <c r="F166" s="10">
        <f t="shared" si="11"/>
        <v>0</v>
      </c>
      <c r="G166" s="421">
        <f t="shared" si="11"/>
        <v>0</v>
      </c>
      <c r="H166" s="41">
        <f t="shared" si="11"/>
        <v>0</v>
      </c>
      <c r="I166" s="10">
        <f t="shared" si="11"/>
        <v>0</v>
      </c>
      <c r="J166" s="10">
        <f t="shared" si="9"/>
        <v>0</v>
      </c>
      <c r="K166" s="113">
        <f t="shared" si="10"/>
        <v>27154.67806841046</v>
      </c>
    </row>
    <row r="167" spans="1:11" x14ac:dyDescent="0.25">
      <c r="A167" s="49">
        <f>'A) Base RI'!A166</f>
        <v>5665</v>
      </c>
      <c r="B167" s="294" t="str">
        <f>'A) Base RI'!B166</f>
        <v>Chavannes-sur-Moudon</v>
      </c>
      <c r="C167" s="10">
        <f>'A) Base RI'!AO166</f>
        <v>223</v>
      </c>
      <c r="D167" s="10">
        <f t="shared" si="8"/>
        <v>223</v>
      </c>
      <c r="E167" s="421">
        <f t="shared" si="11"/>
        <v>0</v>
      </c>
      <c r="F167" s="10">
        <f t="shared" si="11"/>
        <v>0</v>
      </c>
      <c r="G167" s="421">
        <f t="shared" si="11"/>
        <v>0</v>
      </c>
      <c r="H167" s="41">
        <f t="shared" si="11"/>
        <v>0</v>
      </c>
      <c r="I167" s="10">
        <f t="shared" si="11"/>
        <v>0</v>
      </c>
      <c r="J167" s="10">
        <f t="shared" si="9"/>
        <v>0</v>
      </c>
      <c r="K167" s="113">
        <f t="shared" si="10"/>
        <v>27650.653923541242</v>
      </c>
    </row>
    <row r="168" spans="1:11" x14ac:dyDescent="0.25">
      <c r="A168" s="49">
        <f>'A) Base RI'!A167</f>
        <v>5669</v>
      </c>
      <c r="B168" s="294" t="str">
        <f>'A) Base RI'!B167</f>
        <v>Curtilles</v>
      </c>
      <c r="C168" s="10">
        <f>'A) Base RI'!AO167</f>
        <v>301</v>
      </c>
      <c r="D168" s="10">
        <f t="shared" si="8"/>
        <v>301</v>
      </c>
      <c r="E168" s="421">
        <f t="shared" si="11"/>
        <v>0</v>
      </c>
      <c r="F168" s="10">
        <f t="shared" si="11"/>
        <v>0</v>
      </c>
      <c r="G168" s="421">
        <f t="shared" si="11"/>
        <v>0</v>
      </c>
      <c r="H168" s="41">
        <f t="shared" si="11"/>
        <v>0</v>
      </c>
      <c r="I168" s="10">
        <f t="shared" si="11"/>
        <v>0</v>
      </c>
      <c r="J168" s="10">
        <f t="shared" si="9"/>
        <v>0</v>
      </c>
      <c r="K168" s="113">
        <f t="shared" si="10"/>
        <v>37322.183098591544</v>
      </c>
    </row>
    <row r="169" spans="1:11" x14ac:dyDescent="0.25">
      <c r="A169" s="49">
        <f>'A) Base RI'!A168</f>
        <v>5671</v>
      </c>
      <c r="B169" s="294" t="str">
        <f>'A) Base RI'!B168</f>
        <v>Dompierre</v>
      </c>
      <c r="C169" s="10">
        <f>'A) Base RI'!AO168</f>
        <v>245</v>
      </c>
      <c r="D169" s="10">
        <f t="shared" si="8"/>
        <v>245</v>
      </c>
      <c r="E169" s="421">
        <f t="shared" si="11"/>
        <v>0</v>
      </c>
      <c r="F169" s="10">
        <f t="shared" si="11"/>
        <v>0</v>
      </c>
      <c r="G169" s="421">
        <f t="shared" si="11"/>
        <v>0</v>
      </c>
      <c r="H169" s="41">
        <f t="shared" si="11"/>
        <v>0</v>
      </c>
      <c r="I169" s="10">
        <f t="shared" si="11"/>
        <v>0</v>
      </c>
      <c r="J169" s="10">
        <f t="shared" si="9"/>
        <v>0</v>
      </c>
      <c r="K169" s="113">
        <f t="shared" si="10"/>
        <v>30378.521126760559</v>
      </c>
    </row>
    <row r="170" spans="1:11" x14ac:dyDescent="0.25">
      <c r="A170" s="49">
        <f>'A) Base RI'!A169</f>
        <v>5673</v>
      </c>
      <c r="B170" s="294" t="str">
        <f>'A) Base RI'!B169</f>
        <v>Hermenches</v>
      </c>
      <c r="C170" s="10">
        <f>'A) Base RI'!AO169</f>
        <v>384</v>
      </c>
      <c r="D170" s="10">
        <f t="shared" si="8"/>
        <v>384</v>
      </c>
      <c r="E170" s="421">
        <f t="shared" si="11"/>
        <v>0</v>
      </c>
      <c r="F170" s="10">
        <f t="shared" si="11"/>
        <v>0</v>
      </c>
      <c r="G170" s="421">
        <f t="shared" si="11"/>
        <v>0</v>
      </c>
      <c r="H170" s="41">
        <f t="shared" si="11"/>
        <v>0</v>
      </c>
      <c r="I170" s="10">
        <f t="shared" si="11"/>
        <v>0</v>
      </c>
      <c r="J170" s="10">
        <f t="shared" si="9"/>
        <v>0</v>
      </c>
      <c r="K170" s="113">
        <f t="shared" si="10"/>
        <v>47613.682092555326</v>
      </c>
    </row>
    <row r="171" spans="1:11" x14ac:dyDescent="0.25">
      <c r="A171" s="49">
        <f>'A) Base RI'!A170</f>
        <v>5674</v>
      </c>
      <c r="B171" s="294" t="str">
        <f>'A) Base RI'!B170</f>
        <v>Lovatens</v>
      </c>
      <c r="C171" s="10">
        <f>'A) Base RI'!AO170</f>
        <v>142</v>
      </c>
      <c r="D171" s="10">
        <f t="shared" ref="D171:D234" si="12">IF($C171&gt;D$4,IF($C171&lt;D$5,$C171-D$4,D$5-D$4),0)</f>
        <v>142</v>
      </c>
      <c r="E171" s="421">
        <f t="shared" si="11"/>
        <v>0</v>
      </c>
      <c r="F171" s="10">
        <f t="shared" si="11"/>
        <v>0</v>
      </c>
      <c r="G171" s="421">
        <f t="shared" si="11"/>
        <v>0</v>
      </c>
      <c r="H171" s="41">
        <f t="shared" si="11"/>
        <v>0</v>
      </c>
      <c r="I171" s="10">
        <f t="shared" si="11"/>
        <v>0</v>
      </c>
      <c r="J171" s="10">
        <f t="shared" si="9"/>
        <v>0</v>
      </c>
      <c r="K171" s="113">
        <f t="shared" si="10"/>
        <v>17607.142857142855</v>
      </c>
    </row>
    <row r="172" spans="1:11" x14ac:dyDescent="0.25">
      <c r="A172" s="49">
        <f>'A) Base RI'!A171</f>
        <v>5675</v>
      </c>
      <c r="B172" s="294" t="str">
        <f>'A) Base RI'!B171</f>
        <v>Lucens</v>
      </c>
      <c r="C172" s="10">
        <f>'A) Base RI'!AO171</f>
        <v>4309</v>
      </c>
      <c r="D172" s="10">
        <f t="shared" si="12"/>
        <v>1000</v>
      </c>
      <c r="E172" s="421">
        <f t="shared" si="11"/>
        <v>2000</v>
      </c>
      <c r="F172" s="10">
        <f t="shared" si="11"/>
        <v>1309</v>
      </c>
      <c r="G172" s="421">
        <f t="shared" si="11"/>
        <v>0</v>
      </c>
      <c r="H172" s="41">
        <f t="shared" si="11"/>
        <v>0</v>
      </c>
      <c r="I172" s="10">
        <f t="shared" si="11"/>
        <v>0</v>
      </c>
      <c r="J172" s="10">
        <f t="shared" si="9"/>
        <v>0</v>
      </c>
      <c r="K172" s="113">
        <f t="shared" si="10"/>
        <v>1467592.5553319918</v>
      </c>
    </row>
    <row r="173" spans="1:11" x14ac:dyDescent="0.25">
      <c r="A173" s="49">
        <f>'A) Base RI'!A172</f>
        <v>5678</v>
      </c>
      <c r="B173" s="294" t="str">
        <f>'A) Base RI'!B172</f>
        <v>Moudon</v>
      </c>
      <c r="C173" s="10">
        <f>'A) Base RI'!AO172</f>
        <v>6109</v>
      </c>
      <c r="D173" s="10">
        <f t="shared" si="12"/>
        <v>1000</v>
      </c>
      <c r="E173" s="421">
        <f t="shared" si="11"/>
        <v>2000</v>
      </c>
      <c r="F173" s="10">
        <f t="shared" si="11"/>
        <v>2000</v>
      </c>
      <c r="G173" s="421">
        <f t="shared" si="11"/>
        <v>1109</v>
      </c>
      <c r="H173" s="41">
        <f t="shared" si="11"/>
        <v>0</v>
      </c>
      <c r="I173" s="10">
        <f t="shared" si="11"/>
        <v>0</v>
      </c>
      <c r="J173" s="10">
        <f t="shared" si="9"/>
        <v>0</v>
      </c>
      <c r="K173" s="113">
        <f t="shared" si="10"/>
        <v>2470356.5392354121</v>
      </c>
    </row>
    <row r="174" spans="1:11" x14ac:dyDescent="0.25">
      <c r="A174" s="49">
        <f>'A) Base RI'!A173</f>
        <v>5680</v>
      </c>
      <c r="B174" s="294" t="str">
        <f>'A) Base RI'!B173</f>
        <v>Ogens</v>
      </c>
      <c r="C174" s="10">
        <f>'A) Base RI'!AO173</f>
        <v>301</v>
      </c>
      <c r="D174" s="10">
        <f t="shared" si="12"/>
        <v>301</v>
      </c>
      <c r="E174" s="421">
        <f t="shared" si="11"/>
        <v>0</v>
      </c>
      <c r="F174" s="10">
        <f t="shared" si="11"/>
        <v>0</v>
      </c>
      <c r="G174" s="421">
        <f t="shared" si="11"/>
        <v>0</v>
      </c>
      <c r="H174" s="41">
        <f t="shared" si="11"/>
        <v>0</v>
      </c>
      <c r="I174" s="10">
        <f t="shared" si="11"/>
        <v>0</v>
      </c>
      <c r="J174" s="10">
        <f t="shared" si="9"/>
        <v>0</v>
      </c>
      <c r="K174" s="113">
        <f t="shared" si="10"/>
        <v>37322.183098591544</v>
      </c>
    </row>
    <row r="175" spans="1:11" x14ac:dyDescent="0.25">
      <c r="A175" s="49">
        <f>'A) Base RI'!A174</f>
        <v>5683</v>
      </c>
      <c r="B175" s="294" t="str">
        <f>'A) Base RI'!B174</f>
        <v>Prévonloup</v>
      </c>
      <c r="C175" s="10">
        <f>'A) Base RI'!AO174</f>
        <v>202</v>
      </c>
      <c r="D175" s="10">
        <f t="shared" si="12"/>
        <v>202</v>
      </c>
      <c r="E175" s="421">
        <f t="shared" si="11"/>
        <v>0</v>
      </c>
      <c r="F175" s="10">
        <f t="shared" si="11"/>
        <v>0</v>
      </c>
      <c r="G175" s="421">
        <f t="shared" si="11"/>
        <v>0</v>
      </c>
      <c r="H175" s="41">
        <f t="shared" si="11"/>
        <v>0</v>
      </c>
      <c r="I175" s="10">
        <f t="shared" si="11"/>
        <v>0</v>
      </c>
      <c r="J175" s="10">
        <f t="shared" si="9"/>
        <v>0</v>
      </c>
      <c r="K175" s="113">
        <f t="shared" si="10"/>
        <v>25046.780684104622</v>
      </c>
    </row>
    <row r="176" spans="1:11" x14ac:dyDescent="0.25">
      <c r="A176" s="49">
        <f>'A) Base RI'!A175</f>
        <v>5684</v>
      </c>
      <c r="B176" s="294" t="str">
        <f>'A) Base RI'!B175</f>
        <v>Rossenges</v>
      </c>
      <c r="C176" s="10">
        <f>'A) Base RI'!AO175</f>
        <v>84</v>
      </c>
      <c r="D176" s="10">
        <f t="shared" si="12"/>
        <v>84</v>
      </c>
      <c r="E176" s="421">
        <f t="shared" si="11"/>
        <v>0</v>
      </c>
      <c r="F176" s="10">
        <f t="shared" si="11"/>
        <v>0</v>
      </c>
      <c r="G176" s="421">
        <f t="shared" si="11"/>
        <v>0</v>
      </c>
      <c r="H176" s="41">
        <f t="shared" si="11"/>
        <v>0</v>
      </c>
      <c r="I176" s="10">
        <f t="shared" si="11"/>
        <v>0</v>
      </c>
      <c r="J176" s="10">
        <f t="shared" si="9"/>
        <v>0</v>
      </c>
      <c r="K176" s="113">
        <f t="shared" si="10"/>
        <v>10415.492957746477</v>
      </c>
    </row>
    <row r="177" spans="1:11" x14ac:dyDescent="0.25">
      <c r="A177" s="49">
        <f>'A) Base RI'!A176</f>
        <v>5688</v>
      </c>
      <c r="B177" s="294" t="str">
        <f>'A) Base RI'!B176</f>
        <v>Syens</v>
      </c>
      <c r="C177" s="10">
        <f>'A) Base RI'!AO176</f>
        <v>156</v>
      </c>
      <c r="D177" s="10">
        <f t="shared" si="12"/>
        <v>156</v>
      </c>
      <c r="E177" s="421">
        <f t="shared" si="11"/>
        <v>0</v>
      </c>
      <c r="F177" s="10">
        <f t="shared" si="11"/>
        <v>0</v>
      </c>
      <c r="G177" s="421">
        <f t="shared" si="11"/>
        <v>0</v>
      </c>
      <c r="H177" s="41">
        <f t="shared" si="11"/>
        <v>0</v>
      </c>
      <c r="I177" s="10">
        <f t="shared" si="11"/>
        <v>0</v>
      </c>
      <c r="J177" s="10">
        <f t="shared" si="9"/>
        <v>0</v>
      </c>
      <c r="K177" s="113">
        <f t="shared" si="10"/>
        <v>19343.0583501006</v>
      </c>
    </row>
    <row r="178" spans="1:11" x14ac:dyDescent="0.25">
      <c r="A178" s="49">
        <f>'A) Base RI'!A177</f>
        <v>5690</v>
      </c>
      <c r="B178" s="294" t="str">
        <f>'A) Base RI'!B177</f>
        <v>Villars-le-Comte</v>
      </c>
      <c r="C178" s="10">
        <f>'A) Base RI'!AO177</f>
        <v>120</v>
      </c>
      <c r="D178" s="10">
        <f t="shared" si="12"/>
        <v>120</v>
      </c>
      <c r="E178" s="421">
        <f t="shared" si="11"/>
        <v>0</v>
      </c>
      <c r="F178" s="10">
        <f t="shared" si="11"/>
        <v>0</v>
      </c>
      <c r="G178" s="421">
        <f t="shared" si="11"/>
        <v>0</v>
      </c>
      <c r="H178" s="41">
        <f t="shared" si="11"/>
        <v>0</v>
      </c>
      <c r="I178" s="10">
        <f t="shared" si="11"/>
        <v>0</v>
      </c>
      <c r="J178" s="10">
        <f t="shared" si="9"/>
        <v>0</v>
      </c>
      <c r="K178" s="113">
        <f t="shared" si="10"/>
        <v>14879.275653923538</v>
      </c>
    </row>
    <row r="179" spans="1:11" x14ac:dyDescent="0.25">
      <c r="A179" s="49">
        <f>'A) Base RI'!A178</f>
        <v>5692</v>
      </c>
      <c r="B179" s="294" t="str">
        <f>'A) Base RI'!B178</f>
        <v>Vucherens</v>
      </c>
      <c r="C179" s="10">
        <f>'A) Base RI'!AO178</f>
        <v>617</v>
      </c>
      <c r="D179" s="10">
        <f t="shared" si="12"/>
        <v>617</v>
      </c>
      <c r="E179" s="421">
        <f t="shared" si="11"/>
        <v>0</v>
      </c>
      <c r="F179" s="10">
        <f t="shared" si="11"/>
        <v>0</v>
      </c>
      <c r="G179" s="421">
        <f t="shared" si="11"/>
        <v>0</v>
      </c>
      <c r="H179" s="41">
        <f t="shared" si="11"/>
        <v>0</v>
      </c>
      <c r="I179" s="10">
        <f t="shared" si="11"/>
        <v>0</v>
      </c>
      <c r="J179" s="10">
        <f t="shared" si="9"/>
        <v>0</v>
      </c>
      <c r="K179" s="113">
        <f t="shared" si="10"/>
        <v>76504.275653923527</v>
      </c>
    </row>
    <row r="180" spans="1:11" x14ac:dyDescent="0.25">
      <c r="A180" s="49">
        <f>'A) Base RI'!A179</f>
        <v>5693</v>
      </c>
      <c r="B180" s="294" t="str">
        <f>'A) Base RI'!B179</f>
        <v>Montanaire</v>
      </c>
      <c r="C180" s="10">
        <f>'A) Base RI'!AO179</f>
        <v>2782</v>
      </c>
      <c r="D180" s="10">
        <f t="shared" si="12"/>
        <v>1000</v>
      </c>
      <c r="E180" s="421">
        <f t="shared" si="11"/>
        <v>1782</v>
      </c>
      <c r="F180" s="10">
        <f t="shared" si="11"/>
        <v>0</v>
      </c>
      <c r="G180" s="421">
        <f t="shared" si="11"/>
        <v>0</v>
      </c>
      <c r="H180" s="41">
        <f t="shared" si="11"/>
        <v>0</v>
      </c>
      <c r="I180" s="10">
        <f t="shared" si="11"/>
        <v>0</v>
      </c>
      <c r="J180" s="10">
        <f t="shared" si="9"/>
        <v>0</v>
      </c>
      <c r="K180" s="113">
        <f t="shared" si="10"/>
        <v>742674.24547283689</v>
      </c>
    </row>
    <row r="181" spans="1:11" x14ac:dyDescent="0.25">
      <c r="A181" s="49">
        <f>'A) Base RI'!A180</f>
        <v>5701</v>
      </c>
      <c r="B181" s="294" t="str">
        <f>'A) Base RI'!B180</f>
        <v>Arnex-sur-Nyon</v>
      </c>
      <c r="C181" s="10">
        <f>'A) Base RI'!AO180</f>
        <v>240</v>
      </c>
      <c r="D181" s="10">
        <f t="shared" si="12"/>
        <v>240</v>
      </c>
      <c r="E181" s="421">
        <f t="shared" si="11"/>
        <v>0</v>
      </c>
      <c r="F181" s="10">
        <f t="shared" si="11"/>
        <v>0</v>
      </c>
      <c r="G181" s="421">
        <f t="shared" si="11"/>
        <v>0</v>
      </c>
      <c r="H181" s="41">
        <f t="shared" si="11"/>
        <v>0</v>
      </c>
      <c r="I181" s="10">
        <f t="shared" si="11"/>
        <v>0</v>
      </c>
      <c r="J181" s="10">
        <f t="shared" si="9"/>
        <v>0</v>
      </c>
      <c r="K181" s="113">
        <f t="shared" si="10"/>
        <v>29758.551307847076</v>
      </c>
    </row>
    <row r="182" spans="1:11" x14ac:dyDescent="0.25">
      <c r="A182" s="49">
        <f>'A) Base RI'!A181</f>
        <v>5702</v>
      </c>
      <c r="B182" s="294" t="str">
        <f>'A) Base RI'!B181</f>
        <v>Arzier-Le Muids</v>
      </c>
      <c r="C182" s="10">
        <f>'A) Base RI'!AO181</f>
        <v>2912</v>
      </c>
      <c r="D182" s="10">
        <f t="shared" si="12"/>
        <v>1000</v>
      </c>
      <c r="E182" s="421">
        <f t="shared" si="11"/>
        <v>1912</v>
      </c>
      <c r="F182" s="10">
        <f t="shared" si="11"/>
        <v>0</v>
      </c>
      <c r="G182" s="421">
        <f t="shared" si="11"/>
        <v>0</v>
      </c>
      <c r="H182" s="41">
        <f t="shared" si="11"/>
        <v>0</v>
      </c>
      <c r="I182" s="10">
        <f t="shared" si="11"/>
        <v>0</v>
      </c>
      <c r="J182" s="10">
        <f t="shared" si="9"/>
        <v>0</v>
      </c>
      <c r="K182" s="113">
        <f t="shared" si="10"/>
        <v>787808.04828973836</v>
      </c>
    </row>
    <row r="183" spans="1:11" x14ac:dyDescent="0.25">
      <c r="A183" s="49">
        <f>'A) Base RI'!A182</f>
        <v>5703</v>
      </c>
      <c r="B183" s="294" t="str">
        <f>'A) Base RI'!B182</f>
        <v>Bassins</v>
      </c>
      <c r="C183" s="10">
        <f>'A) Base RI'!AO182</f>
        <v>1475</v>
      </c>
      <c r="D183" s="10">
        <f t="shared" si="12"/>
        <v>1000</v>
      </c>
      <c r="E183" s="421">
        <f t="shared" si="11"/>
        <v>475</v>
      </c>
      <c r="F183" s="10">
        <f t="shared" si="11"/>
        <v>0</v>
      </c>
      <c r="G183" s="421">
        <f t="shared" si="11"/>
        <v>0</v>
      </c>
      <c r="H183" s="41">
        <f t="shared" si="11"/>
        <v>0</v>
      </c>
      <c r="I183" s="10">
        <f t="shared" si="11"/>
        <v>0</v>
      </c>
      <c r="J183" s="10">
        <f t="shared" si="9"/>
        <v>0</v>
      </c>
      <c r="K183" s="113">
        <f t="shared" si="10"/>
        <v>288905.93561368203</v>
      </c>
    </row>
    <row r="184" spans="1:11" x14ac:dyDescent="0.25">
      <c r="A184" s="49">
        <f>'A) Base RI'!A183</f>
        <v>5704</v>
      </c>
      <c r="B184" s="294" t="str">
        <f>'A) Base RI'!B183</f>
        <v>Begnins</v>
      </c>
      <c r="C184" s="10">
        <f>'A) Base RI'!AO183</f>
        <v>1928</v>
      </c>
      <c r="D184" s="10">
        <f t="shared" si="12"/>
        <v>1000</v>
      </c>
      <c r="E184" s="421">
        <f t="shared" si="11"/>
        <v>928</v>
      </c>
      <c r="F184" s="10">
        <f t="shared" si="11"/>
        <v>0</v>
      </c>
      <c r="G184" s="421">
        <f t="shared" si="11"/>
        <v>0</v>
      </c>
      <c r="H184" s="41">
        <f t="shared" si="11"/>
        <v>0</v>
      </c>
      <c r="I184" s="10">
        <f t="shared" si="11"/>
        <v>0</v>
      </c>
      <c r="J184" s="10">
        <f t="shared" si="9"/>
        <v>0</v>
      </c>
      <c r="K184" s="113">
        <f t="shared" si="10"/>
        <v>446179.87927565386</v>
      </c>
    </row>
    <row r="185" spans="1:11" x14ac:dyDescent="0.25">
      <c r="A185" s="49">
        <f>'A) Base RI'!A184</f>
        <v>5705</v>
      </c>
      <c r="B185" s="294" t="str">
        <f>'A) Base RI'!B184</f>
        <v>Bogis-Bossey</v>
      </c>
      <c r="C185" s="10">
        <f>'A) Base RI'!AO184</f>
        <v>835</v>
      </c>
      <c r="D185" s="10">
        <f t="shared" si="12"/>
        <v>835</v>
      </c>
      <c r="E185" s="421">
        <f t="shared" si="11"/>
        <v>0</v>
      </c>
      <c r="F185" s="10">
        <f t="shared" si="11"/>
        <v>0</v>
      </c>
      <c r="G185" s="421">
        <f t="shared" si="11"/>
        <v>0</v>
      </c>
      <c r="H185" s="41">
        <f t="shared" si="11"/>
        <v>0</v>
      </c>
      <c r="I185" s="10">
        <f t="shared" si="11"/>
        <v>0</v>
      </c>
      <c r="J185" s="10">
        <f t="shared" si="9"/>
        <v>0</v>
      </c>
      <c r="K185" s="113">
        <f t="shared" si="10"/>
        <v>103534.9597585513</v>
      </c>
    </row>
    <row r="186" spans="1:11" x14ac:dyDescent="0.25">
      <c r="A186" s="49">
        <f>'A) Base RI'!A185</f>
        <v>5706</v>
      </c>
      <c r="B186" s="294" t="str">
        <f>'A) Base RI'!B185</f>
        <v>Borex</v>
      </c>
      <c r="C186" s="10">
        <f>'A) Base RI'!AO185</f>
        <v>1157</v>
      </c>
      <c r="D186" s="10">
        <f t="shared" si="12"/>
        <v>1000</v>
      </c>
      <c r="E186" s="421">
        <f t="shared" si="11"/>
        <v>157</v>
      </c>
      <c r="F186" s="10">
        <f t="shared" si="11"/>
        <v>0</v>
      </c>
      <c r="G186" s="421">
        <f t="shared" si="11"/>
        <v>0</v>
      </c>
      <c r="H186" s="41">
        <f t="shared" si="11"/>
        <v>0</v>
      </c>
      <c r="I186" s="10">
        <f t="shared" si="11"/>
        <v>0</v>
      </c>
      <c r="J186" s="10">
        <f t="shared" si="9"/>
        <v>0</v>
      </c>
      <c r="K186" s="113">
        <f t="shared" si="10"/>
        <v>178501.71026156939</v>
      </c>
    </row>
    <row r="187" spans="1:11" x14ac:dyDescent="0.25">
      <c r="A187" s="49">
        <f>'A) Base RI'!A186</f>
        <v>5707</v>
      </c>
      <c r="B187" s="294" t="str">
        <f>'A) Base RI'!B186</f>
        <v>Chavannes-de-Bogis</v>
      </c>
      <c r="C187" s="10">
        <f>'A) Base RI'!AO186</f>
        <v>1329</v>
      </c>
      <c r="D187" s="10">
        <f t="shared" si="12"/>
        <v>1000</v>
      </c>
      <c r="E187" s="421">
        <f t="shared" si="11"/>
        <v>329</v>
      </c>
      <c r="F187" s="10">
        <f t="shared" si="11"/>
        <v>0</v>
      </c>
      <c r="G187" s="421">
        <f t="shared" si="11"/>
        <v>0</v>
      </c>
      <c r="H187" s="41">
        <f t="shared" si="11"/>
        <v>0</v>
      </c>
      <c r="I187" s="10">
        <f t="shared" si="11"/>
        <v>0</v>
      </c>
      <c r="J187" s="10">
        <f t="shared" si="9"/>
        <v>0</v>
      </c>
      <c r="K187" s="113">
        <f t="shared" si="10"/>
        <v>238217.20321931585</v>
      </c>
    </row>
    <row r="188" spans="1:11" x14ac:dyDescent="0.25">
      <c r="A188" s="49">
        <f>'A) Base RI'!A187</f>
        <v>5708</v>
      </c>
      <c r="B188" s="294" t="str">
        <f>'A) Base RI'!B187</f>
        <v>Chavannes-des-Bois</v>
      </c>
      <c r="C188" s="10">
        <f>'A) Base RI'!AO187</f>
        <v>1013</v>
      </c>
      <c r="D188" s="10">
        <f t="shared" si="12"/>
        <v>1000</v>
      </c>
      <c r="E188" s="421">
        <f t="shared" si="11"/>
        <v>13</v>
      </c>
      <c r="F188" s="10">
        <f t="shared" si="11"/>
        <v>0</v>
      </c>
      <c r="G188" s="421">
        <f t="shared" si="11"/>
        <v>0</v>
      </c>
      <c r="H188" s="41">
        <f t="shared" si="11"/>
        <v>0</v>
      </c>
      <c r="I188" s="10">
        <f t="shared" si="11"/>
        <v>0</v>
      </c>
      <c r="J188" s="10">
        <f t="shared" si="9"/>
        <v>0</v>
      </c>
      <c r="K188" s="113">
        <f t="shared" si="10"/>
        <v>128507.3440643863</v>
      </c>
    </row>
    <row r="189" spans="1:11" x14ac:dyDescent="0.25">
      <c r="A189" s="49">
        <f>'A) Base RI'!A188</f>
        <v>5709</v>
      </c>
      <c r="B189" s="294" t="str">
        <f>'A) Base RI'!B188</f>
        <v>Chéserex</v>
      </c>
      <c r="C189" s="10">
        <f>'A) Base RI'!AO188</f>
        <v>1248</v>
      </c>
      <c r="D189" s="10">
        <f t="shared" si="12"/>
        <v>1000</v>
      </c>
      <c r="E189" s="421">
        <f t="shared" si="11"/>
        <v>248</v>
      </c>
      <c r="F189" s="10">
        <f t="shared" si="11"/>
        <v>0</v>
      </c>
      <c r="G189" s="421">
        <f t="shared" si="11"/>
        <v>0</v>
      </c>
      <c r="H189" s="41">
        <f t="shared" si="11"/>
        <v>0</v>
      </c>
      <c r="I189" s="10">
        <f t="shared" si="11"/>
        <v>0</v>
      </c>
      <c r="J189" s="10">
        <f t="shared" si="9"/>
        <v>0</v>
      </c>
      <c r="K189" s="113">
        <f t="shared" si="10"/>
        <v>210095.37223340035</v>
      </c>
    </row>
    <row r="190" spans="1:11" x14ac:dyDescent="0.25">
      <c r="A190" s="49">
        <f>'A) Base RI'!A189</f>
        <v>5710</v>
      </c>
      <c r="B190" s="294" t="str">
        <f>'A) Base RI'!B189</f>
        <v>Coinsins</v>
      </c>
      <c r="C190" s="10">
        <f>'A) Base RI'!AO189</f>
        <v>509</v>
      </c>
      <c r="D190" s="10">
        <f t="shared" si="12"/>
        <v>509</v>
      </c>
      <c r="E190" s="421">
        <f t="shared" si="11"/>
        <v>0</v>
      </c>
      <c r="F190" s="10">
        <f t="shared" si="11"/>
        <v>0</v>
      </c>
      <c r="G190" s="421">
        <f t="shared" si="11"/>
        <v>0</v>
      </c>
      <c r="H190" s="41">
        <f t="shared" si="11"/>
        <v>0</v>
      </c>
      <c r="I190" s="10">
        <f t="shared" si="11"/>
        <v>0</v>
      </c>
      <c r="J190" s="10">
        <f t="shared" si="9"/>
        <v>0</v>
      </c>
      <c r="K190" s="113">
        <f t="shared" si="10"/>
        <v>63112.927565392347</v>
      </c>
    </row>
    <row r="191" spans="1:11" x14ac:dyDescent="0.25">
      <c r="A191" s="49">
        <f>'A) Base RI'!A190</f>
        <v>5711</v>
      </c>
      <c r="B191" s="294" t="str">
        <f>'A) Base RI'!B190</f>
        <v>Commugny</v>
      </c>
      <c r="C191" s="10">
        <f>'A) Base RI'!AO190</f>
        <v>2997</v>
      </c>
      <c r="D191" s="10">
        <f t="shared" si="12"/>
        <v>1000</v>
      </c>
      <c r="E191" s="421">
        <f t="shared" si="11"/>
        <v>1997</v>
      </c>
      <c r="F191" s="10">
        <f t="shared" si="11"/>
        <v>0</v>
      </c>
      <c r="G191" s="421">
        <f t="shared" si="11"/>
        <v>0</v>
      </c>
      <c r="H191" s="41">
        <f t="shared" si="11"/>
        <v>0</v>
      </c>
      <c r="I191" s="10">
        <f t="shared" si="11"/>
        <v>0</v>
      </c>
      <c r="J191" s="10">
        <f t="shared" si="9"/>
        <v>0</v>
      </c>
      <c r="K191" s="113">
        <f t="shared" si="10"/>
        <v>817318.61167002004</v>
      </c>
    </row>
    <row r="192" spans="1:11" x14ac:dyDescent="0.25">
      <c r="A192" s="49">
        <f>'A) Base RI'!A191</f>
        <v>5712</v>
      </c>
      <c r="B192" s="294" t="str">
        <f>'A) Base RI'!B191</f>
        <v>Coppet</v>
      </c>
      <c r="C192" s="10">
        <f>'A) Base RI'!AO191</f>
        <v>3247</v>
      </c>
      <c r="D192" s="10">
        <f t="shared" si="12"/>
        <v>1000</v>
      </c>
      <c r="E192" s="421">
        <f t="shared" si="11"/>
        <v>2000</v>
      </c>
      <c r="F192" s="10">
        <f t="shared" si="11"/>
        <v>247</v>
      </c>
      <c r="G192" s="421">
        <f t="shared" si="11"/>
        <v>0</v>
      </c>
      <c r="H192" s="41">
        <f t="shared" si="11"/>
        <v>0</v>
      </c>
      <c r="I192" s="10">
        <f t="shared" si="11"/>
        <v>0</v>
      </c>
      <c r="J192" s="10">
        <f t="shared" si="9"/>
        <v>0</v>
      </c>
      <c r="K192" s="113">
        <f t="shared" si="10"/>
        <v>940866.19718309853</v>
      </c>
    </row>
    <row r="193" spans="1:11" x14ac:dyDescent="0.25">
      <c r="A193" s="49">
        <f>'A) Base RI'!A192</f>
        <v>5713</v>
      </c>
      <c r="B193" s="294" t="str">
        <f>'A) Base RI'!B192</f>
        <v>Crans-près-Céligny</v>
      </c>
      <c r="C193" s="10">
        <f>'A) Base RI'!AO192</f>
        <v>2340</v>
      </c>
      <c r="D193" s="10">
        <f t="shared" si="12"/>
        <v>1000</v>
      </c>
      <c r="E193" s="421">
        <f t="shared" si="11"/>
        <v>1340</v>
      </c>
      <c r="F193" s="10">
        <f t="shared" si="11"/>
        <v>0</v>
      </c>
      <c r="G193" s="421">
        <f t="shared" si="11"/>
        <v>0</v>
      </c>
      <c r="H193" s="41">
        <f t="shared" si="11"/>
        <v>0</v>
      </c>
      <c r="I193" s="10">
        <f t="shared" si="11"/>
        <v>0</v>
      </c>
      <c r="J193" s="10">
        <f t="shared" si="9"/>
        <v>0</v>
      </c>
      <c r="K193" s="113">
        <f t="shared" si="10"/>
        <v>589219.31589537219</v>
      </c>
    </row>
    <row r="194" spans="1:11" x14ac:dyDescent="0.25">
      <c r="A194" s="49">
        <f>'A) Base RI'!A193</f>
        <v>5714</v>
      </c>
      <c r="B194" s="294" t="str">
        <f>'A) Base RI'!B193</f>
        <v>Crassier</v>
      </c>
      <c r="C194" s="10">
        <f>'A) Base RI'!AO193</f>
        <v>1174</v>
      </c>
      <c r="D194" s="10">
        <f t="shared" si="12"/>
        <v>1000</v>
      </c>
      <c r="E194" s="421">
        <f t="shared" si="11"/>
        <v>174</v>
      </c>
      <c r="F194" s="10">
        <f t="shared" si="11"/>
        <v>0</v>
      </c>
      <c r="G194" s="421">
        <f t="shared" si="11"/>
        <v>0</v>
      </c>
      <c r="H194" s="41">
        <f t="shared" si="11"/>
        <v>0</v>
      </c>
      <c r="I194" s="10">
        <f t="shared" si="11"/>
        <v>0</v>
      </c>
      <c r="J194" s="10">
        <f t="shared" si="9"/>
        <v>0</v>
      </c>
      <c r="K194" s="113">
        <f t="shared" si="10"/>
        <v>184403.82293762572</v>
      </c>
    </row>
    <row r="195" spans="1:11" x14ac:dyDescent="0.25">
      <c r="A195" s="49">
        <f>'A) Base RI'!A194</f>
        <v>5715</v>
      </c>
      <c r="B195" s="294" t="str">
        <f>'A) Base RI'!B194</f>
        <v>Duillier</v>
      </c>
      <c r="C195" s="10">
        <f>'A) Base RI'!AO194</f>
        <v>1128</v>
      </c>
      <c r="D195" s="10">
        <f t="shared" si="12"/>
        <v>1000</v>
      </c>
      <c r="E195" s="421">
        <f t="shared" si="11"/>
        <v>128</v>
      </c>
      <c r="F195" s="10">
        <f t="shared" si="11"/>
        <v>0</v>
      </c>
      <c r="G195" s="421">
        <f t="shared" si="11"/>
        <v>0</v>
      </c>
      <c r="H195" s="41">
        <f t="shared" si="11"/>
        <v>0</v>
      </c>
      <c r="I195" s="10">
        <f t="shared" si="11"/>
        <v>0</v>
      </c>
      <c r="J195" s="10">
        <f t="shared" si="9"/>
        <v>0</v>
      </c>
      <c r="K195" s="113">
        <f t="shared" si="10"/>
        <v>168433.40040241447</v>
      </c>
    </row>
    <row r="196" spans="1:11" x14ac:dyDescent="0.25">
      <c r="A196" s="49">
        <f>'A) Base RI'!A195</f>
        <v>5716</v>
      </c>
      <c r="B196" s="294" t="str">
        <f>'A) Base RI'!B195</f>
        <v>Eysins</v>
      </c>
      <c r="C196" s="10">
        <f>'A) Base RI'!AO195</f>
        <v>1740</v>
      </c>
      <c r="D196" s="10">
        <f t="shared" si="12"/>
        <v>1000</v>
      </c>
      <c r="E196" s="421">
        <f t="shared" si="11"/>
        <v>740</v>
      </c>
      <c r="F196" s="10">
        <f t="shared" si="11"/>
        <v>0</v>
      </c>
      <c r="G196" s="421">
        <f t="shared" si="11"/>
        <v>0</v>
      </c>
      <c r="H196" s="41">
        <f t="shared" si="11"/>
        <v>0</v>
      </c>
      <c r="I196" s="10">
        <f t="shared" si="11"/>
        <v>0</v>
      </c>
      <c r="J196" s="10">
        <f t="shared" si="9"/>
        <v>0</v>
      </c>
      <c r="K196" s="113">
        <f t="shared" si="10"/>
        <v>380909.45674044261</v>
      </c>
    </row>
    <row r="197" spans="1:11" x14ac:dyDescent="0.25">
      <c r="A197" s="49">
        <f>'A) Base RI'!A196</f>
        <v>5717</v>
      </c>
      <c r="B197" s="294" t="str">
        <f>'A) Base RI'!B196</f>
        <v>Founex</v>
      </c>
      <c r="C197" s="10">
        <f>'A) Base RI'!AO196</f>
        <v>3834</v>
      </c>
      <c r="D197" s="10">
        <f t="shared" si="12"/>
        <v>1000</v>
      </c>
      <c r="E197" s="421">
        <f t="shared" si="11"/>
        <v>2000</v>
      </c>
      <c r="F197" s="10">
        <f t="shared" si="11"/>
        <v>834</v>
      </c>
      <c r="G197" s="421">
        <f t="shared" si="11"/>
        <v>0</v>
      </c>
      <c r="H197" s="41">
        <f t="shared" si="11"/>
        <v>0</v>
      </c>
      <c r="I197" s="10">
        <f t="shared" si="11"/>
        <v>0</v>
      </c>
      <c r="J197" s="10">
        <f t="shared" si="9"/>
        <v>0</v>
      </c>
      <c r="K197" s="113">
        <f t="shared" si="10"/>
        <v>1232004.0241448691</v>
      </c>
    </row>
    <row r="198" spans="1:11" x14ac:dyDescent="0.25">
      <c r="A198" s="49">
        <f>'A) Base RI'!A197</f>
        <v>5718</v>
      </c>
      <c r="B198" s="294" t="str">
        <f>'A) Base RI'!B197</f>
        <v>Genolier</v>
      </c>
      <c r="C198" s="10">
        <f>'A) Base RI'!AO197</f>
        <v>1996</v>
      </c>
      <c r="D198" s="10">
        <f t="shared" si="12"/>
        <v>1000</v>
      </c>
      <c r="E198" s="421">
        <f t="shared" si="11"/>
        <v>996</v>
      </c>
      <c r="F198" s="10">
        <f t="shared" si="11"/>
        <v>0</v>
      </c>
      <c r="G198" s="421">
        <f t="shared" si="11"/>
        <v>0</v>
      </c>
      <c r="H198" s="41">
        <f t="shared" si="11"/>
        <v>0</v>
      </c>
      <c r="I198" s="10">
        <f t="shared" si="11"/>
        <v>0</v>
      </c>
      <c r="J198" s="10">
        <f t="shared" si="9"/>
        <v>0</v>
      </c>
      <c r="K198" s="113">
        <f t="shared" si="10"/>
        <v>469788.3299798792</v>
      </c>
    </row>
    <row r="199" spans="1:11" x14ac:dyDescent="0.25">
      <c r="A199" s="49">
        <f>'A) Base RI'!A198</f>
        <v>5719</v>
      </c>
      <c r="B199" s="294" t="str">
        <f>'A) Base RI'!B198</f>
        <v>Gingins</v>
      </c>
      <c r="C199" s="10">
        <f>'A) Base RI'!AO198</f>
        <v>1257</v>
      </c>
      <c r="D199" s="10">
        <f t="shared" si="12"/>
        <v>1000</v>
      </c>
      <c r="E199" s="421">
        <f t="shared" si="11"/>
        <v>257</v>
      </c>
      <c r="F199" s="10">
        <f t="shared" si="11"/>
        <v>0</v>
      </c>
      <c r="G199" s="421">
        <f t="shared" si="11"/>
        <v>0</v>
      </c>
      <c r="H199" s="41">
        <f t="shared" si="11"/>
        <v>0</v>
      </c>
      <c r="I199" s="10">
        <f t="shared" si="11"/>
        <v>0</v>
      </c>
      <c r="J199" s="10">
        <f t="shared" si="9"/>
        <v>0</v>
      </c>
      <c r="K199" s="113">
        <f t="shared" si="10"/>
        <v>213220.02012072431</v>
      </c>
    </row>
    <row r="200" spans="1:11" x14ac:dyDescent="0.25">
      <c r="A200" s="49">
        <f>'A) Base RI'!A199</f>
        <v>5720</v>
      </c>
      <c r="B200" s="294" t="str">
        <f>'A) Base RI'!B199</f>
        <v>Givrins</v>
      </c>
      <c r="C200" s="10">
        <f>'A) Base RI'!AO199</f>
        <v>1031</v>
      </c>
      <c r="D200" s="10">
        <f t="shared" si="12"/>
        <v>1000</v>
      </c>
      <c r="E200" s="421">
        <f t="shared" si="11"/>
        <v>31</v>
      </c>
      <c r="F200" s="10">
        <f t="shared" si="11"/>
        <v>0</v>
      </c>
      <c r="G200" s="421">
        <f t="shared" si="11"/>
        <v>0</v>
      </c>
      <c r="H200" s="41">
        <f t="shared" si="11"/>
        <v>0</v>
      </c>
      <c r="I200" s="10">
        <f t="shared" si="11"/>
        <v>0</v>
      </c>
      <c r="J200" s="10">
        <f t="shared" si="9"/>
        <v>0</v>
      </c>
      <c r="K200" s="113">
        <f t="shared" si="10"/>
        <v>134756.63983903418</v>
      </c>
    </row>
    <row r="201" spans="1:11" x14ac:dyDescent="0.25">
      <c r="A201" s="49">
        <f>'A) Base RI'!A200</f>
        <v>5721</v>
      </c>
      <c r="B201" s="294" t="str">
        <f>'A) Base RI'!B200</f>
        <v>Gland</v>
      </c>
      <c r="C201" s="10">
        <f>'A) Base RI'!AO200</f>
        <v>13243</v>
      </c>
      <c r="D201" s="10">
        <f t="shared" si="12"/>
        <v>1000</v>
      </c>
      <c r="E201" s="421">
        <f t="shared" si="11"/>
        <v>2000</v>
      </c>
      <c r="F201" s="10">
        <f t="shared" si="11"/>
        <v>2000</v>
      </c>
      <c r="G201" s="421">
        <f t="shared" si="11"/>
        <v>4000</v>
      </c>
      <c r="H201" s="41">
        <f t="shared" si="11"/>
        <v>3000</v>
      </c>
      <c r="I201" s="10">
        <f t="shared" si="11"/>
        <v>1243</v>
      </c>
      <c r="J201" s="10">
        <f t="shared" ref="J201:J264" si="13">IF(C201&gt;$J$4,C201-$J$4,0)</f>
        <v>0</v>
      </c>
      <c r="K201" s="113">
        <f t="shared" ref="K201:K264" si="14">(D201*D$7)+(E201*E$7)+(F201*F$7)+(G201*G$7)+(H201*H$7)+(I201*I$7)+(J201*J$7)</f>
        <v>7953468.812877262</v>
      </c>
    </row>
    <row r="202" spans="1:11" x14ac:dyDescent="0.25">
      <c r="A202" s="49">
        <f>'A) Base RI'!A201</f>
        <v>5722</v>
      </c>
      <c r="B202" s="294" t="str">
        <f>'A) Base RI'!B201</f>
        <v>Grens</v>
      </c>
      <c r="C202" s="10">
        <f>'A) Base RI'!AO201</f>
        <v>405</v>
      </c>
      <c r="D202" s="10">
        <f t="shared" si="12"/>
        <v>405</v>
      </c>
      <c r="E202" s="421">
        <f t="shared" si="11"/>
        <v>0</v>
      </c>
      <c r="F202" s="10">
        <f t="shared" si="11"/>
        <v>0</v>
      </c>
      <c r="G202" s="421">
        <f t="shared" si="11"/>
        <v>0</v>
      </c>
      <c r="H202" s="41">
        <f t="shared" si="11"/>
        <v>0</v>
      </c>
      <c r="I202" s="10">
        <f t="shared" si="11"/>
        <v>0</v>
      </c>
      <c r="J202" s="10">
        <f t="shared" si="13"/>
        <v>0</v>
      </c>
      <c r="K202" s="113">
        <f t="shared" si="14"/>
        <v>50217.555331991942</v>
      </c>
    </row>
    <row r="203" spans="1:11" x14ac:dyDescent="0.25">
      <c r="A203" s="49">
        <f>'A) Base RI'!A202</f>
        <v>5723</v>
      </c>
      <c r="B203" s="294" t="str">
        <f>'A) Base RI'!B202</f>
        <v>Mies</v>
      </c>
      <c r="C203" s="10">
        <f>'A) Base RI'!AO202</f>
        <v>2172</v>
      </c>
      <c r="D203" s="10">
        <f t="shared" si="12"/>
        <v>1000</v>
      </c>
      <c r="E203" s="421">
        <f t="shared" si="11"/>
        <v>1172</v>
      </c>
      <c r="F203" s="10">
        <f t="shared" si="11"/>
        <v>0</v>
      </c>
      <c r="G203" s="421">
        <f t="shared" si="11"/>
        <v>0</v>
      </c>
      <c r="H203" s="41">
        <f t="shared" si="11"/>
        <v>0</v>
      </c>
      <c r="I203" s="10">
        <f t="shared" si="11"/>
        <v>0</v>
      </c>
      <c r="J203" s="10">
        <f t="shared" si="13"/>
        <v>0</v>
      </c>
      <c r="K203" s="113">
        <f t="shared" si="14"/>
        <v>530892.55533199187</v>
      </c>
    </row>
    <row r="204" spans="1:11" x14ac:dyDescent="0.25">
      <c r="A204" s="49">
        <f>'A) Base RI'!A203</f>
        <v>5724</v>
      </c>
      <c r="B204" s="294" t="str">
        <f>'A) Base RI'!B203</f>
        <v>Nyon</v>
      </c>
      <c r="C204" s="10">
        <f>'A) Base RI'!AO203</f>
        <v>21743</v>
      </c>
      <c r="D204" s="10">
        <f t="shared" si="12"/>
        <v>1000</v>
      </c>
      <c r="E204" s="421">
        <f t="shared" si="11"/>
        <v>2000</v>
      </c>
      <c r="F204" s="10">
        <f t="shared" si="11"/>
        <v>2000</v>
      </c>
      <c r="G204" s="421">
        <f t="shared" si="11"/>
        <v>4000</v>
      </c>
      <c r="H204" s="41">
        <f t="shared" si="11"/>
        <v>3000</v>
      </c>
      <c r="I204" s="10">
        <f t="shared" si="11"/>
        <v>3000</v>
      </c>
      <c r="J204" s="10">
        <f t="shared" si="13"/>
        <v>6743</v>
      </c>
      <c r="K204" s="113">
        <f t="shared" si="14"/>
        <v>16719494.869215289</v>
      </c>
    </row>
    <row r="205" spans="1:11" x14ac:dyDescent="0.25">
      <c r="A205" s="49">
        <f>'A) Base RI'!A204</f>
        <v>5725</v>
      </c>
      <c r="B205" s="294" t="str">
        <f>'A) Base RI'!B204</f>
        <v>Prangins</v>
      </c>
      <c r="C205" s="10">
        <f>'A) Base RI'!AO204</f>
        <v>4101</v>
      </c>
      <c r="D205" s="10">
        <f t="shared" si="12"/>
        <v>1000</v>
      </c>
      <c r="E205" s="421">
        <f t="shared" si="11"/>
        <v>2000</v>
      </c>
      <c r="F205" s="10">
        <f t="shared" si="11"/>
        <v>1101</v>
      </c>
      <c r="G205" s="421">
        <f t="shared" si="11"/>
        <v>0</v>
      </c>
      <c r="H205" s="41">
        <f t="shared" si="11"/>
        <v>0</v>
      </c>
      <c r="I205" s="10">
        <f t="shared" si="11"/>
        <v>0</v>
      </c>
      <c r="J205" s="10">
        <f t="shared" si="13"/>
        <v>0</v>
      </c>
      <c r="K205" s="113">
        <f t="shared" si="14"/>
        <v>1364429.5774647887</v>
      </c>
    </row>
    <row r="206" spans="1:11" x14ac:dyDescent="0.25">
      <c r="A206" s="49">
        <f>'A) Base RI'!A205</f>
        <v>5726</v>
      </c>
      <c r="B206" s="294" t="str">
        <f>'A) Base RI'!B205</f>
        <v>La Rippe</v>
      </c>
      <c r="C206" s="10">
        <f>'A) Base RI'!AO205</f>
        <v>1131</v>
      </c>
      <c r="D206" s="10">
        <f t="shared" si="12"/>
        <v>1000</v>
      </c>
      <c r="E206" s="421">
        <f t="shared" si="11"/>
        <v>131</v>
      </c>
      <c r="F206" s="10">
        <f t="shared" si="11"/>
        <v>0</v>
      </c>
      <c r="G206" s="421">
        <f t="shared" si="11"/>
        <v>0</v>
      </c>
      <c r="H206" s="41">
        <f t="shared" si="11"/>
        <v>0</v>
      </c>
      <c r="I206" s="10">
        <f t="shared" si="11"/>
        <v>0</v>
      </c>
      <c r="J206" s="10">
        <f t="shared" si="13"/>
        <v>0</v>
      </c>
      <c r="K206" s="113">
        <f t="shared" si="14"/>
        <v>169474.9496981891</v>
      </c>
    </row>
    <row r="207" spans="1:11" x14ac:dyDescent="0.25">
      <c r="A207" s="49">
        <f>'A) Base RI'!A206</f>
        <v>5727</v>
      </c>
      <c r="B207" s="294" t="str">
        <f>'A) Base RI'!B206</f>
        <v>Saint-Cergue</v>
      </c>
      <c r="C207" s="10">
        <f>'A) Base RI'!AO206</f>
        <v>2674</v>
      </c>
      <c r="D207" s="10">
        <f t="shared" si="12"/>
        <v>1000</v>
      </c>
      <c r="E207" s="421">
        <f t="shared" si="11"/>
        <v>1674</v>
      </c>
      <c r="F207" s="10">
        <f t="shared" si="11"/>
        <v>0</v>
      </c>
      <c r="G207" s="421">
        <f t="shared" si="11"/>
        <v>0</v>
      </c>
      <c r="H207" s="41">
        <f t="shared" si="11"/>
        <v>0</v>
      </c>
      <c r="I207" s="10">
        <f t="shared" si="11"/>
        <v>0</v>
      </c>
      <c r="J207" s="10">
        <f t="shared" si="13"/>
        <v>0</v>
      </c>
      <c r="K207" s="113">
        <f t="shared" si="14"/>
        <v>705178.47082494968</v>
      </c>
    </row>
    <row r="208" spans="1:11" x14ac:dyDescent="0.25">
      <c r="A208" s="49">
        <f>'A) Base RI'!A207</f>
        <v>5728</v>
      </c>
      <c r="B208" s="294" t="str">
        <f>'A) Base RI'!B207</f>
        <v>Signy-Avenex</v>
      </c>
      <c r="C208" s="10">
        <f>'A) Base RI'!AO207</f>
        <v>581</v>
      </c>
      <c r="D208" s="10">
        <f t="shared" si="12"/>
        <v>581</v>
      </c>
      <c r="E208" s="421">
        <f t="shared" si="11"/>
        <v>0</v>
      </c>
      <c r="F208" s="10">
        <f t="shared" si="11"/>
        <v>0</v>
      </c>
      <c r="G208" s="421">
        <f t="shared" ref="E208:I259" si="15">IF($C208&gt;G$4,IF($C208&lt;G$5,$C208-G$4,G$5-G$4),0)</f>
        <v>0</v>
      </c>
      <c r="H208" s="41">
        <f t="shared" si="15"/>
        <v>0</v>
      </c>
      <c r="I208" s="10">
        <f t="shared" si="15"/>
        <v>0</v>
      </c>
      <c r="J208" s="10">
        <f t="shared" si="13"/>
        <v>0</v>
      </c>
      <c r="K208" s="113">
        <f t="shared" si="14"/>
        <v>72040.492957746465</v>
      </c>
    </row>
    <row r="209" spans="1:11" x14ac:dyDescent="0.25">
      <c r="A209" s="49">
        <f>'A) Base RI'!A208</f>
        <v>5729</v>
      </c>
      <c r="B209" s="294" t="str">
        <f>'A) Base RI'!B208</f>
        <v>Tannay</v>
      </c>
      <c r="C209" s="10">
        <f>'A) Base RI'!AO208</f>
        <v>1636</v>
      </c>
      <c r="D209" s="10">
        <f t="shared" si="12"/>
        <v>1000</v>
      </c>
      <c r="E209" s="421">
        <f t="shared" si="15"/>
        <v>636</v>
      </c>
      <c r="F209" s="10">
        <f t="shared" si="15"/>
        <v>0</v>
      </c>
      <c r="G209" s="421">
        <f t="shared" si="15"/>
        <v>0</v>
      </c>
      <c r="H209" s="41">
        <f t="shared" si="15"/>
        <v>0</v>
      </c>
      <c r="I209" s="10">
        <f t="shared" si="15"/>
        <v>0</v>
      </c>
      <c r="J209" s="10">
        <f t="shared" si="13"/>
        <v>0</v>
      </c>
      <c r="K209" s="113">
        <f t="shared" si="14"/>
        <v>344802.41448692151</v>
      </c>
    </row>
    <row r="210" spans="1:11" x14ac:dyDescent="0.25">
      <c r="A210" s="49">
        <f>'A) Base RI'!A209</f>
        <v>5730</v>
      </c>
      <c r="B210" s="294" t="str">
        <f>'A) Base RI'!B209</f>
        <v>Trélex</v>
      </c>
      <c r="C210" s="10">
        <f>'A) Base RI'!AO209</f>
        <v>1445</v>
      </c>
      <c r="D210" s="10">
        <f t="shared" si="12"/>
        <v>1000</v>
      </c>
      <c r="E210" s="421">
        <f t="shared" si="15"/>
        <v>445</v>
      </c>
      <c r="F210" s="10">
        <f t="shared" si="15"/>
        <v>0</v>
      </c>
      <c r="G210" s="421">
        <f t="shared" si="15"/>
        <v>0</v>
      </c>
      <c r="H210" s="41">
        <f t="shared" si="15"/>
        <v>0</v>
      </c>
      <c r="I210" s="10">
        <f t="shared" si="15"/>
        <v>0</v>
      </c>
      <c r="J210" s="10">
        <f t="shared" si="13"/>
        <v>0</v>
      </c>
      <c r="K210" s="113">
        <f t="shared" si="14"/>
        <v>278490.44265593559</v>
      </c>
    </row>
    <row r="211" spans="1:11" x14ac:dyDescent="0.25">
      <c r="A211" s="49">
        <f>'A) Base RI'!A210</f>
        <v>5731</v>
      </c>
      <c r="B211" s="294" t="str">
        <f>'A) Base RI'!B210</f>
        <v>Le Vaud</v>
      </c>
      <c r="C211" s="10">
        <f>'A) Base RI'!AO210</f>
        <v>1366</v>
      </c>
      <c r="D211" s="10">
        <f t="shared" si="12"/>
        <v>1000</v>
      </c>
      <c r="E211" s="421">
        <f t="shared" si="15"/>
        <v>366</v>
      </c>
      <c r="F211" s="10">
        <f t="shared" si="15"/>
        <v>0</v>
      </c>
      <c r="G211" s="421">
        <f t="shared" si="15"/>
        <v>0</v>
      </c>
      <c r="H211" s="41">
        <f t="shared" si="15"/>
        <v>0</v>
      </c>
      <c r="I211" s="10">
        <f t="shared" si="15"/>
        <v>0</v>
      </c>
      <c r="J211" s="10">
        <f t="shared" si="13"/>
        <v>0</v>
      </c>
      <c r="K211" s="113">
        <f t="shared" si="14"/>
        <v>251062.97786720318</v>
      </c>
    </row>
    <row r="212" spans="1:11" x14ac:dyDescent="0.25">
      <c r="A212" s="49">
        <f>'A) Base RI'!A211</f>
        <v>5732</v>
      </c>
      <c r="B212" s="294" t="str">
        <f>'A) Base RI'!B211</f>
        <v>Vich</v>
      </c>
      <c r="C212" s="10">
        <f>'A) Base RI'!AO211</f>
        <v>1156</v>
      </c>
      <c r="D212" s="10">
        <f t="shared" si="12"/>
        <v>1000</v>
      </c>
      <c r="E212" s="421">
        <f t="shared" si="15"/>
        <v>156</v>
      </c>
      <c r="F212" s="10">
        <f t="shared" si="15"/>
        <v>0</v>
      </c>
      <c r="G212" s="421">
        <f t="shared" si="15"/>
        <v>0</v>
      </c>
      <c r="H212" s="41">
        <f t="shared" si="15"/>
        <v>0</v>
      </c>
      <c r="I212" s="10">
        <f t="shared" si="15"/>
        <v>0</v>
      </c>
      <c r="J212" s="10">
        <f t="shared" si="13"/>
        <v>0</v>
      </c>
      <c r="K212" s="113">
        <f t="shared" si="14"/>
        <v>178154.52716297784</v>
      </c>
    </row>
    <row r="213" spans="1:11" x14ac:dyDescent="0.25">
      <c r="A213" s="49">
        <f>'A) Base RI'!A212</f>
        <v>5741</v>
      </c>
      <c r="B213" s="294" t="str">
        <f>'A) Base RI'!B212</f>
        <v>L'Abergement</v>
      </c>
      <c r="C213" s="10">
        <f>'A) Base RI'!AO212</f>
        <v>256</v>
      </c>
      <c r="D213" s="10">
        <f t="shared" si="12"/>
        <v>256</v>
      </c>
      <c r="E213" s="421">
        <f t="shared" si="15"/>
        <v>0</v>
      </c>
      <c r="F213" s="10">
        <f t="shared" si="15"/>
        <v>0</v>
      </c>
      <c r="G213" s="421">
        <f t="shared" si="15"/>
        <v>0</v>
      </c>
      <c r="H213" s="41">
        <f t="shared" si="15"/>
        <v>0</v>
      </c>
      <c r="I213" s="10">
        <f t="shared" si="15"/>
        <v>0</v>
      </c>
      <c r="J213" s="10">
        <f t="shared" si="13"/>
        <v>0</v>
      </c>
      <c r="K213" s="113">
        <f t="shared" si="14"/>
        <v>31742.454728370216</v>
      </c>
    </row>
    <row r="214" spans="1:11" x14ac:dyDescent="0.25">
      <c r="A214" s="49">
        <f>'A) Base RI'!A213</f>
        <v>5742</v>
      </c>
      <c r="B214" s="294" t="str">
        <f>'A) Base RI'!B213</f>
        <v>Agiez</v>
      </c>
      <c r="C214" s="10">
        <f>'A) Base RI'!AO213</f>
        <v>377</v>
      </c>
      <c r="D214" s="10">
        <f t="shared" si="12"/>
        <v>377</v>
      </c>
      <c r="E214" s="421">
        <f t="shared" si="15"/>
        <v>0</v>
      </c>
      <c r="F214" s="10">
        <f t="shared" si="15"/>
        <v>0</v>
      </c>
      <c r="G214" s="421">
        <f t="shared" si="15"/>
        <v>0</v>
      </c>
      <c r="H214" s="41">
        <f t="shared" si="15"/>
        <v>0</v>
      </c>
      <c r="I214" s="10">
        <f t="shared" si="15"/>
        <v>0</v>
      </c>
      <c r="J214" s="10">
        <f t="shared" si="13"/>
        <v>0</v>
      </c>
      <c r="K214" s="113">
        <f t="shared" si="14"/>
        <v>46745.724346076451</v>
      </c>
    </row>
    <row r="215" spans="1:11" x14ac:dyDescent="0.25">
      <c r="A215" s="49">
        <f>'A) Base RI'!A214</f>
        <v>5743</v>
      </c>
      <c r="B215" s="294" t="str">
        <f>'A) Base RI'!B214</f>
        <v>Arnex-sur-Orbe</v>
      </c>
      <c r="C215" s="10">
        <f>'A) Base RI'!AO214</f>
        <v>637</v>
      </c>
      <c r="D215" s="10">
        <f t="shared" si="12"/>
        <v>637</v>
      </c>
      <c r="E215" s="421">
        <f t="shared" si="15"/>
        <v>0</v>
      </c>
      <c r="F215" s="10">
        <f t="shared" si="15"/>
        <v>0</v>
      </c>
      <c r="G215" s="421">
        <f t="shared" si="15"/>
        <v>0</v>
      </c>
      <c r="H215" s="41">
        <f t="shared" si="15"/>
        <v>0</v>
      </c>
      <c r="I215" s="10">
        <f t="shared" si="15"/>
        <v>0</v>
      </c>
      <c r="J215" s="10">
        <f t="shared" si="13"/>
        <v>0</v>
      </c>
      <c r="K215" s="113">
        <f t="shared" si="14"/>
        <v>78984.154929577446</v>
      </c>
    </row>
    <row r="216" spans="1:11" x14ac:dyDescent="0.25">
      <c r="A216" s="49">
        <f>'A) Base RI'!A215</f>
        <v>5744</v>
      </c>
      <c r="B216" s="294" t="str">
        <f>'A) Base RI'!B215</f>
        <v>Ballaigues</v>
      </c>
      <c r="C216" s="10">
        <f>'A) Base RI'!AO215</f>
        <v>1143</v>
      </c>
      <c r="D216" s="10">
        <f t="shared" si="12"/>
        <v>1000</v>
      </c>
      <c r="E216" s="421">
        <f t="shared" si="15"/>
        <v>143</v>
      </c>
      <c r="F216" s="10">
        <f t="shared" si="15"/>
        <v>0</v>
      </c>
      <c r="G216" s="421">
        <f t="shared" si="15"/>
        <v>0</v>
      </c>
      <c r="H216" s="41">
        <f t="shared" si="15"/>
        <v>0</v>
      </c>
      <c r="I216" s="10">
        <f t="shared" si="15"/>
        <v>0</v>
      </c>
      <c r="J216" s="10">
        <f t="shared" si="13"/>
        <v>0</v>
      </c>
      <c r="K216" s="113">
        <f t="shared" si="14"/>
        <v>173641.14688128768</v>
      </c>
    </row>
    <row r="217" spans="1:11" x14ac:dyDescent="0.25">
      <c r="A217" s="49">
        <f>'A) Base RI'!A216</f>
        <v>5745</v>
      </c>
      <c r="B217" s="294" t="str">
        <f>'A) Base RI'!B216</f>
        <v>Baulmes</v>
      </c>
      <c r="C217" s="10">
        <f>'A) Base RI'!AO216</f>
        <v>1074</v>
      </c>
      <c r="D217" s="10">
        <f t="shared" si="12"/>
        <v>1000</v>
      </c>
      <c r="E217" s="421">
        <f t="shared" si="15"/>
        <v>74</v>
      </c>
      <c r="F217" s="10">
        <f t="shared" si="15"/>
        <v>0</v>
      </c>
      <c r="G217" s="421">
        <f t="shared" si="15"/>
        <v>0</v>
      </c>
      <c r="H217" s="41">
        <f t="shared" si="15"/>
        <v>0</v>
      </c>
      <c r="I217" s="10">
        <f t="shared" si="15"/>
        <v>0</v>
      </c>
      <c r="J217" s="10">
        <f t="shared" si="13"/>
        <v>0</v>
      </c>
      <c r="K217" s="113">
        <f t="shared" si="14"/>
        <v>149685.5130784708</v>
      </c>
    </row>
    <row r="218" spans="1:11" x14ac:dyDescent="0.25">
      <c r="A218" s="49">
        <f>'A) Base RI'!A217</f>
        <v>5746</v>
      </c>
      <c r="B218" s="294" t="str">
        <f>'A) Base RI'!B217</f>
        <v>Bavois</v>
      </c>
      <c r="C218" s="10">
        <f>'A) Base RI'!AO217</f>
        <v>994</v>
      </c>
      <c r="D218" s="10">
        <f t="shared" si="12"/>
        <v>994</v>
      </c>
      <c r="E218" s="421">
        <f t="shared" si="15"/>
        <v>0</v>
      </c>
      <c r="F218" s="10">
        <f t="shared" si="15"/>
        <v>0</v>
      </c>
      <c r="G218" s="421">
        <f t="shared" si="15"/>
        <v>0</v>
      </c>
      <c r="H218" s="41">
        <f t="shared" si="15"/>
        <v>0</v>
      </c>
      <c r="I218" s="10">
        <f t="shared" si="15"/>
        <v>0</v>
      </c>
      <c r="J218" s="10">
        <f t="shared" si="13"/>
        <v>0</v>
      </c>
      <c r="K218" s="113">
        <f t="shared" si="14"/>
        <v>123249.99999999999</v>
      </c>
    </row>
    <row r="219" spans="1:11" x14ac:dyDescent="0.25">
      <c r="A219" s="49">
        <f>'A) Base RI'!A218</f>
        <v>5747</v>
      </c>
      <c r="B219" s="294" t="str">
        <f>'A) Base RI'!B218</f>
        <v>Bofflens</v>
      </c>
      <c r="C219" s="10">
        <f>'A) Base RI'!AO218</f>
        <v>206</v>
      </c>
      <c r="D219" s="10">
        <f t="shared" si="12"/>
        <v>206</v>
      </c>
      <c r="E219" s="421">
        <f t="shared" si="15"/>
        <v>0</v>
      </c>
      <c r="F219" s="10">
        <f t="shared" si="15"/>
        <v>0</v>
      </c>
      <c r="G219" s="421">
        <f t="shared" si="15"/>
        <v>0</v>
      </c>
      <c r="H219" s="41">
        <f t="shared" si="15"/>
        <v>0</v>
      </c>
      <c r="I219" s="10">
        <f t="shared" si="15"/>
        <v>0</v>
      </c>
      <c r="J219" s="10">
        <f t="shared" si="13"/>
        <v>0</v>
      </c>
      <c r="K219" s="113">
        <f t="shared" si="14"/>
        <v>25542.756539235408</v>
      </c>
    </row>
    <row r="220" spans="1:11" x14ac:dyDescent="0.25">
      <c r="A220" s="49">
        <f>'A) Base RI'!A219</f>
        <v>5748</v>
      </c>
      <c r="B220" s="294" t="str">
        <f>'A) Base RI'!B219</f>
        <v>Bretonnières</v>
      </c>
      <c r="C220" s="10">
        <f>'A) Base RI'!AO219</f>
        <v>268</v>
      </c>
      <c r="D220" s="10">
        <f t="shared" si="12"/>
        <v>268</v>
      </c>
      <c r="E220" s="421">
        <f t="shared" si="15"/>
        <v>0</v>
      </c>
      <c r="F220" s="10">
        <f t="shared" si="15"/>
        <v>0</v>
      </c>
      <c r="G220" s="421">
        <f t="shared" si="15"/>
        <v>0</v>
      </c>
      <c r="H220" s="41">
        <f t="shared" si="15"/>
        <v>0</v>
      </c>
      <c r="I220" s="10">
        <f t="shared" si="15"/>
        <v>0</v>
      </c>
      <c r="J220" s="10">
        <f t="shared" si="13"/>
        <v>0</v>
      </c>
      <c r="K220" s="113">
        <f t="shared" si="14"/>
        <v>33230.382293762566</v>
      </c>
    </row>
    <row r="221" spans="1:11" x14ac:dyDescent="0.25">
      <c r="A221" s="49">
        <f>'A) Base RI'!A220</f>
        <v>5749</v>
      </c>
      <c r="B221" s="294" t="str">
        <f>'A) Base RI'!B220</f>
        <v>Chavornay</v>
      </c>
      <c r="C221" s="10">
        <f>'A) Base RI'!AO220</f>
        <v>5227</v>
      </c>
      <c r="D221" s="10">
        <f t="shared" si="12"/>
        <v>1000</v>
      </c>
      <c r="E221" s="421">
        <f t="shared" si="15"/>
        <v>2000</v>
      </c>
      <c r="F221" s="10">
        <f t="shared" si="15"/>
        <v>2000</v>
      </c>
      <c r="G221" s="421">
        <f t="shared" si="15"/>
        <v>227</v>
      </c>
      <c r="H221" s="41">
        <f t="shared" si="15"/>
        <v>0</v>
      </c>
      <c r="I221" s="10">
        <f t="shared" si="15"/>
        <v>0</v>
      </c>
      <c r="J221" s="10">
        <f t="shared" si="13"/>
        <v>0</v>
      </c>
      <c r="K221" s="113">
        <f t="shared" si="14"/>
        <v>1945415.6941649897</v>
      </c>
    </row>
    <row r="222" spans="1:11" x14ac:dyDescent="0.25">
      <c r="A222" s="49">
        <f>'A) Base RI'!A221</f>
        <v>5750</v>
      </c>
      <c r="B222" s="294" t="str">
        <f>'A) Base RI'!B221</f>
        <v>Les Clées</v>
      </c>
      <c r="C222" s="10">
        <f>'A) Base RI'!AO221</f>
        <v>187</v>
      </c>
      <c r="D222" s="10">
        <f t="shared" si="12"/>
        <v>187</v>
      </c>
      <c r="E222" s="421">
        <f t="shared" si="15"/>
        <v>0</v>
      </c>
      <c r="F222" s="10">
        <f t="shared" si="15"/>
        <v>0</v>
      </c>
      <c r="G222" s="421">
        <f t="shared" si="15"/>
        <v>0</v>
      </c>
      <c r="H222" s="41">
        <f t="shared" si="15"/>
        <v>0</v>
      </c>
      <c r="I222" s="10">
        <f t="shared" si="15"/>
        <v>0</v>
      </c>
      <c r="J222" s="10">
        <f t="shared" si="13"/>
        <v>0</v>
      </c>
      <c r="K222" s="113">
        <f t="shared" si="14"/>
        <v>23186.87122736418</v>
      </c>
    </row>
    <row r="223" spans="1:11" x14ac:dyDescent="0.25">
      <c r="A223" s="49">
        <f>'A) Base RI'!A222</f>
        <v>5752</v>
      </c>
      <c r="B223" s="294" t="str">
        <f>'A) Base RI'!B222</f>
        <v>Croy</v>
      </c>
      <c r="C223" s="10">
        <f>'A) Base RI'!AO222</f>
        <v>397</v>
      </c>
      <c r="D223" s="10">
        <f t="shared" si="12"/>
        <v>397</v>
      </c>
      <c r="E223" s="421">
        <f t="shared" si="15"/>
        <v>0</v>
      </c>
      <c r="F223" s="10">
        <f t="shared" si="15"/>
        <v>0</v>
      </c>
      <c r="G223" s="421">
        <f t="shared" si="15"/>
        <v>0</v>
      </c>
      <c r="H223" s="41">
        <f t="shared" si="15"/>
        <v>0</v>
      </c>
      <c r="I223" s="10">
        <f t="shared" si="15"/>
        <v>0</v>
      </c>
      <c r="J223" s="10">
        <f t="shared" si="13"/>
        <v>0</v>
      </c>
      <c r="K223" s="113">
        <f t="shared" si="14"/>
        <v>49225.603621730377</v>
      </c>
    </row>
    <row r="224" spans="1:11" x14ac:dyDescent="0.25">
      <c r="A224" s="49">
        <f>'A) Base RI'!A223</f>
        <v>5754</v>
      </c>
      <c r="B224" s="294" t="str">
        <f>'A) Base RI'!B223</f>
        <v>Juriens</v>
      </c>
      <c r="C224" s="10">
        <f>'A) Base RI'!AO223</f>
        <v>336</v>
      </c>
      <c r="D224" s="10">
        <f t="shared" si="12"/>
        <v>336</v>
      </c>
      <c r="E224" s="421">
        <f t="shared" si="15"/>
        <v>0</v>
      </c>
      <c r="F224" s="10">
        <f t="shared" si="15"/>
        <v>0</v>
      </c>
      <c r="G224" s="421">
        <f t="shared" si="15"/>
        <v>0</v>
      </c>
      <c r="H224" s="41">
        <f t="shared" si="15"/>
        <v>0</v>
      </c>
      <c r="I224" s="10">
        <f t="shared" si="15"/>
        <v>0</v>
      </c>
      <c r="J224" s="10">
        <f t="shared" si="13"/>
        <v>0</v>
      </c>
      <c r="K224" s="113">
        <f t="shared" si="14"/>
        <v>41661.971830985909</v>
      </c>
    </row>
    <row r="225" spans="1:11" x14ac:dyDescent="0.25">
      <c r="A225" s="49">
        <f>'A) Base RI'!A224</f>
        <v>5755</v>
      </c>
      <c r="B225" s="294" t="str">
        <f>'A) Base RI'!B224</f>
        <v>Lignerolle</v>
      </c>
      <c r="C225" s="10">
        <f>'A) Base RI'!AO224</f>
        <v>435</v>
      </c>
      <c r="D225" s="10">
        <f t="shared" si="12"/>
        <v>435</v>
      </c>
      <c r="E225" s="421">
        <f t="shared" si="15"/>
        <v>0</v>
      </c>
      <c r="F225" s="10">
        <f t="shared" si="15"/>
        <v>0</v>
      </c>
      <c r="G225" s="421">
        <f t="shared" si="15"/>
        <v>0</v>
      </c>
      <c r="H225" s="41">
        <f t="shared" si="15"/>
        <v>0</v>
      </c>
      <c r="I225" s="10">
        <f t="shared" si="15"/>
        <v>0</v>
      </c>
      <c r="J225" s="10">
        <f t="shared" si="13"/>
        <v>0</v>
      </c>
      <c r="K225" s="113">
        <f t="shared" si="14"/>
        <v>53937.374245472827</v>
      </c>
    </row>
    <row r="226" spans="1:11" x14ac:dyDescent="0.25">
      <c r="A226" s="49">
        <f>'A) Base RI'!A225</f>
        <v>5756</v>
      </c>
      <c r="B226" s="294" t="str">
        <f>'A) Base RI'!B225</f>
        <v>Montcherand</v>
      </c>
      <c r="C226" s="10">
        <f>'A) Base RI'!AO225</f>
        <v>506</v>
      </c>
      <c r="D226" s="10">
        <f t="shared" si="12"/>
        <v>506</v>
      </c>
      <c r="E226" s="421">
        <f t="shared" si="15"/>
        <v>0</v>
      </c>
      <c r="F226" s="10">
        <f t="shared" si="15"/>
        <v>0</v>
      </c>
      <c r="G226" s="421">
        <f t="shared" si="15"/>
        <v>0</v>
      </c>
      <c r="H226" s="41">
        <f t="shared" si="15"/>
        <v>0</v>
      </c>
      <c r="I226" s="10">
        <f t="shared" si="15"/>
        <v>0</v>
      </c>
      <c r="J226" s="10">
        <f t="shared" si="13"/>
        <v>0</v>
      </c>
      <c r="K226" s="113">
        <f t="shared" si="14"/>
        <v>62740.945674044255</v>
      </c>
    </row>
    <row r="227" spans="1:11" x14ac:dyDescent="0.25">
      <c r="A227" s="49">
        <f>'A) Base RI'!A226</f>
        <v>5757</v>
      </c>
      <c r="B227" s="294" t="str">
        <f>'A) Base RI'!B226</f>
        <v>Orbe</v>
      </c>
      <c r="C227" s="10">
        <f>'A) Base RI'!AO226</f>
        <v>7124</v>
      </c>
      <c r="D227" s="10">
        <f t="shared" si="12"/>
        <v>1000</v>
      </c>
      <c r="E227" s="421">
        <f t="shared" si="15"/>
        <v>2000</v>
      </c>
      <c r="F227" s="10">
        <f t="shared" si="15"/>
        <v>2000</v>
      </c>
      <c r="G227" s="421">
        <f t="shared" si="15"/>
        <v>2124</v>
      </c>
      <c r="H227" s="41">
        <f t="shared" si="15"/>
        <v>0</v>
      </c>
      <c r="I227" s="10">
        <f t="shared" si="15"/>
        <v>0</v>
      </c>
      <c r="J227" s="10">
        <f t="shared" si="13"/>
        <v>0</v>
      </c>
      <c r="K227" s="113">
        <f t="shared" si="14"/>
        <v>3074455.1307847081</v>
      </c>
    </row>
    <row r="228" spans="1:11" x14ac:dyDescent="0.25">
      <c r="A228" s="49">
        <f>'A) Base RI'!A227</f>
        <v>5758</v>
      </c>
      <c r="B228" s="294" t="str">
        <f>'A) Base RI'!B227</f>
        <v>La Praz</v>
      </c>
      <c r="C228" s="10">
        <f>'A) Base RI'!AO227</f>
        <v>175</v>
      </c>
      <c r="D228" s="10">
        <f t="shared" si="12"/>
        <v>175</v>
      </c>
      <c r="E228" s="421">
        <f t="shared" si="15"/>
        <v>0</v>
      </c>
      <c r="F228" s="10">
        <f t="shared" si="15"/>
        <v>0</v>
      </c>
      <c r="G228" s="421">
        <f t="shared" si="15"/>
        <v>0</v>
      </c>
      <c r="H228" s="41">
        <f t="shared" si="15"/>
        <v>0</v>
      </c>
      <c r="I228" s="10">
        <f t="shared" si="15"/>
        <v>0</v>
      </c>
      <c r="J228" s="10">
        <f t="shared" si="13"/>
        <v>0</v>
      </c>
      <c r="K228" s="113">
        <f t="shared" si="14"/>
        <v>21698.943661971829</v>
      </c>
    </row>
    <row r="229" spans="1:11" x14ac:dyDescent="0.25">
      <c r="A229" s="49">
        <f>'A) Base RI'!A228</f>
        <v>5759</v>
      </c>
      <c r="B229" s="294" t="str">
        <f>'A) Base RI'!B228</f>
        <v>Premier</v>
      </c>
      <c r="C229" s="10">
        <f>'A) Base RI'!AO228</f>
        <v>218</v>
      </c>
      <c r="D229" s="10">
        <f t="shared" si="12"/>
        <v>218</v>
      </c>
      <c r="E229" s="421">
        <f t="shared" si="15"/>
        <v>0</v>
      </c>
      <c r="F229" s="10">
        <f t="shared" si="15"/>
        <v>0</v>
      </c>
      <c r="G229" s="421">
        <f t="shared" si="15"/>
        <v>0</v>
      </c>
      <c r="H229" s="41">
        <f t="shared" si="15"/>
        <v>0</v>
      </c>
      <c r="I229" s="10">
        <f t="shared" si="15"/>
        <v>0</v>
      </c>
      <c r="J229" s="10">
        <f t="shared" si="13"/>
        <v>0</v>
      </c>
      <c r="K229" s="113">
        <f t="shared" si="14"/>
        <v>27030.684104627762</v>
      </c>
    </row>
    <row r="230" spans="1:11" x14ac:dyDescent="0.25">
      <c r="A230" s="49">
        <f>'A) Base RI'!A229</f>
        <v>5760</v>
      </c>
      <c r="B230" s="294" t="str">
        <f>'A) Base RI'!B229</f>
        <v>Rances</v>
      </c>
      <c r="C230" s="10">
        <f>'A) Base RI'!AO229</f>
        <v>513</v>
      </c>
      <c r="D230" s="10">
        <f t="shared" si="12"/>
        <v>513</v>
      </c>
      <c r="E230" s="421">
        <f t="shared" si="15"/>
        <v>0</v>
      </c>
      <c r="F230" s="10">
        <f t="shared" si="15"/>
        <v>0</v>
      </c>
      <c r="G230" s="421">
        <f t="shared" si="15"/>
        <v>0</v>
      </c>
      <c r="H230" s="41">
        <f t="shared" si="15"/>
        <v>0</v>
      </c>
      <c r="I230" s="10">
        <f t="shared" si="15"/>
        <v>0</v>
      </c>
      <c r="J230" s="10">
        <f t="shared" si="13"/>
        <v>0</v>
      </c>
      <c r="K230" s="113">
        <f t="shared" si="14"/>
        <v>63608.903420523129</v>
      </c>
    </row>
    <row r="231" spans="1:11" x14ac:dyDescent="0.25">
      <c r="A231" s="49">
        <f>'A) Base RI'!A230</f>
        <v>5761</v>
      </c>
      <c r="B231" s="294" t="str">
        <f>'A) Base RI'!B230</f>
        <v>Romainmôtier-Envy</v>
      </c>
      <c r="C231" s="10">
        <f>'A) Base RI'!AO230</f>
        <v>525</v>
      </c>
      <c r="D231" s="10">
        <f t="shared" si="12"/>
        <v>525</v>
      </c>
      <c r="E231" s="421">
        <f t="shared" si="15"/>
        <v>0</v>
      </c>
      <c r="F231" s="10">
        <f t="shared" si="15"/>
        <v>0</v>
      </c>
      <c r="G231" s="421">
        <f t="shared" si="15"/>
        <v>0</v>
      </c>
      <c r="H231" s="41">
        <f t="shared" si="15"/>
        <v>0</v>
      </c>
      <c r="I231" s="10">
        <f t="shared" si="15"/>
        <v>0</v>
      </c>
      <c r="J231" s="10">
        <f t="shared" si="13"/>
        <v>0</v>
      </c>
      <c r="K231" s="113">
        <f t="shared" si="14"/>
        <v>65096.830985915483</v>
      </c>
    </row>
    <row r="232" spans="1:11" x14ac:dyDescent="0.25">
      <c r="A232" s="49">
        <f>'A) Base RI'!A231</f>
        <v>5762</v>
      </c>
      <c r="B232" s="294" t="str">
        <f>'A) Base RI'!B231</f>
        <v>Sergey</v>
      </c>
      <c r="C232" s="10">
        <f>'A) Base RI'!AO231</f>
        <v>145</v>
      </c>
      <c r="D232" s="10">
        <f t="shared" si="12"/>
        <v>145</v>
      </c>
      <c r="E232" s="421">
        <f t="shared" si="15"/>
        <v>0</v>
      </c>
      <c r="F232" s="10">
        <f t="shared" si="15"/>
        <v>0</v>
      </c>
      <c r="G232" s="421">
        <f t="shared" si="15"/>
        <v>0</v>
      </c>
      <c r="H232" s="41">
        <f t="shared" si="15"/>
        <v>0</v>
      </c>
      <c r="I232" s="10">
        <f t="shared" si="15"/>
        <v>0</v>
      </c>
      <c r="J232" s="10">
        <f t="shared" si="13"/>
        <v>0</v>
      </c>
      <c r="K232" s="113">
        <f t="shared" si="14"/>
        <v>17979.124748490944</v>
      </c>
    </row>
    <row r="233" spans="1:11" x14ac:dyDescent="0.25">
      <c r="A233" s="49">
        <f>'A) Base RI'!A232</f>
        <v>5763</v>
      </c>
      <c r="B233" s="294" t="str">
        <f>'A) Base RI'!B232</f>
        <v>Valeyres-sous-Rances</v>
      </c>
      <c r="C233" s="10">
        <f>'A) Base RI'!AO232</f>
        <v>609</v>
      </c>
      <c r="D233" s="10">
        <f t="shared" si="12"/>
        <v>609</v>
      </c>
      <c r="E233" s="421">
        <f t="shared" si="15"/>
        <v>0</v>
      </c>
      <c r="F233" s="10">
        <f t="shared" si="15"/>
        <v>0</v>
      </c>
      <c r="G233" s="421">
        <f t="shared" si="15"/>
        <v>0</v>
      </c>
      <c r="H233" s="41">
        <f t="shared" si="15"/>
        <v>0</v>
      </c>
      <c r="I233" s="10">
        <f t="shared" si="15"/>
        <v>0</v>
      </c>
      <c r="J233" s="10">
        <f t="shared" si="13"/>
        <v>0</v>
      </c>
      <c r="K233" s="113">
        <f t="shared" si="14"/>
        <v>75512.323943661962</v>
      </c>
    </row>
    <row r="234" spans="1:11" x14ac:dyDescent="0.25">
      <c r="A234" s="49">
        <f>'A) Base RI'!A233</f>
        <v>5764</v>
      </c>
      <c r="B234" s="294" t="str">
        <f>'A) Base RI'!B233</f>
        <v>Vallorbe</v>
      </c>
      <c r="C234" s="10">
        <f>'A) Base RI'!AO233</f>
        <v>3874</v>
      </c>
      <c r="D234" s="10">
        <f t="shared" si="12"/>
        <v>1000</v>
      </c>
      <c r="E234" s="421">
        <f t="shared" si="15"/>
        <v>2000</v>
      </c>
      <c r="F234" s="10">
        <f t="shared" si="15"/>
        <v>874</v>
      </c>
      <c r="G234" s="421">
        <f t="shared" si="15"/>
        <v>0</v>
      </c>
      <c r="H234" s="41">
        <f t="shared" si="15"/>
        <v>0</v>
      </c>
      <c r="I234" s="10">
        <f t="shared" si="15"/>
        <v>0</v>
      </c>
      <c r="J234" s="10">
        <f t="shared" si="13"/>
        <v>0</v>
      </c>
      <c r="K234" s="113">
        <f t="shared" si="14"/>
        <v>1251843.0583501004</v>
      </c>
    </row>
    <row r="235" spans="1:11" x14ac:dyDescent="0.25">
      <c r="A235" s="49">
        <f>'A) Base RI'!A234</f>
        <v>5765</v>
      </c>
      <c r="B235" s="294" t="str">
        <f>'A) Base RI'!B234</f>
        <v>Vaulion</v>
      </c>
      <c r="C235" s="10">
        <f>'A) Base RI'!AO234</f>
        <v>506</v>
      </c>
      <c r="D235" s="10">
        <f t="shared" ref="D235:D298" si="16">IF($C235&gt;D$4,IF($C235&lt;D$5,$C235-D$4,D$5-D$4),0)</f>
        <v>506</v>
      </c>
      <c r="E235" s="421">
        <f t="shared" si="15"/>
        <v>0</v>
      </c>
      <c r="F235" s="10">
        <f t="shared" si="15"/>
        <v>0</v>
      </c>
      <c r="G235" s="421">
        <f t="shared" si="15"/>
        <v>0</v>
      </c>
      <c r="H235" s="41">
        <f t="shared" si="15"/>
        <v>0</v>
      </c>
      <c r="I235" s="10">
        <f t="shared" si="15"/>
        <v>0</v>
      </c>
      <c r="J235" s="10">
        <f t="shared" si="13"/>
        <v>0</v>
      </c>
      <c r="K235" s="113">
        <f t="shared" si="14"/>
        <v>62740.945674044255</v>
      </c>
    </row>
    <row r="236" spans="1:11" x14ac:dyDescent="0.25">
      <c r="A236" s="49">
        <f>'A) Base RI'!A235</f>
        <v>5766</v>
      </c>
      <c r="B236" s="294" t="str">
        <f>'A) Base RI'!B235</f>
        <v>Vuiteboeuf</v>
      </c>
      <c r="C236" s="10">
        <f>'A) Base RI'!AO235</f>
        <v>584</v>
      </c>
      <c r="D236" s="10">
        <f t="shared" si="16"/>
        <v>584</v>
      </c>
      <c r="E236" s="421">
        <f t="shared" si="15"/>
        <v>0</v>
      </c>
      <c r="F236" s="10">
        <f t="shared" si="15"/>
        <v>0</v>
      </c>
      <c r="G236" s="421">
        <f t="shared" si="15"/>
        <v>0</v>
      </c>
      <c r="H236" s="41">
        <f t="shared" si="15"/>
        <v>0</v>
      </c>
      <c r="I236" s="10">
        <f t="shared" si="15"/>
        <v>0</v>
      </c>
      <c r="J236" s="10">
        <f t="shared" si="13"/>
        <v>0</v>
      </c>
      <c r="K236" s="113">
        <f t="shared" si="14"/>
        <v>72412.474849094549</v>
      </c>
    </row>
    <row r="237" spans="1:11" x14ac:dyDescent="0.25">
      <c r="A237" s="49">
        <f>'A) Base RI'!A236</f>
        <v>5785</v>
      </c>
      <c r="B237" s="294" t="str">
        <f>'A) Base RI'!B236</f>
        <v>Corcelles-le-Jorat</v>
      </c>
      <c r="C237" s="10">
        <f>'A) Base RI'!AO236</f>
        <v>451</v>
      </c>
      <c r="D237" s="10">
        <f t="shared" si="16"/>
        <v>451</v>
      </c>
      <c r="E237" s="421">
        <f t="shared" si="15"/>
        <v>0</v>
      </c>
      <c r="F237" s="10">
        <f t="shared" si="15"/>
        <v>0</v>
      </c>
      <c r="G237" s="421">
        <f t="shared" si="15"/>
        <v>0</v>
      </c>
      <c r="H237" s="41">
        <f t="shared" si="15"/>
        <v>0</v>
      </c>
      <c r="I237" s="10">
        <f t="shared" si="15"/>
        <v>0</v>
      </c>
      <c r="J237" s="10">
        <f t="shared" si="13"/>
        <v>0</v>
      </c>
      <c r="K237" s="113">
        <f t="shared" si="14"/>
        <v>55921.277665995964</v>
      </c>
    </row>
    <row r="238" spans="1:11" x14ac:dyDescent="0.25">
      <c r="A238" s="49">
        <f>'A) Base RI'!A237</f>
        <v>5788</v>
      </c>
      <c r="B238" s="294" t="str">
        <f>'A) Base RI'!B237</f>
        <v>Essertes</v>
      </c>
      <c r="C238" s="10">
        <f>'A) Base RI'!AO237</f>
        <v>389</v>
      </c>
      <c r="D238" s="10">
        <f t="shared" si="16"/>
        <v>389</v>
      </c>
      <c r="E238" s="421">
        <f t="shared" si="15"/>
        <v>0</v>
      </c>
      <c r="F238" s="10">
        <f t="shared" si="15"/>
        <v>0</v>
      </c>
      <c r="G238" s="421">
        <f t="shared" si="15"/>
        <v>0</v>
      </c>
      <c r="H238" s="41">
        <f t="shared" si="15"/>
        <v>0</v>
      </c>
      <c r="I238" s="10">
        <f t="shared" si="15"/>
        <v>0</v>
      </c>
      <c r="J238" s="10">
        <f t="shared" si="13"/>
        <v>0</v>
      </c>
      <c r="K238" s="113">
        <f t="shared" si="14"/>
        <v>48233.651911468805</v>
      </c>
    </row>
    <row r="239" spans="1:11" x14ac:dyDescent="0.25">
      <c r="A239" s="49">
        <f>'A) Base RI'!A238</f>
        <v>5790</v>
      </c>
      <c r="B239" s="294" t="str">
        <f>'A) Base RI'!B238</f>
        <v>Maracon</v>
      </c>
      <c r="C239" s="10">
        <f>'A) Base RI'!AO238</f>
        <v>538</v>
      </c>
      <c r="D239" s="10">
        <f t="shared" si="16"/>
        <v>538</v>
      </c>
      <c r="E239" s="421">
        <f t="shared" si="15"/>
        <v>0</v>
      </c>
      <c r="F239" s="10">
        <f t="shared" si="15"/>
        <v>0</v>
      </c>
      <c r="G239" s="421">
        <f t="shared" si="15"/>
        <v>0</v>
      </c>
      <c r="H239" s="41">
        <f t="shared" si="15"/>
        <v>0</v>
      </c>
      <c r="I239" s="10">
        <f t="shared" si="15"/>
        <v>0</v>
      </c>
      <c r="J239" s="10">
        <f t="shared" si="13"/>
        <v>0</v>
      </c>
      <c r="K239" s="113">
        <f t="shared" si="14"/>
        <v>66708.752515090528</v>
      </c>
    </row>
    <row r="240" spans="1:11" x14ac:dyDescent="0.25">
      <c r="A240" s="49">
        <f>'A) Base RI'!A239</f>
        <v>5792</v>
      </c>
      <c r="B240" s="294" t="str">
        <f>'A) Base RI'!B239</f>
        <v>Montpreveyres</v>
      </c>
      <c r="C240" s="10">
        <f>'A) Base RI'!AO239</f>
        <v>653</v>
      </c>
      <c r="D240" s="10">
        <f t="shared" si="16"/>
        <v>653</v>
      </c>
      <c r="E240" s="421">
        <f t="shared" si="15"/>
        <v>0</v>
      </c>
      <c r="F240" s="10">
        <f t="shared" si="15"/>
        <v>0</v>
      </c>
      <c r="G240" s="421">
        <f t="shared" si="15"/>
        <v>0</v>
      </c>
      <c r="H240" s="41">
        <f t="shared" si="15"/>
        <v>0</v>
      </c>
      <c r="I240" s="10">
        <f t="shared" si="15"/>
        <v>0</v>
      </c>
      <c r="J240" s="10">
        <f t="shared" si="13"/>
        <v>0</v>
      </c>
      <c r="K240" s="113">
        <f t="shared" si="14"/>
        <v>80968.058350100589</v>
      </c>
    </row>
    <row r="241" spans="1:11" x14ac:dyDescent="0.25">
      <c r="A241" s="49">
        <f>'A) Base RI'!A240</f>
        <v>5798</v>
      </c>
      <c r="B241" s="294" t="str">
        <f>'A) Base RI'!B240</f>
        <v>Ropraz</v>
      </c>
      <c r="C241" s="10">
        <f>'A) Base RI'!AO240</f>
        <v>528</v>
      </c>
      <c r="D241" s="10">
        <f t="shared" si="16"/>
        <v>528</v>
      </c>
      <c r="E241" s="421">
        <f t="shared" si="15"/>
        <v>0</v>
      </c>
      <c r="F241" s="10">
        <f t="shared" si="15"/>
        <v>0</v>
      </c>
      <c r="G241" s="421">
        <f t="shared" si="15"/>
        <v>0</v>
      </c>
      <c r="H241" s="41">
        <f t="shared" si="15"/>
        <v>0</v>
      </c>
      <c r="I241" s="10">
        <f t="shared" si="15"/>
        <v>0</v>
      </c>
      <c r="J241" s="10">
        <f t="shared" si="13"/>
        <v>0</v>
      </c>
      <c r="K241" s="113">
        <f t="shared" si="14"/>
        <v>65468.812877263568</v>
      </c>
    </row>
    <row r="242" spans="1:11" x14ac:dyDescent="0.25">
      <c r="A242" s="49">
        <f>'A) Base RI'!A241</f>
        <v>5799</v>
      </c>
      <c r="B242" s="294" t="str">
        <f>'A) Base RI'!B241</f>
        <v>Servion</v>
      </c>
      <c r="C242" s="10">
        <f>'A) Base RI'!AO241</f>
        <v>2076</v>
      </c>
      <c r="D242" s="10">
        <f t="shared" si="16"/>
        <v>1000</v>
      </c>
      <c r="E242" s="421">
        <f t="shared" si="15"/>
        <v>1076</v>
      </c>
      <c r="F242" s="10">
        <f t="shared" si="15"/>
        <v>0</v>
      </c>
      <c r="G242" s="421">
        <f t="shared" si="15"/>
        <v>0</v>
      </c>
      <c r="H242" s="41">
        <f t="shared" si="15"/>
        <v>0</v>
      </c>
      <c r="I242" s="10">
        <f t="shared" si="15"/>
        <v>0</v>
      </c>
      <c r="J242" s="10">
        <f t="shared" si="13"/>
        <v>0</v>
      </c>
      <c r="K242" s="113">
        <f t="shared" si="14"/>
        <v>497562.97786720318</v>
      </c>
    </row>
    <row r="243" spans="1:11" x14ac:dyDescent="0.25">
      <c r="A243" s="49">
        <f>'A) Base RI'!A242</f>
        <v>5803</v>
      </c>
      <c r="B243" s="294" t="str">
        <f>'A) Base RI'!B242</f>
        <v>Vulliens</v>
      </c>
      <c r="C243" s="10">
        <f>'A) Base RI'!AO242</f>
        <v>624</v>
      </c>
      <c r="D243" s="10">
        <f t="shared" si="16"/>
        <v>624</v>
      </c>
      <c r="E243" s="421">
        <f t="shared" si="15"/>
        <v>0</v>
      </c>
      <c r="F243" s="10">
        <f t="shared" si="15"/>
        <v>0</v>
      </c>
      <c r="G243" s="421">
        <f t="shared" si="15"/>
        <v>0</v>
      </c>
      <c r="H243" s="41">
        <f t="shared" si="15"/>
        <v>0</v>
      </c>
      <c r="I243" s="10">
        <f t="shared" si="15"/>
        <v>0</v>
      </c>
      <c r="J243" s="10">
        <f t="shared" si="13"/>
        <v>0</v>
      </c>
      <c r="K243" s="113">
        <f t="shared" si="14"/>
        <v>77372.233400402401</v>
      </c>
    </row>
    <row r="244" spans="1:11" x14ac:dyDescent="0.25">
      <c r="A244" s="49">
        <f>'A) Base RI'!A243</f>
        <v>5804</v>
      </c>
      <c r="B244" s="294" t="str">
        <f>'A) Base RI'!B243</f>
        <v>Jorat-Menthue</v>
      </c>
      <c r="C244" s="10">
        <f>'A) Base RI'!AO243</f>
        <v>1602</v>
      </c>
      <c r="D244" s="10">
        <f t="shared" si="16"/>
        <v>1000</v>
      </c>
      <c r="E244" s="421">
        <f t="shared" si="15"/>
        <v>602</v>
      </c>
      <c r="F244" s="10">
        <f t="shared" si="15"/>
        <v>0</v>
      </c>
      <c r="G244" s="421">
        <f t="shared" si="15"/>
        <v>0</v>
      </c>
      <c r="H244" s="41">
        <f t="shared" si="15"/>
        <v>0</v>
      </c>
      <c r="I244" s="10">
        <f t="shared" si="15"/>
        <v>0</v>
      </c>
      <c r="J244" s="10">
        <f t="shared" si="13"/>
        <v>0</v>
      </c>
      <c r="K244" s="113">
        <f t="shared" si="14"/>
        <v>332998.18913480878</v>
      </c>
    </row>
    <row r="245" spans="1:11" x14ac:dyDescent="0.25">
      <c r="A245" s="49">
        <f>'A) Base RI'!A244</f>
        <v>5805</v>
      </c>
      <c r="B245" s="294" t="str">
        <f>'A) Base RI'!B244</f>
        <v>Oron</v>
      </c>
      <c r="C245" s="10">
        <f>'A) Base RI'!AO244</f>
        <v>5663</v>
      </c>
      <c r="D245" s="10">
        <f t="shared" si="16"/>
        <v>1000</v>
      </c>
      <c r="E245" s="421">
        <f t="shared" si="15"/>
        <v>2000</v>
      </c>
      <c r="F245" s="10">
        <f t="shared" si="15"/>
        <v>2000</v>
      </c>
      <c r="G245" s="421">
        <f t="shared" si="15"/>
        <v>663</v>
      </c>
      <c r="H245" s="41">
        <f t="shared" si="15"/>
        <v>0</v>
      </c>
      <c r="I245" s="10">
        <f t="shared" si="15"/>
        <v>0</v>
      </c>
      <c r="J245" s="10">
        <f t="shared" si="13"/>
        <v>0</v>
      </c>
      <c r="K245" s="113">
        <f t="shared" si="14"/>
        <v>2204910.2615694162</v>
      </c>
    </row>
    <row r="246" spans="1:11" x14ac:dyDescent="0.25">
      <c r="A246" s="49">
        <f>'A) Base RI'!A245</f>
        <v>5806</v>
      </c>
      <c r="B246" s="294" t="str">
        <f>'A) Base RI'!B245</f>
        <v>Jorat-Mézières</v>
      </c>
      <c r="C246" s="10">
        <f>'A) Base RI'!AO245</f>
        <v>2966</v>
      </c>
      <c r="D246" s="10">
        <f t="shared" si="16"/>
        <v>1000</v>
      </c>
      <c r="E246" s="421">
        <f t="shared" si="15"/>
        <v>1966</v>
      </c>
      <c r="F246" s="10">
        <f t="shared" si="15"/>
        <v>0</v>
      </c>
      <c r="G246" s="421">
        <f t="shared" si="15"/>
        <v>0</v>
      </c>
      <c r="H246" s="41">
        <f t="shared" si="15"/>
        <v>0</v>
      </c>
      <c r="I246" s="10">
        <f t="shared" si="15"/>
        <v>0</v>
      </c>
      <c r="J246" s="10">
        <f t="shared" si="13"/>
        <v>0</v>
      </c>
      <c r="K246" s="113">
        <f t="shared" si="14"/>
        <v>806555.93561368203</v>
      </c>
    </row>
    <row r="247" spans="1:11" x14ac:dyDescent="0.25">
      <c r="A247" s="49">
        <f>'A) Base RI'!A246</f>
        <v>5812</v>
      </c>
      <c r="B247" s="294" t="str">
        <f>'A) Base RI'!B246</f>
        <v>Champtauroz</v>
      </c>
      <c r="C247" s="10">
        <f>'A) Base RI'!AO246</f>
        <v>144</v>
      </c>
      <c r="D247" s="10">
        <f t="shared" si="16"/>
        <v>144</v>
      </c>
      <c r="E247" s="421">
        <f t="shared" si="15"/>
        <v>0</v>
      </c>
      <c r="F247" s="10">
        <f t="shared" si="15"/>
        <v>0</v>
      </c>
      <c r="G247" s="421">
        <f t="shared" si="15"/>
        <v>0</v>
      </c>
      <c r="H247" s="41">
        <f t="shared" si="15"/>
        <v>0</v>
      </c>
      <c r="I247" s="10">
        <f t="shared" si="15"/>
        <v>0</v>
      </c>
      <c r="J247" s="10">
        <f t="shared" si="13"/>
        <v>0</v>
      </c>
      <c r="K247" s="113">
        <f t="shared" si="14"/>
        <v>17855.130784708246</v>
      </c>
    </row>
    <row r="248" spans="1:11" x14ac:dyDescent="0.25">
      <c r="A248" s="49">
        <f>'A) Base RI'!A247</f>
        <v>5813</v>
      </c>
      <c r="B248" s="294" t="str">
        <f>'A) Base RI'!B247</f>
        <v>Chevroux</v>
      </c>
      <c r="C248" s="10">
        <f>'A) Base RI'!AO247</f>
        <v>495</v>
      </c>
      <c r="D248" s="10">
        <f t="shared" si="16"/>
        <v>495</v>
      </c>
      <c r="E248" s="421">
        <f t="shared" si="15"/>
        <v>0</v>
      </c>
      <c r="F248" s="10">
        <f t="shared" si="15"/>
        <v>0</v>
      </c>
      <c r="G248" s="421">
        <f t="shared" si="15"/>
        <v>0</v>
      </c>
      <c r="H248" s="41">
        <f t="shared" si="15"/>
        <v>0</v>
      </c>
      <c r="I248" s="10">
        <f t="shared" si="15"/>
        <v>0</v>
      </c>
      <c r="J248" s="10">
        <f t="shared" si="13"/>
        <v>0</v>
      </c>
      <c r="K248" s="113">
        <f t="shared" si="14"/>
        <v>61377.012072434598</v>
      </c>
    </row>
    <row r="249" spans="1:11" x14ac:dyDescent="0.25">
      <c r="A249" s="49">
        <f>'A) Base RI'!A248</f>
        <v>5816</v>
      </c>
      <c r="B249" s="294" t="str">
        <f>'A) Base RI'!B248</f>
        <v>Corcelles-près-Payerne</v>
      </c>
      <c r="C249" s="10">
        <f>'A) Base RI'!AO248</f>
        <v>2681</v>
      </c>
      <c r="D249" s="10">
        <f t="shared" si="16"/>
        <v>1000</v>
      </c>
      <c r="E249" s="421">
        <f t="shared" si="15"/>
        <v>1681</v>
      </c>
      <c r="F249" s="10">
        <f t="shared" si="15"/>
        <v>0</v>
      </c>
      <c r="G249" s="421">
        <f t="shared" si="15"/>
        <v>0</v>
      </c>
      <c r="H249" s="41">
        <f t="shared" si="15"/>
        <v>0</v>
      </c>
      <c r="I249" s="10">
        <f t="shared" si="15"/>
        <v>0</v>
      </c>
      <c r="J249" s="10">
        <f t="shared" si="13"/>
        <v>0</v>
      </c>
      <c r="K249" s="113">
        <f t="shared" si="14"/>
        <v>707608.75251509051</v>
      </c>
    </row>
    <row r="250" spans="1:11" x14ac:dyDescent="0.25">
      <c r="A250" s="49">
        <f>'A) Base RI'!A249</f>
        <v>5817</v>
      </c>
      <c r="B250" s="294" t="str">
        <f>'A) Base RI'!B249</f>
        <v>Grandcour</v>
      </c>
      <c r="C250" s="10">
        <f>'A) Base RI'!AO249</f>
        <v>967</v>
      </c>
      <c r="D250" s="10">
        <f t="shared" si="16"/>
        <v>967</v>
      </c>
      <c r="E250" s="421">
        <f t="shared" si="15"/>
        <v>0</v>
      </c>
      <c r="F250" s="10">
        <f t="shared" si="15"/>
        <v>0</v>
      </c>
      <c r="G250" s="421">
        <f t="shared" si="15"/>
        <v>0</v>
      </c>
      <c r="H250" s="41">
        <f t="shared" si="15"/>
        <v>0</v>
      </c>
      <c r="I250" s="10">
        <f t="shared" si="15"/>
        <v>0</v>
      </c>
      <c r="J250" s="10">
        <f t="shared" si="13"/>
        <v>0</v>
      </c>
      <c r="K250" s="113">
        <f t="shared" si="14"/>
        <v>119902.16297786718</v>
      </c>
    </row>
    <row r="251" spans="1:11" x14ac:dyDescent="0.25">
      <c r="A251" s="49">
        <f>'A) Base RI'!A250</f>
        <v>5819</v>
      </c>
      <c r="B251" s="294" t="str">
        <f>'A) Base RI'!B250</f>
        <v>Henniez</v>
      </c>
      <c r="C251" s="10">
        <f>'A) Base RI'!AO250</f>
        <v>396</v>
      </c>
      <c r="D251" s="10">
        <f t="shared" si="16"/>
        <v>396</v>
      </c>
      <c r="E251" s="421">
        <f t="shared" si="15"/>
        <v>0</v>
      </c>
      <c r="F251" s="10">
        <f t="shared" si="15"/>
        <v>0</v>
      </c>
      <c r="G251" s="421">
        <f t="shared" si="15"/>
        <v>0</v>
      </c>
      <c r="H251" s="41">
        <f t="shared" si="15"/>
        <v>0</v>
      </c>
      <c r="I251" s="10">
        <f t="shared" si="15"/>
        <v>0</v>
      </c>
      <c r="J251" s="10">
        <f t="shared" si="13"/>
        <v>0</v>
      </c>
      <c r="K251" s="113">
        <f t="shared" si="14"/>
        <v>49101.60965794768</v>
      </c>
    </row>
    <row r="252" spans="1:11" x14ac:dyDescent="0.25">
      <c r="A252" s="49">
        <f>'A) Base RI'!A251</f>
        <v>5821</v>
      </c>
      <c r="B252" s="294" t="str">
        <f>'A) Base RI'!B251</f>
        <v>Missy</v>
      </c>
      <c r="C252" s="10">
        <f>'A) Base RI'!AO251</f>
        <v>368</v>
      </c>
      <c r="D252" s="10">
        <f t="shared" si="16"/>
        <v>368</v>
      </c>
      <c r="E252" s="421">
        <f t="shared" si="15"/>
        <v>0</v>
      </c>
      <c r="F252" s="10">
        <f t="shared" si="15"/>
        <v>0</v>
      </c>
      <c r="G252" s="421">
        <f t="shared" si="15"/>
        <v>0</v>
      </c>
      <c r="H252" s="41">
        <f t="shared" si="15"/>
        <v>0</v>
      </c>
      <c r="I252" s="10">
        <f t="shared" si="15"/>
        <v>0</v>
      </c>
      <c r="J252" s="10">
        <f t="shared" si="13"/>
        <v>0</v>
      </c>
      <c r="K252" s="113">
        <f t="shared" si="14"/>
        <v>45629.778672032182</v>
      </c>
    </row>
    <row r="253" spans="1:11" x14ac:dyDescent="0.25">
      <c r="A253" s="49">
        <f>'A) Base RI'!A252</f>
        <v>5822</v>
      </c>
      <c r="B253" s="294" t="str">
        <f>'A) Base RI'!B252</f>
        <v>Payerne</v>
      </c>
      <c r="C253" s="10">
        <f>'A) Base RI'!AO252</f>
        <v>10108</v>
      </c>
      <c r="D253" s="10">
        <f t="shared" si="16"/>
        <v>1000</v>
      </c>
      <c r="E253" s="421">
        <f t="shared" si="15"/>
        <v>2000</v>
      </c>
      <c r="F253" s="10">
        <f t="shared" si="15"/>
        <v>2000</v>
      </c>
      <c r="G253" s="421">
        <f t="shared" si="15"/>
        <v>4000</v>
      </c>
      <c r="H253" s="41">
        <f t="shared" si="15"/>
        <v>1108</v>
      </c>
      <c r="I253" s="10">
        <f t="shared" si="15"/>
        <v>0</v>
      </c>
      <c r="J253" s="10">
        <f t="shared" si="13"/>
        <v>0</v>
      </c>
      <c r="K253" s="113">
        <f t="shared" si="14"/>
        <v>5125216.0965794763</v>
      </c>
    </row>
    <row r="254" spans="1:11" x14ac:dyDescent="0.25">
      <c r="A254" s="49">
        <f>'A) Base RI'!A253</f>
        <v>5827</v>
      </c>
      <c r="B254" s="294" t="str">
        <f>'A) Base RI'!B253</f>
        <v>Trey</v>
      </c>
      <c r="C254" s="10">
        <f>'A) Base RI'!AO253</f>
        <v>302</v>
      </c>
      <c r="D254" s="10">
        <f t="shared" si="16"/>
        <v>302</v>
      </c>
      <c r="E254" s="421">
        <f t="shared" si="15"/>
        <v>0</v>
      </c>
      <c r="F254" s="10">
        <f t="shared" si="15"/>
        <v>0</v>
      </c>
      <c r="G254" s="421">
        <f t="shared" si="15"/>
        <v>0</v>
      </c>
      <c r="H254" s="41">
        <f t="shared" si="15"/>
        <v>0</v>
      </c>
      <c r="I254" s="10">
        <f t="shared" si="15"/>
        <v>0</v>
      </c>
      <c r="J254" s="10">
        <f t="shared" si="13"/>
        <v>0</v>
      </c>
      <c r="K254" s="113">
        <f t="shared" si="14"/>
        <v>37446.177062374241</v>
      </c>
    </row>
    <row r="255" spans="1:11" x14ac:dyDescent="0.25">
      <c r="A255" s="49">
        <f>'A) Base RI'!A254</f>
        <v>5828</v>
      </c>
      <c r="B255" s="294" t="str">
        <f>'A) Base RI'!B254</f>
        <v>Treytorrens (Payerne)</v>
      </c>
      <c r="C255" s="10">
        <f>'A) Base RI'!AO254</f>
        <v>114</v>
      </c>
      <c r="D255" s="10">
        <f t="shared" si="16"/>
        <v>114</v>
      </c>
      <c r="E255" s="421">
        <f t="shared" si="15"/>
        <v>0</v>
      </c>
      <c r="F255" s="10">
        <f t="shared" si="15"/>
        <v>0</v>
      </c>
      <c r="G255" s="421">
        <f t="shared" si="15"/>
        <v>0</v>
      </c>
      <c r="H255" s="41">
        <f t="shared" si="15"/>
        <v>0</v>
      </c>
      <c r="I255" s="10">
        <f t="shared" si="15"/>
        <v>0</v>
      </c>
      <c r="J255" s="10">
        <f t="shared" si="13"/>
        <v>0</v>
      </c>
      <c r="K255" s="113">
        <f t="shared" si="14"/>
        <v>14135.311871227363</v>
      </c>
    </row>
    <row r="256" spans="1:11" x14ac:dyDescent="0.25">
      <c r="A256" s="49">
        <f>'A) Base RI'!A255</f>
        <v>5830</v>
      </c>
      <c r="B256" s="294" t="str">
        <f>'A) Base RI'!B255</f>
        <v>Villarzel</v>
      </c>
      <c r="C256" s="10">
        <f>'A) Base RI'!AO255</f>
        <v>477</v>
      </c>
      <c r="D256" s="10">
        <f t="shared" si="16"/>
        <v>477</v>
      </c>
      <c r="E256" s="421">
        <f t="shared" si="15"/>
        <v>0</v>
      </c>
      <c r="F256" s="10">
        <f t="shared" si="15"/>
        <v>0</v>
      </c>
      <c r="G256" s="421">
        <f t="shared" si="15"/>
        <v>0</v>
      </c>
      <c r="H256" s="41">
        <f t="shared" si="15"/>
        <v>0</v>
      </c>
      <c r="I256" s="10">
        <f t="shared" si="15"/>
        <v>0</v>
      </c>
      <c r="J256" s="10">
        <f t="shared" si="13"/>
        <v>0</v>
      </c>
      <c r="K256" s="113">
        <f t="shared" si="14"/>
        <v>59145.120724346067</v>
      </c>
    </row>
    <row r="257" spans="1:11" x14ac:dyDescent="0.25">
      <c r="A257" s="49">
        <f>'A) Base RI'!A256</f>
        <v>5831</v>
      </c>
      <c r="B257" s="294" t="str">
        <f>'A) Base RI'!B256</f>
        <v>Valbroye</v>
      </c>
      <c r="C257" s="10">
        <f>'A) Base RI'!AO256</f>
        <v>3373</v>
      </c>
      <c r="D257" s="10">
        <f t="shared" si="16"/>
        <v>1000</v>
      </c>
      <c r="E257" s="421">
        <f t="shared" si="15"/>
        <v>2000</v>
      </c>
      <c r="F257" s="10">
        <f t="shared" si="15"/>
        <v>373</v>
      </c>
      <c r="G257" s="421">
        <f t="shared" si="15"/>
        <v>0</v>
      </c>
      <c r="H257" s="41">
        <f t="shared" si="15"/>
        <v>0</v>
      </c>
      <c r="I257" s="10">
        <f t="shared" si="15"/>
        <v>0</v>
      </c>
      <c r="J257" s="10">
        <f t="shared" si="13"/>
        <v>0</v>
      </c>
      <c r="K257" s="113">
        <f t="shared" si="14"/>
        <v>1003359.1549295774</v>
      </c>
    </row>
    <row r="258" spans="1:11" x14ac:dyDescent="0.25">
      <c r="A258" s="49">
        <f>'A) Base RI'!A257</f>
        <v>5841</v>
      </c>
      <c r="B258" s="294" t="str">
        <f>'A) Base RI'!B257</f>
        <v>Château-d'Oex</v>
      </c>
      <c r="C258" s="10">
        <f>'A) Base RI'!AO257</f>
        <v>3494</v>
      </c>
      <c r="D258" s="10">
        <f t="shared" si="16"/>
        <v>1000</v>
      </c>
      <c r="E258" s="421">
        <f t="shared" si="15"/>
        <v>2000</v>
      </c>
      <c r="F258" s="10">
        <f t="shared" si="15"/>
        <v>494</v>
      </c>
      <c r="G258" s="421">
        <f t="shared" si="15"/>
        <v>0</v>
      </c>
      <c r="H258" s="41">
        <f t="shared" si="15"/>
        <v>0</v>
      </c>
      <c r="I258" s="10">
        <f t="shared" si="15"/>
        <v>0</v>
      </c>
      <c r="J258" s="10">
        <f t="shared" si="13"/>
        <v>0</v>
      </c>
      <c r="K258" s="113">
        <f t="shared" si="14"/>
        <v>1063372.2334004024</v>
      </c>
    </row>
    <row r="259" spans="1:11" x14ac:dyDescent="0.25">
      <c r="A259" s="49">
        <f>'A) Base RI'!A258</f>
        <v>5842</v>
      </c>
      <c r="B259" s="294" t="str">
        <f>'A) Base RI'!B258</f>
        <v>Rossinière</v>
      </c>
      <c r="C259" s="10">
        <f>'A) Base RI'!AO258</f>
        <v>537</v>
      </c>
      <c r="D259" s="10">
        <f t="shared" si="16"/>
        <v>537</v>
      </c>
      <c r="E259" s="421">
        <f t="shared" si="15"/>
        <v>0</v>
      </c>
      <c r="F259" s="10">
        <f t="shared" si="15"/>
        <v>0</v>
      </c>
      <c r="G259" s="421">
        <f t="shared" ref="E259:I310" si="17">IF($C259&gt;G$4,IF($C259&lt;G$5,$C259-G$4,G$5-G$4),0)</f>
        <v>0</v>
      </c>
      <c r="H259" s="41">
        <f t="shared" si="17"/>
        <v>0</v>
      </c>
      <c r="I259" s="10">
        <f t="shared" si="17"/>
        <v>0</v>
      </c>
      <c r="J259" s="10">
        <f t="shared" si="13"/>
        <v>0</v>
      </c>
      <c r="K259" s="113">
        <f t="shared" si="14"/>
        <v>66584.758551307837</v>
      </c>
    </row>
    <row r="260" spans="1:11" x14ac:dyDescent="0.25">
      <c r="A260" s="49">
        <f>'A) Base RI'!A259</f>
        <v>5843</v>
      </c>
      <c r="B260" s="294" t="str">
        <f>'A) Base RI'!B259</f>
        <v>Rougemont</v>
      </c>
      <c r="C260" s="10">
        <f>'A) Base RI'!AO259</f>
        <v>863</v>
      </c>
      <c r="D260" s="10">
        <f t="shared" si="16"/>
        <v>863</v>
      </c>
      <c r="E260" s="421">
        <f t="shared" si="17"/>
        <v>0</v>
      </c>
      <c r="F260" s="10">
        <f t="shared" si="17"/>
        <v>0</v>
      </c>
      <c r="G260" s="421">
        <f t="shared" si="17"/>
        <v>0</v>
      </c>
      <c r="H260" s="41">
        <f t="shared" si="17"/>
        <v>0</v>
      </c>
      <c r="I260" s="10">
        <f t="shared" si="17"/>
        <v>0</v>
      </c>
      <c r="J260" s="10">
        <f t="shared" si="13"/>
        <v>0</v>
      </c>
      <c r="K260" s="113">
        <f t="shared" si="14"/>
        <v>107006.79074446678</v>
      </c>
    </row>
    <row r="261" spans="1:11" x14ac:dyDescent="0.25">
      <c r="A261" s="49">
        <f>'A) Base RI'!A260</f>
        <v>5851</v>
      </c>
      <c r="B261" s="294" t="str">
        <f>'A) Base RI'!B260</f>
        <v>Allaman</v>
      </c>
      <c r="C261" s="10">
        <f>'A) Base RI'!AO260</f>
        <v>443</v>
      </c>
      <c r="D261" s="10">
        <f t="shared" si="16"/>
        <v>443</v>
      </c>
      <c r="E261" s="421">
        <f t="shared" si="17"/>
        <v>0</v>
      </c>
      <c r="F261" s="10">
        <f t="shared" si="17"/>
        <v>0</v>
      </c>
      <c r="G261" s="421">
        <f t="shared" si="17"/>
        <v>0</v>
      </c>
      <c r="H261" s="41">
        <f t="shared" si="17"/>
        <v>0</v>
      </c>
      <c r="I261" s="10">
        <f t="shared" si="17"/>
        <v>0</v>
      </c>
      <c r="J261" s="10">
        <f t="shared" si="13"/>
        <v>0</v>
      </c>
      <c r="K261" s="113">
        <f t="shared" si="14"/>
        <v>54929.325955734399</v>
      </c>
    </row>
    <row r="262" spans="1:11" x14ac:dyDescent="0.25">
      <c r="A262" s="49">
        <f>'A) Base RI'!A261</f>
        <v>5852</v>
      </c>
      <c r="B262" s="294" t="str">
        <f>'A) Base RI'!B261</f>
        <v>Bursinel</v>
      </c>
      <c r="C262" s="10">
        <f>'A) Base RI'!AO261</f>
        <v>491</v>
      </c>
      <c r="D262" s="10">
        <f t="shared" si="16"/>
        <v>491</v>
      </c>
      <c r="E262" s="421">
        <f t="shared" si="17"/>
        <v>0</v>
      </c>
      <c r="F262" s="10">
        <f t="shared" si="17"/>
        <v>0</v>
      </c>
      <c r="G262" s="421">
        <f t="shared" si="17"/>
        <v>0</v>
      </c>
      <c r="H262" s="41">
        <f t="shared" si="17"/>
        <v>0</v>
      </c>
      <c r="I262" s="10">
        <f t="shared" si="17"/>
        <v>0</v>
      </c>
      <c r="J262" s="10">
        <f t="shared" si="13"/>
        <v>0</v>
      </c>
      <c r="K262" s="113">
        <f t="shared" si="14"/>
        <v>60881.036217303816</v>
      </c>
    </row>
    <row r="263" spans="1:11" x14ac:dyDescent="0.25">
      <c r="A263" s="49">
        <f>'A) Base RI'!A262</f>
        <v>5853</v>
      </c>
      <c r="B263" s="294" t="str">
        <f>'A) Base RI'!B262</f>
        <v>Bursins</v>
      </c>
      <c r="C263" s="10">
        <f>'A) Base RI'!AO262</f>
        <v>773</v>
      </c>
      <c r="D263" s="10">
        <f t="shared" si="16"/>
        <v>773</v>
      </c>
      <c r="E263" s="421">
        <f t="shared" si="17"/>
        <v>0</v>
      </c>
      <c r="F263" s="10">
        <f t="shared" si="17"/>
        <v>0</v>
      </c>
      <c r="G263" s="421">
        <f t="shared" si="17"/>
        <v>0</v>
      </c>
      <c r="H263" s="41">
        <f t="shared" si="17"/>
        <v>0</v>
      </c>
      <c r="I263" s="10">
        <f t="shared" si="17"/>
        <v>0</v>
      </c>
      <c r="J263" s="10">
        <f t="shared" si="13"/>
        <v>0</v>
      </c>
      <c r="K263" s="113">
        <f t="shared" si="14"/>
        <v>95847.334004024131</v>
      </c>
    </row>
    <row r="264" spans="1:11" x14ac:dyDescent="0.25">
      <c r="A264" s="49">
        <f>'A) Base RI'!A263</f>
        <v>5854</v>
      </c>
      <c r="B264" s="294" t="str">
        <f>'A) Base RI'!B263</f>
        <v>Burtigny</v>
      </c>
      <c r="C264" s="10">
        <f>'A) Base RI'!AO263</f>
        <v>404</v>
      </c>
      <c r="D264" s="10">
        <f t="shared" si="16"/>
        <v>404</v>
      </c>
      <c r="E264" s="421">
        <f t="shared" si="17"/>
        <v>0</v>
      </c>
      <c r="F264" s="10">
        <f t="shared" si="17"/>
        <v>0</v>
      </c>
      <c r="G264" s="421">
        <f t="shared" si="17"/>
        <v>0</v>
      </c>
      <c r="H264" s="41">
        <f t="shared" si="17"/>
        <v>0</v>
      </c>
      <c r="I264" s="10">
        <f t="shared" si="17"/>
        <v>0</v>
      </c>
      <c r="J264" s="10">
        <f t="shared" si="13"/>
        <v>0</v>
      </c>
      <c r="K264" s="113">
        <f t="shared" si="14"/>
        <v>50093.561368209244</v>
      </c>
    </row>
    <row r="265" spans="1:11" x14ac:dyDescent="0.25">
      <c r="A265" s="49">
        <f>'A) Base RI'!A264</f>
        <v>5855</v>
      </c>
      <c r="B265" s="294" t="str">
        <f>'A) Base RI'!B264</f>
        <v>Dully</v>
      </c>
      <c r="C265" s="10">
        <f>'A) Base RI'!AO264</f>
        <v>628</v>
      </c>
      <c r="D265" s="10">
        <f t="shared" si="16"/>
        <v>628</v>
      </c>
      <c r="E265" s="421">
        <f t="shared" si="17"/>
        <v>0</v>
      </c>
      <c r="F265" s="10">
        <f t="shared" si="17"/>
        <v>0</v>
      </c>
      <c r="G265" s="421">
        <f t="shared" si="17"/>
        <v>0</v>
      </c>
      <c r="H265" s="41">
        <f t="shared" si="17"/>
        <v>0</v>
      </c>
      <c r="I265" s="10">
        <f t="shared" si="17"/>
        <v>0</v>
      </c>
      <c r="J265" s="10">
        <f t="shared" ref="J265:J316" si="18">IF(C265&gt;$J$4,C265-$J$4,0)</f>
        <v>0</v>
      </c>
      <c r="K265" s="113">
        <f t="shared" ref="K265:K316" si="19">(D265*D$7)+(E265*E$7)+(F265*F$7)+(G265*G$7)+(H265*H$7)+(I265*I$7)+(J265*J$7)</f>
        <v>77868.209255533191</v>
      </c>
    </row>
    <row r="266" spans="1:11" x14ac:dyDescent="0.25">
      <c r="A266" s="49">
        <f>'A) Base RI'!A265</f>
        <v>5856</v>
      </c>
      <c r="B266" s="294" t="str">
        <f>'A) Base RI'!B265</f>
        <v>Essertines-sur-Rolle</v>
      </c>
      <c r="C266" s="10">
        <f>'A) Base RI'!AO265</f>
        <v>740</v>
      </c>
      <c r="D266" s="10">
        <f t="shared" si="16"/>
        <v>740</v>
      </c>
      <c r="E266" s="421">
        <f t="shared" si="17"/>
        <v>0</v>
      </c>
      <c r="F266" s="10">
        <f t="shared" si="17"/>
        <v>0</v>
      </c>
      <c r="G266" s="421">
        <f t="shared" si="17"/>
        <v>0</v>
      </c>
      <c r="H266" s="41">
        <f t="shared" si="17"/>
        <v>0</v>
      </c>
      <c r="I266" s="10">
        <f t="shared" si="17"/>
        <v>0</v>
      </c>
      <c r="J266" s="10">
        <f t="shared" si="18"/>
        <v>0</v>
      </c>
      <c r="K266" s="113">
        <f t="shared" si="19"/>
        <v>91755.533199195153</v>
      </c>
    </row>
    <row r="267" spans="1:11" x14ac:dyDescent="0.25">
      <c r="A267" s="49">
        <f>'A) Base RI'!A266</f>
        <v>5857</v>
      </c>
      <c r="B267" s="294" t="str">
        <f>'A) Base RI'!B266</f>
        <v>Gilly</v>
      </c>
      <c r="C267" s="10">
        <f>'A) Base RI'!AO266</f>
        <v>1428</v>
      </c>
      <c r="D267" s="10">
        <f t="shared" si="16"/>
        <v>1000</v>
      </c>
      <c r="E267" s="421">
        <f t="shared" si="17"/>
        <v>428</v>
      </c>
      <c r="F267" s="10">
        <f t="shared" si="17"/>
        <v>0</v>
      </c>
      <c r="G267" s="421">
        <f t="shared" si="17"/>
        <v>0</v>
      </c>
      <c r="H267" s="41">
        <f t="shared" si="17"/>
        <v>0</v>
      </c>
      <c r="I267" s="10">
        <f t="shared" si="17"/>
        <v>0</v>
      </c>
      <c r="J267" s="10">
        <f t="shared" si="18"/>
        <v>0</v>
      </c>
      <c r="K267" s="113">
        <f t="shared" si="19"/>
        <v>272588.32997987926</v>
      </c>
    </row>
    <row r="268" spans="1:11" x14ac:dyDescent="0.25">
      <c r="A268" s="49">
        <f>'A) Base RI'!A267</f>
        <v>5858</v>
      </c>
      <c r="B268" s="294" t="str">
        <f>'A) Base RI'!B267</f>
        <v>Luins</v>
      </c>
      <c r="C268" s="10">
        <f>'A) Base RI'!AO267</f>
        <v>619</v>
      </c>
      <c r="D268" s="10">
        <f t="shared" si="16"/>
        <v>619</v>
      </c>
      <c r="E268" s="421">
        <f t="shared" si="17"/>
        <v>0</v>
      </c>
      <c r="F268" s="10">
        <f t="shared" si="17"/>
        <v>0</v>
      </c>
      <c r="G268" s="421">
        <f t="shared" si="17"/>
        <v>0</v>
      </c>
      <c r="H268" s="41">
        <f t="shared" si="17"/>
        <v>0</v>
      </c>
      <c r="I268" s="10">
        <f t="shared" si="17"/>
        <v>0</v>
      </c>
      <c r="J268" s="10">
        <f t="shared" si="18"/>
        <v>0</v>
      </c>
      <c r="K268" s="113">
        <f t="shared" si="19"/>
        <v>76752.263581488922</v>
      </c>
    </row>
    <row r="269" spans="1:11" x14ac:dyDescent="0.25">
      <c r="A269" s="49">
        <f>'A) Base RI'!A268</f>
        <v>5859</v>
      </c>
      <c r="B269" s="294" t="str">
        <f>'A) Base RI'!B268</f>
        <v>Mont-sur-Rolle</v>
      </c>
      <c r="C269" s="10">
        <f>'A) Base RI'!AO268</f>
        <v>2646</v>
      </c>
      <c r="D269" s="10">
        <f t="shared" si="16"/>
        <v>1000</v>
      </c>
      <c r="E269" s="421">
        <f t="shared" si="17"/>
        <v>1646</v>
      </c>
      <c r="F269" s="10">
        <f t="shared" si="17"/>
        <v>0</v>
      </c>
      <c r="G269" s="421">
        <f t="shared" si="17"/>
        <v>0</v>
      </c>
      <c r="H269" s="41">
        <f t="shared" si="17"/>
        <v>0</v>
      </c>
      <c r="I269" s="10">
        <f t="shared" si="17"/>
        <v>0</v>
      </c>
      <c r="J269" s="10">
        <f t="shared" si="18"/>
        <v>0</v>
      </c>
      <c r="K269" s="113">
        <f t="shared" si="19"/>
        <v>695457.34406438621</v>
      </c>
    </row>
    <row r="270" spans="1:11" x14ac:dyDescent="0.25">
      <c r="A270" s="49">
        <f>'A) Base RI'!A269</f>
        <v>5860</v>
      </c>
      <c r="B270" s="294" t="str">
        <f>'A) Base RI'!B269</f>
        <v>Perroy</v>
      </c>
      <c r="C270" s="10">
        <f>'A) Base RI'!AO269</f>
        <v>1518</v>
      </c>
      <c r="D270" s="10">
        <f t="shared" si="16"/>
        <v>1000</v>
      </c>
      <c r="E270" s="421">
        <f t="shared" si="17"/>
        <v>518</v>
      </c>
      <c r="F270" s="10">
        <f t="shared" si="17"/>
        <v>0</v>
      </c>
      <c r="G270" s="421">
        <f t="shared" si="17"/>
        <v>0</v>
      </c>
      <c r="H270" s="41">
        <f t="shared" si="17"/>
        <v>0</v>
      </c>
      <c r="I270" s="10">
        <f t="shared" si="17"/>
        <v>0</v>
      </c>
      <c r="J270" s="10">
        <f t="shared" si="18"/>
        <v>0</v>
      </c>
      <c r="K270" s="113">
        <f t="shared" si="19"/>
        <v>303834.80885311868</v>
      </c>
    </row>
    <row r="271" spans="1:11" x14ac:dyDescent="0.25">
      <c r="A271" s="49">
        <f>'A) Base RI'!A270</f>
        <v>5861</v>
      </c>
      <c r="B271" s="294" t="str">
        <f>'A) Base RI'!B270</f>
        <v>Rolle</v>
      </c>
      <c r="C271" s="10">
        <f>'A) Base RI'!AO270</f>
        <v>6259</v>
      </c>
      <c r="D271" s="10">
        <f t="shared" si="16"/>
        <v>1000</v>
      </c>
      <c r="E271" s="421">
        <f t="shared" si="17"/>
        <v>2000</v>
      </c>
      <c r="F271" s="10">
        <f t="shared" si="17"/>
        <v>2000</v>
      </c>
      <c r="G271" s="421">
        <f t="shared" si="17"/>
        <v>1259</v>
      </c>
      <c r="H271" s="41">
        <f t="shared" si="17"/>
        <v>0</v>
      </c>
      <c r="I271" s="10">
        <f t="shared" si="17"/>
        <v>0</v>
      </c>
      <c r="J271" s="10">
        <f t="shared" si="18"/>
        <v>0</v>
      </c>
      <c r="K271" s="113">
        <f t="shared" si="19"/>
        <v>2559632.1931589535</v>
      </c>
    </row>
    <row r="272" spans="1:11" x14ac:dyDescent="0.25">
      <c r="A272" s="49">
        <f>'A) Base RI'!A271</f>
        <v>5862</v>
      </c>
      <c r="B272" s="294" t="str">
        <f>'A) Base RI'!B271</f>
        <v>Tartegnin</v>
      </c>
      <c r="C272" s="10">
        <f>'A) Base RI'!AO271</f>
        <v>236</v>
      </c>
      <c r="D272" s="10">
        <f t="shared" si="16"/>
        <v>236</v>
      </c>
      <c r="E272" s="421">
        <f t="shared" si="17"/>
        <v>0</v>
      </c>
      <c r="F272" s="10">
        <f t="shared" si="17"/>
        <v>0</v>
      </c>
      <c r="G272" s="421">
        <f t="shared" si="17"/>
        <v>0</v>
      </c>
      <c r="H272" s="41">
        <f t="shared" si="17"/>
        <v>0</v>
      </c>
      <c r="I272" s="10">
        <f t="shared" si="17"/>
        <v>0</v>
      </c>
      <c r="J272" s="10">
        <f t="shared" si="18"/>
        <v>0</v>
      </c>
      <c r="K272" s="113">
        <f t="shared" si="19"/>
        <v>29262.575452716294</v>
      </c>
    </row>
    <row r="273" spans="1:11" x14ac:dyDescent="0.25">
      <c r="A273" s="49">
        <f>'A) Base RI'!A272</f>
        <v>5863</v>
      </c>
      <c r="B273" s="294" t="str">
        <f>'A) Base RI'!B272</f>
        <v>Vinzel</v>
      </c>
      <c r="C273" s="10">
        <f>'A) Base RI'!AO272</f>
        <v>385</v>
      </c>
      <c r="D273" s="10">
        <f t="shared" si="16"/>
        <v>385</v>
      </c>
      <c r="E273" s="421">
        <f t="shared" si="17"/>
        <v>0</v>
      </c>
      <c r="F273" s="10">
        <f t="shared" si="17"/>
        <v>0</v>
      </c>
      <c r="G273" s="421">
        <f t="shared" si="17"/>
        <v>0</v>
      </c>
      <c r="H273" s="41">
        <f t="shared" si="17"/>
        <v>0</v>
      </c>
      <c r="I273" s="10">
        <f t="shared" si="17"/>
        <v>0</v>
      </c>
      <c r="J273" s="10">
        <f t="shared" si="18"/>
        <v>0</v>
      </c>
      <c r="K273" s="113">
        <f t="shared" si="19"/>
        <v>47737.676056338023</v>
      </c>
    </row>
    <row r="274" spans="1:11" x14ac:dyDescent="0.25">
      <c r="A274" s="49">
        <f>'A) Base RI'!A273</f>
        <v>5871</v>
      </c>
      <c r="B274" s="294" t="str">
        <f>'A) Base RI'!B273</f>
        <v>L'Abbaye</v>
      </c>
      <c r="C274" s="10">
        <f>'A) Base RI'!AO273</f>
        <v>1473</v>
      </c>
      <c r="D274" s="10">
        <f t="shared" si="16"/>
        <v>1000</v>
      </c>
      <c r="E274" s="421">
        <f t="shared" si="17"/>
        <v>473</v>
      </c>
      <c r="F274" s="10">
        <f t="shared" si="17"/>
        <v>0</v>
      </c>
      <c r="G274" s="421">
        <f t="shared" si="17"/>
        <v>0</v>
      </c>
      <c r="H274" s="41">
        <f t="shared" si="17"/>
        <v>0</v>
      </c>
      <c r="I274" s="10">
        <f t="shared" si="17"/>
        <v>0</v>
      </c>
      <c r="J274" s="10">
        <f t="shared" si="18"/>
        <v>0</v>
      </c>
      <c r="K274" s="113">
        <f t="shared" si="19"/>
        <v>288211.56941649894</v>
      </c>
    </row>
    <row r="275" spans="1:11" x14ac:dyDescent="0.25">
      <c r="A275" s="49">
        <f>'A) Base RI'!A274</f>
        <v>5872</v>
      </c>
      <c r="B275" s="294" t="str">
        <f>'A) Base RI'!B274</f>
        <v>Le Chenit</v>
      </c>
      <c r="C275" s="10">
        <f>'A) Base RI'!AO274</f>
        <v>4600</v>
      </c>
      <c r="D275" s="10">
        <f t="shared" si="16"/>
        <v>1000</v>
      </c>
      <c r="E275" s="421">
        <f t="shared" si="17"/>
        <v>2000</v>
      </c>
      <c r="F275" s="10">
        <f t="shared" si="17"/>
        <v>1600</v>
      </c>
      <c r="G275" s="421">
        <f t="shared" si="17"/>
        <v>0</v>
      </c>
      <c r="H275" s="41">
        <f t="shared" si="17"/>
        <v>0</v>
      </c>
      <c r="I275" s="10">
        <f t="shared" si="17"/>
        <v>0</v>
      </c>
      <c r="J275" s="10">
        <f t="shared" si="18"/>
        <v>0</v>
      </c>
      <c r="K275" s="113">
        <f t="shared" si="19"/>
        <v>1611921.5291750501</v>
      </c>
    </row>
    <row r="276" spans="1:11" x14ac:dyDescent="0.25">
      <c r="A276" s="49">
        <f>'A) Base RI'!A275</f>
        <v>5873</v>
      </c>
      <c r="B276" s="294" t="str">
        <f>'A) Base RI'!B275</f>
        <v>Le Lieu</v>
      </c>
      <c r="C276" s="10">
        <f>'A) Base RI'!AO275</f>
        <v>888</v>
      </c>
      <c r="D276" s="10">
        <f t="shared" si="16"/>
        <v>888</v>
      </c>
      <c r="E276" s="421">
        <f t="shared" si="17"/>
        <v>0</v>
      </c>
      <c r="F276" s="10">
        <f t="shared" si="17"/>
        <v>0</v>
      </c>
      <c r="G276" s="421">
        <f t="shared" si="17"/>
        <v>0</v>
      </c>
      <c r="H276" s="41">
        <f t="shared" si="17"/>
        <v>0</v>
      </c>
      <c r="I276" s="10">
        <f t="shared" si="17"/>
        <v>0</v>
      </c>
      <c r="J276" s="10">
        <f t="shared" si="18"/>
        <v>0</v>
      </c>
      <c r="K276" s="113">
        <f t="shared" si="19"/>
        <v>110106.63983903419</v>
      </c>
    </row>
    <row r="277" spans="1:11" x14ac:dyDescent="0.25">
      <c r="A277" s="49">
        <f>'A) Base RI'!A276</f>
        <v>5881</v>
      </c>
      <c r="B277" s="294" t="str">
        <f>'A) Base RI'!B276</f>
        <v>Blonay</v>
      </c>
      <c r="C277" s="10">
        <f>'A) Base RI'!AO276</f>
        <v>6215</v>
      </c>
      <c r="D277" s="10">
        <f t="shared" si="16"/>
        <v>1000</v>
      </c>
      <c r="E277" s="421">
        <f t="shared" si="17"/>
        <v>2000</v>
      </c>
      <c r="F277" s="10">
        <f t="shared" si="17"/>
        <v>2000</v>
      </c>
      <c r="G277" s="421">
        <f t="shared" si="17"/>
        <v>1215</v>
      </c>
      <c r="H277" s="41">
        <f t="shared" si="17"/>
        <v>0</v>
      </c>
      <c r="I277" s="10">
        <f t="shared" si="17"/>
        <v>0</v>
      </c>
      <c r="J277" s="10">
        <f t="shared" si="18"/>
        <v>0</v>
      </c>
      <c r="K277" s="113">
        <f t="shared" si="19"/>
        <v>2533444.6680080481</v>
      </c>
    </row>
    <row r="278" spans="1:11" x14ac:dyDescent="0.25">
      <c r="A278" s="49">
        <f>'A) Base RI'!A277</f>
        <v>5882</v>
      </c>
      <c r="B278" s="294" t="str">
        <f>'A) Base RI'!B277</f>
        <v>Chardonne</v>
      </c>
      <c r="C278" s="10">
        <f>'A) Base RI'!AO277</f>
        <v>3093</v>
      </c>
      <c r="D278" s="10">
        <f t="shared" si="16"/>
        <v>1000</v>
      </c>
      <c r="E278" s="421">
        <f t="shared" si="17"/>
        <v>2000</v>
      </c>
      <c r="F278" s="10">
        <f t="shared" si="17"/>
        <v>93</v>
      </c>
      <c r="G278" s="421">
        <f t="shared" si="17"/>
        <v>0</v>
      </c>
      <c r="H278" s="41">
        <f t="shared" si="17"/>
        <v>0</v>
      </c>
      <c r="I278" s="10">
        <f t="shared" si="17"/>
        <v>0</v>
      </c>
      <c r="J278" s="10">
        <f t="shared" si="18"/>
        <v>0</v>
      </c>
      <c r="K278" s="113">
        <f t="shared" si="19"/>
        <v>864485.91549295769</v>
      </c>
    </row>
    <row r="279" spans="1:11" x14ac:dyDescent="0.25">
      <c r="A279" s="49">
        <f>'A) Base RI'!A278</f>
        <v>5883</v>
      </c>
      <c r="B279" s="294" t="str">
        <f>'A) Base RI'!B278</f>
        <v>Corseaux</v>
      </c>
      <c r="C279" s="10">
        <f>'A) Base RI'!AO278</f>
        <v>2311</v>
      </c>
      <c r="D279" s="10">
        <f t="shared" si="16"/>
        <v>1000</v>
      </c>
      <c r="E279" s="421">
        <f t="shared" si="17"/>
        <v>1311</v>
      </c>
      <c r="F279" s="10">
        <f t="shared" si="17"/>
        <v>0</v>
      </c>
      <c r="G279" s="421">
        <f t="shared" si="17"/>
        <v>0</v>
      </c>
      <c r="H279" s="41">
        <f t="shared" si="17"/>
        <v>0</v>
      </c>
      <c r="I279" s="10">
        <f t="shared" si="17"/>
        <v>0</v>
      </c>
      <c r="J279" s="10">
        <f t="shared" si="18"/>
        <v>0</v>
      </c>
      <c r="K279" s="113">
        <f t="shared" si="19"/>
        <v>579151.00603621721</v>
      </c>
    </row>
    <row r="280" spans="1:11" x14ac:dyDescent="0.25">
      <c r="A280" s="49">
        <f>'A) Base RI'!A279</f>
        <v>5884</v>
      </c>
      <c r="B280" s="294" t="str">
        <f>'A) Base RI'!B279</f>
        <v>Corsier-sur-Vevey</v>
      </c>
      <c r="C280" s="10">
        <f>'A) Base RI'!AO279</f>
        <v>3420</v>
      </c>
      <c r="D280" s="10">
        <f t="shared" si="16"/>
        <v>1000</v>
      </c>
      <c r="E280" s="421">
        <f t="shared" si="17"/>
        <v>2000</v>
      </c>
      <c r="F280" s="10">
        <f t="shared" si="17"/>
        <v>420</v>
      </c>
      <c r="G280" s="421">
        <f t="shared" si="17"/>
        <v>0</v>
      </c>
      <c r="H280" s="41">
        <f t="shared" si="17"/>
        <v>0</v>
      </c>
      <c r="I280" s="10">
        <f t="shared" si="17"/>
        <v>0</v>
      </c>
      <c r="J280" s="10">
        <f t="shared" si="18"/>
        <v>0</v>
      </c>
      <c r="K280" s="113">
        <f t="shared" si="19"/>
        <v>1026670.0201207242</v>
      </c>
    </row>
    <row r="281" spans="1:11" x14ac:dyDescent="0.25">
      <c r="A281" s="49">
        <f>'A) Base RI'!A280</f>
        <v>5885</v>
      </c>
      <c r="B281" s="294" t="str">
        <f>'A) Base RI'!B280</f>
        <v>Jongny</v>
      </c>
      <c r="C281" s="10">
        <f>'A) Base RI'!AO280</f>
        <v>1670</v>
      </c>
      <c r="D281" s="10">
        <f t="shared" si="16"/>
        <v>1000</v>
      </c>
      <c r="E281" s="421">
        <f t="shared" si="17"/>
        <v>670</v>
      </c>
      <c r="F281" s="10">
        <f t="shared" si="17"/>
        <v>0</v>
      </c>
      <c r="G281" s="421">
        <f t="shared" si="17"/>
        <v>0</v>
      </c>
      <c r="H281" s="41">
        <f t="shared" si="17"/>
        <v>0</v>
      </c>
      <c r="I281" s="10">
        <f t="shared" si="17"/>
        <v>0</v>
      </c>
      <c r="J281" s="10">
        <f t="shared" si="18"/>
        <v>0</v>
      </c>
      <c r="K281" s="113">
        <f t="shared" si="19"/>
        <v>356606.63983903418</v>
      </c>
    </row>
    <row r="282" spans="1:11" x14ac:dyDescent="0.25">
      <c r="A282" s="49">
        <f>'A) Base RI'!A281</f>
        <v>5886</v>
      </c>
      <c r="B282" s="294" t="str">
        <f>'A) Base RI'!B281</f>
        <v>Montreux</v>
      </c>
      <c r="C282" s="10">
        <f>'A) Base RI'!AO281</f>
        <v>26180</v>
      </c>
      <c r="D282" s="10">
        <f t="shared" si="16"/>
        <v>1000</v>
      </c>
      <c r="E282" s="421">
        <f t="shared" si="17"/>
        <v>2000</v>
      </c>
      <c r="F282" s="10">
        <f t="shared" si="17"/>
        <v>2000</v>
      </c>
      <c r="G282" s="421">
        <f t="shared" si="17"/>
        <v>4000</v>
      </c>
      <c r="H282" s="41">
        <f t="shared" si="17"/>
        <v>3000</v>
      </c>
      <c r="I282" s="10">
        <f t="shared" si="17"/>
        <v>3000</v>
      </c>
      <c r="J282" s="10">
        <f t="shared" si="18"/>
        <v>11180</v>
      </c>
      <c r="K282" s="113">
        <f t="shared" si="19"/>
        <v>21340849.094567403</v>
      </c>
    </row>
    <row r="283" spans="1:11" x14ac:dyDescent="0.25">
      <c r="A283" s="49">
        <f>'A) Base RI'!A282</f>
        <v>5888</v>
      </c>
      <c r="B283" s="294" t="str">
        <f>'A) Base RI'!B282</f>
        <v>Saint-Légier-La Chiésaz</v>
      </c>
      <c r="C283" s="10">
        <f>'A) Base RI'!AO282</f>
        <v>5522</v>
      </c>
      <c r="D283" s="10">
        <f t="shared" si="16"/>
        <v>1000</v>
      </c>
      <c r="E283" s="421">
        <f t="shared" si="17"/>
        <v>2000</v>
      </c>
      <c r="F283" s="10">
        <f t="shared" si="17"/>
        <v>2000</v>
      </c>
      <c r="G283" s="421">
        <f t="shared" si="17"/>
        <v>522</v>
      </c>
      <c r="H283" s="41">
        <f t="shared" si="17"/>
        <v>0</v>
      </c>
      <c r="I283" s="10">
        <f t="shared" si="17"/>
        <v>0</v>
      </c>
      <c r="J283" s="10">
        <f t="shared" si="18"/>
        <v>0</v>
      </c>
      <c r="K283" s="113">
        <f t="shared" si="19"/>
        <v>2120991.1468812875</v>
      </c>
    </row>
    <row r="284" spans="1:11" x14ac:dyDescent="0.25">
      <c r="A284" s="49">
        <f>'A) Base RI'!A283</f>
        <v>5889</v>
      </c>
      <c r="B284" s="294" t="str">
        <f>'A) Base RI'!B283</f>
        <v>La Tour-de-Peilz</v>
      </c>
      <c r="C284" s="10">
        <f>'A) Base RI'!AO283</f>
        <v>12088</v>
      </c>
      <c r="D284" s="10">
        <f t="shared" si="16"/>
        <v>1000</v>
      </c>
      <c r="E284" s="421">
        <f t="shared" si="17"/>
        <v>2000</v>
      </c>
      <c r="F284" s="10">
        <f t="shared" si="17"/>
        <v>2000</v>
      </c>
      <c r="G284" s="421">
        <f t="shared" si="17"/>
        <v>4000</v>
      </c>
      <c r="H284" s="41">
        <f t="shared" si="17"/>
        <v>3000</v>
      </c>
      <c r="I284" s="10">
        <f t="shared" si="17"/>
        <v>88</v>
      </c>
      <c r="J284" s="10">
        <f t="shared" si="18"/>
        <v>0</v>
      </c>
      <c r="K284" s="113">
        <f t="shared" si="19"/>
        <v>6807764.5875251498</v>
      </c>
    </row>
    <row r="285" spans="1:11" x14ac:dyDescent="0.25">
      <c r="A285" s="49">
        <f>'A) Base RI'!A284</f>
        <v>5890</v>
      </c>
      <c r="B285" s="294" t="str">
        <f>'A) Base RI'!B284</f>
        <v>Vevey</v>
      </c>
      <c r="C285" s="10">
        <f>'A) Base RI'!AO284</f>
        <v>19780</v>
      </c>
      <c r="D285" s="10">
        <f t="shared" si="16"/>
        <v>1000</v>
      </c>
      <c r="E285" s="421">
        <f t="shared" si="17"/>
        <v>2000</v>
      </c>
      <c r="F285" s="10">
        <f t="shared" si="17"/>
        <v>2000</v>
      </c>
      <c r="G285" s="421">
        <f t="shared" si="17"/>
        <v>4000</v>
      </c>
      <c r="H285" s="41">
        <f t="shared" si="17"/>
        <v>3000</v>
      </c>
      <c r="I285" s="10">
        <f t="shared" si="17"/>
        <v>3000</v>
      </c>
      <c r="J285" s="10">
        <f t="shared" si="18"/>
        <v>4780</v>
      </c>
      <c r="K285" s="113">
        <f t="shared" si="19"/>
        <v>14674933.601609655</v>
      </c>
    </row>
    <row r="286" spans="1:11" x14ac:dyDescent="0.25">
      <c r="A286" s="49">
        <f>'A) Base RI'!A285</f>
        <v>5891</v>
      </c>
      <c r="B286" s="294" t="str">
        <f>'A) Base RI'!B285</f>
        <v>Veytaux</v>
      </c>
      <c r="C286" s="10">
        <f>'A) Base RI'!AO285</f>
        <v>956</v>
      </c>
      <c r="D286" s="10">
        <f t="shared" si="16"/>
        <v>956</v>
      </c>
      <c r="E286" s="421">
        <f t="shared" si="17"/>
        <v>0</v>
      </c>
      <c r="F286" s="10">
        <f t="shared" si="17"/>
        <v>0</v>
      </c>
      <c r="G286" s="421">
        <f t="shared" si="17"/>
        <v>0</v>
      </c>
      <c r="H286" s="41">
        <f t="shared" si="17"/>
        <v>0</v>
      </c>
      <c r="I286" s="10">
        <f t="shared" si="17"/>
        <v>0</v>
      </c>
      <c r="J286" s="10">
        <f t="shared" si="18"/>
        <v>0</v>
      </c>
      <c r="K286" s="113">
        <f t="shared" si="19"/>
        <v>118538.22937625753</v>
      </c>
    </row>
    <row r="287" spans="1:11" x14ac:dyDescent="0.25">
      <c r="A287" s="49">
        <f>'A) Base RI'!A286</f>
        <v>5902</v>
      </c>
      <c r="B287" s="294" t="str">
        <f>'A) Base RI'!B286</f>
        <v>Belmont-sur-Yverdon</v>
      </c>
      <c r="C287" s="10">
        <f>'A) Base RI'!AO286</f>
        <v>396</v>
      </c>
      <c r="D287" s="10">
        <f t="shared" si="16"/>
        <v>396</v>
      </c>
      <c r="E287" s="421">
        <f t="shared" si="17"/>
        <v>0</v>
      </c>
      <c r="F287" s="10">
        <f t="shared" si="17"/>
        <v>0</v>
      </c>
      <c r="G287" s="421">
        <f t="shared" si="17"/>
        <v>0</v>
      </c>
      <c r="H287" s="41">
        <f t="shared" si="17"/>
        <v>0</v>
      </c>
      <c r="I287" s="10">
        <f t="shared" si="17"/>
        <v>0</v>
      </c>
      <c r="J287" s="10">
        <f t="shared" si="18"/>
        <v>0</v>
      </c>
      <c r="K287" s="113">
        <f t="shared" si="19"/>
        <v>49101.60965794768</v>
      </c>
    </row>
    <row r="288" spans="1:11" x14ac:dyDescent="0.25">
      <c r="A288" s="49">
        <f>'A) Base RI'!A287</f>
        <v>5903</v>
      </c>
      <c r="B288" s="294" t="str">
        <f>'A) Base RI'!B287</f>
        <v>Bioley-Magnoux</v>
      </c>
      <c r="C288" s="10">
        <f>'A) Base RI'!AO287</f>
        <v>230</v>
      </c>
      <c r="D288" s="10">
        <f t="shared" si="16"/>
        <v>230</v>
      </c>
      <c r="E288" s="421">
        <f t="shared" si="17"/>
        <v>0</v>
      </c>
      <c r="F288" s="10">
        <f t="shared" si="17"/>
        <v>0</v>
      </c>
      <c r="G288" s="421">
        <f t="shared" si="17"/>
        <v>0</v>
      </c>
      <c r="H288" s="41">
        <f t="shared" si="17"/>
        <v>0</v>
      </c>
      <c r="I288" s="10">
        <f t="shared" si="17"/>
        <v>0</v>
      </c>
      <c r="J288" s="10">
        <f t="shared" si="18"/>
        <v>0</v>
      </c>
      <c r="K288" s="113">
        <f t="shared" si="19"/>
        <v>28518.611670020116</v>
      </c>
    </row>
    <row r="289" spans="1:11" x14ac:dyDescent="0.25">
      <c r="A289" s="49">
        <f>'A) Base RI'!A288</f>
        <v>5904</v>
      </c>
      <c r="B289" s="294" t="str">
        <f>'A) Base RI'!B288</f>
        <v>Chamblon</v>
      </c>
      <c r="C289" s="10">
        <f>'A) Base RI'!AO288</f>
        <v>559</v>
      </c>
      <c r="D289" s="10">
        <f t="shared" si="16"/>
        <v>559</v>
      </c>
      <c r="E289" s="421">
        <f t="shared" si="17"/>
        <v>0</v>
      </c>
      <c r="F289" s="10">
        <f t="shared" si="17"/>
        <v>0</v>
      </c>
      <c r="G289" s="421">
        <f t="shared" si="17"/>
        <v>0</v>
      </c>
      <c r="H289" s="41">
        <f t="shared" si="17"/>
        <v>0</v>
      </c>
      <c r="I289" s="10">
        <f t="shared" si="17"/>
        <v>0</v>
      </c>
      <c r="J289" s="10">
        <f t="shared" si="18"/>
        <v>0</v>
      </c>
      <c r="K289" s="113">
        <f t="shared" si="19"/>
        <v>69312.625754527151</v>
      </c>
    </row>
    <row r="290" spans="1:11" x14ac:dyDescent="0.25">
      <c r="A290" s="49">
        <f>'A) Base RI'!A289</f>
        <v>5905</v>
      </c>
      <c r="B290" s="294" t="str">
        <f>'A) Base RI'!B289</f>
        <v>Champvent</v>
      </c>
      <c r="C290" s="10">
        <f>'A) Base RI'!AO289</f>
        <v>696</v>
      </c>
      <c r="D290" s="10">
        <f t="shared" si="16"/>
        <v>696</v>
      </c>
      <c r="E290" s="421">
        <f t="shared" si="17"/>
        <v>0</v>
      </c>
      <c r="F290" s="10">
        <f t="shared" si="17"/>
        <v>0</v>
      </c>
      <c r="G290" s="421">
        <f t="shared" si="17"/>
        <v>0</v>
      </c>
      <c r="H290" s="41">
        <f t="shared" si="17"/>
        <v>0</v>
      </c>
      <c r="I290" s="10">
        <f t="shared" si="17"/>
        <v>0</v>
      </c>
      <c r="J290" s="10">
        <f t="shared" si="18"/>
        <v>0</v>
      </c>
      <c r="K290" s="113">
        <f t="shared" si="19"/>
        <v>86299.798792756526</v>
      </c>
    </row>
    <row r="291" spans="1:11" x14ac:dyDescent="0.25">
      <c r="A291" s="49">
        <f>'A) Base RI'!A290</f>
        <v>5907</v>
      </c>
      <c r="B291" s="294" t="str">
        <f>'A) Base RI'!B290</f>
        <v>Chavannes-le-Chêne</v>
      </c>
      <c r="C291" s="10">
        <f>'A) Base RI'!AO290</f>
        <v>324</v>
      </c>
      <c r="D291" s="10">
        <f t="shared" si="16"/>
        <v>324</v>
      </c>
      <c r="E291" s="421">
        <f t="shared" si="17"/>
        <v>0</v>
      </c>
      <c r="F291" s="10">
        <f t="shared" si="17"/>
        <v>0</v>
      </c>
      <c r="G291" s="421">
        <f t="shared" si="17"/>
        <v>0</v>
      </c>
      <c r="H291" s="41">
        <f t="shared" si="17"/>
        <v>0</v>
      </c>
      <c r="I291" s="10">
        <f t="shared" si="17"/>
        <v>0</v>
      </c>
      <c r="J291" s="10">
        <f t="shared" si="18"/>
        <v>0</v>
      </c>
      <c r="K291" s="113">
        <f t="shared" si="19"/>
        <v>40174.044265593555</v>
      </c>
    </row>
    <row r="292" spans="1:11" x14ac:dyDescent="0.25">
      <c r="A292" s="49">
        <f>'A) Base RI'!A291</f>
        <v>5908</v>
      </c>
      <c r="B292" s="294" t="str">
        <f>'A) Base RI'!B291</f>
        <v>Chêne-Pâquier</v>
      </c>
      <c r="C292" s="10">
        <f>'A) Base RI'!AO291</f>
        <v>144</v>
      </c>
      <c r="D292" s="10">
        <f t="shared" si="16"/>
        <v>144</v>
      </c>
      <c r="E292" s="421">
        <f t="shared" si="17"/>
        <v>0</v>
      </c>
      <c r="F292" s="10">
        <f t="shared" si="17"/>
        <v>0</v>
      </c>
      <c r="G292" s="421">
        <f t="shared" si="17"/>
        <v>0</v>
      </c>
      <c r="H292" s="41">
        <f t="shared" si="17"/>
        <v>0</v>
      </c>
      <c r="I292" s="10">
        <f t="shared" si="17"/>
        <v>0</v>
      </c>
      <c r="J292" s="10">
        <f t="shared" si="18"/>
        <v>0</v>
      </c>
      <c r="K292" s="113">
        <f t="shared" si="19"/>
        <v>17855.130784708246</v>
      </c>
    </row>
    <row r="293" spans="1:11" x14ac:dyDescent="0.25">
      <c r="A293" s="49">
        <f>'A) Base RI'!A292</f>
        <v>5909</v>
      </c>
      <c r="B293" s="294" t="str">
        <f>'A) Base RI'!B292</f>
        <v>Cheseaux-Noréaz</v>
      </c>
      <c r="C293" s="10">
        <f>'A) Base RI'!AO292</f>
        <v>741</v>
      </c>
      <c r="D293" s="10">
        <f t="shared" si="16"/>
        <v>741</v>
      </c>
      <c r="E293" s="421">
        <f t="shared" si="17"/>
        <v>0</v>
      </c>
      <c r="F293" s="10">
        <f t="shared" si="17"/>
        <v>0</v>
      </c>
      <c r="G293" s="421">
        <f t="shared" si="17"/>
        <v>0</v>
      </c>
      <c r="H293" s="41">
        <f t="shared" si="17"/>
        <v>0</v>
      </c>
      <c r="I293" s="10">
        <f t="shared" si="17"/>
        <v>0</v>
      </c>
      <c r="J293" s="10">
        <f t="shared" si="18"/>
        <v>0</v>
      </c>
      <c r="K293" s="113">
        <f t="shared" si="19"/>
        <v>91879.527162977858</v>
      </c>
    </row>
    <row r="294" spans="1:11" x14ac:dyDescent="0.25">
      <c r="A294" s="49">
        <f>'A) Base RI'!A293</f>
        <v>5910</v>
      </c>
      <c r="B294" s="294" t="str">
        <f>'A) Base RI'!B293</f>
        <v>Cronay</v>
      </c>
      <c r="C294" s="10">
        <f>'A) Base RI'!AO293</f>
        <v>393</v>
      </c>
      <c r="D294" s="10">
        <f t="shared" si="16"/>
        <v>393</v>
      </c>
      <c r="E294" s="421">
        <f t="shared" si="17"/>
        <v>0</v>
      </c>
      <c r="F294" s="10">
        <f t="shared" si="17"/>
        <v>0</v>
      </c>
      <c r="G294" s="421">
        <f t="shared" si="17"/>
        <v>0</v>
      </c>
      <c r="H294" s="41">
        <f t="shared" si="17"/>
        <v>0</v>
      </c>
      <c r="I294" s="10">
        <f t="shared" si="17"/>
        <v>0</v>
      </c>
      <c r="J294" s="10">
        <f t="shared" si="18"/>
        <v>0</v>
      </c>
      <c r="K294" s="113">
        <f t="shared" si="19"/>
        <v>48729.627766599588</v>
      </c>
    </row>
    <row r="295" spans="1:11" x14ac:dyDescent="0.25">
      <c r="A295" s="49">
        <f>'A) Base RI'!A294</f>
        <v>5911</v>
      </c>
      <c r="B295" s="294" t="str">
        <f>'A) Base RI'!B294</f>
        <v>Cuarny</v>
      </c>
      <c r="C295" s="10">
        <f>'A) Base RI'!AO294</f>
        <v>234</v>
      </c>
      <c r="D295" s="10">
        <f t="shared" si="16"/>
        <v>234</v>
      </c>
      <c r="E295" s="421">
        <f t="shared" si="17"/>
        <v>0</v>
      </c>
      <c r="F295" s="10">
        <f t="shared" si="17"/>
        <v>0</v>
      </c>
      <c r="G295" s="421">
        <f t="shared" si="17"/>
        <v>0</v>
      </c>
      <c r="H295" s="41">
        <f t="shared" si="17"/>
        <v>0</v>
      </c>
      <c r="I295" s="10">
        <f t="shared" si="17"/>
        <v>0</v>
      </c>
      <c r="J295" s="10">
        <f t="shared" si="18"/>
        <v>0</v>
      </c>
      <c r="K295" s="113">
        <f t="shared" si="19"/>
        <v>29014.587525150899</v>
      </c>
    </row>
    <row r="296" spans="1:11" x14ac:dyDescent="0.25">
      <c r="A296" s="49">
        <f>'A) Base RI'!A295</f>
        <v>5912</v>
      </c>
      <c r="B296" s="294" t="str">
        <f>'A) Base RI'!B295</f>
        <v>Démoret</v>
      </c>
      <c r="C296" s="10">
        <f>'A) Base RI'!AO295</f>
        <v>158</v>
      </c>
      <c r="D296" s="10">
        <f t="shared" si="16"/>
        <v>158</v>
      </c>
      <c r="E296" s="421">
        <f t="shared" si="17"/>
        <v>0</v>
      </c>
      <c r="F296" s="10">
        <f t="shared" si="17"/>
        <v>0</v>
      </c>
      <c r="G296" s="421">
        <f t="shared" si="17"/>
        <v>0</v>
      </c>
      <c r="H296" s="41">
        <f t="shared" si="17"/>
        <v>0</v>
      </c>
      <c r="I296" s="10">
        <f t="shared" si="17"/>
        <v>0</v>
      </c>
      <c r="J296" s="10">
        <f t="shared" si="18"/>
        <v>0</v>
      </c>
      <c r="K296" s="113">
        <f t="shared" si="19"/>
        <v>19591.046277665992</v>
      </c>
    </row>
    <row r="297" spans="1:11" x14ac:dyDescent="0.25">
      <c r="A297" s="49">
        <f>'A) Base RI'!A296</f>
        <v>5913</v>
      </c>
      <c r="B297" s="294" t="str">
        <f>'A) Base RI'!B296</f>
        <v>Donneloye</v>
      </c>
      <c r="C297" s="10">
        <f>'A) Base RI'!AO296</f>
        <v>829</v>
      </c>
      <c r="D297" s="10">
        <f t="shared" si="16"/>
        <v>829</v>
      </c>
      <c r="E297" s="421">
        <f t="shared" si="17"/>
        <v>0</v>
      </c>
      <c r="F297" s="10">
        <f t="shared" si="17"/>
        <v>0</v>
      </c>
      <c r="G297" s="421">
        <f t="shared" si="17"/>
        <v>0</v>
      </c>
      <c r="H297" s="41">
        <f t="shared" si="17"/>
        <v>0</v>
      </c>
      <c r="I297" s="10">
        <f t="shared" si="17"/>
        <v>0</v>
      </c>
      <c r="J297" s="10">
        <f t="shared" si="18"/>
        <v>0</v>
      </c>
      <c r="K297" s="113">
        <f t="shared" si="19"/>
        <v>102790.99597585511</v>
      </c>
    </row>
    <row r="298" spans="1:11" x14ac:dyDescent="0.25">
      <c r="A298" s="49">
        <f>'A) Base RI'!A297</f>
        <v>5914</v>
      </c>
      <c r="B298" s="294" t="str">
        <f>'A) Base RI'!B297</f>
        <v>Ependes</v>
      </c>
      <c r="C298" s="10">
        <f>'A) Base RI'!AO297</f>
        <v>388</v>
      </c>
      <c r="D298" s="10">
        <f t="shared" si="16"/>
        <v>388</v>
      </c>
      <c r="E298" s="421">
        <f t="shared" si="17"/>
        <v>0</v>
      </c>
      <c r="F298" s="10">
        <f t="shared" si="17"/>
        <v>0</v>
      </c>
      <c r="G298" s="421">
        <f t="shared" si="17"/>
        <v>0</v>
      </c>
      <c r="H298" s="41">
        <f t="shared" si="17"/>
        <v>0</v>
      </c>
      <c r="I298" s="10">
        <f t="shared" si="17"/>
        <v>0</v>
      </c>
      <c r="J298" s="10">
        <f t="shared" si="18"/>
        <v>0</v>
      </c>
      <c r="K298" s="113">
        <f t="shared" si="19"/>
        <v>48109.657947686108</v>
      </c>
    </row>
    <row r="299" spans="1:11" x14ac:dyDescent="0.25">
      <c r="A299" s="49">
        <f>'A) Base RI'!A298</f>
        <v>5919</v>
      </c>
      <c r="B299" s="294" t="str">
        <f>'A) Base RI'!B298</f>
        <v>Mathod</v>
      </c>
      <c r="C299" s="10">
        <f>'A) Base RI'!AO298</f>
        <v>651</v>
      </c>
      <c r="D299" s="10">
        <f t="shared" ref="D299:D316" si="20">IF($C299&gt;D$4,IF($C299&lt;D$5,$C299-D$4,D$5-D$4),0)</f>
        <v>651</v>
      </c>
      <c r="E299" s="421">
        <f t="shared" si="17"/>
        <v>0</v>
      </c>
      <c r="F299" s="10">
        <f t="shared" si="17"/>
        <v>0</v>
      </c>
      <c r="G299" s="421">
        <f t="shared" si="17"/>
        <v>0</v>
      </c>
      <c r="H299" s="41">
        <f t="shared" si="17"/>
        <v>0</v>
      </c>
      <c r="I299" s="10">
        <f t="shared" si="17"/>
        <v>0</v>
      </c>
      <c r="J299" s="10">
        <f t="shared" si="18"/>
        <v>0</v>
      </c>
      <c r="K299" s="113">
        <f t="shared" si="19"/>
        <v>80720.070422535195</v>
      </c>
    </row>
    <row r="300" spans="1:11" x14ac:dyDescent="0.25">
      <c r="A300" s="49">
        <f>'A) Base RI'!A299</f>
        <v>5921</v>
      </c>
      <c r="B300" s="294" t="str">
        <f>'A) Base RI'!B299</f>
        <v>Molondin</v>
      </c>
      <c r="C300" s="10">
        <f>'A) Base RI'!AO299</f>
        <v>252</v>
      </c>
      <c r="D300" s="10">
        <f t="shared" si="20"/>
        <v>252</v>
      </c>
      <c r="E300" s="421">
        <f t="shared" si="17"/>
        <v>0</v>
      </c>
      <c r="F300" s="10">
        <f t="shared" si="17"/>
        <v>0</v>
      </c>
      <c r="G300" s="421">
        <f t="shared" si="17"/>
        <v>0</v>
      </c>
      <c r="H300" s="41">
        <f t="shared" si="17"/>
        <v>0</v>
      </c>
      <c r="I300" s="10">
        <f t="shared" si="17"/>
        <v>0</v>
      </c>
      <c r="J300" s="10">
        <f t="shared" si="18"/>
        <v>0</v>
      </c>
      <c r="K300" s="113">
        <f t="shared" si="19"/>
        <v>31246.47887323943</v>
      </c>
    </row>
    <row r="301" spans="1:11" x14ac:dyDescent="0.25">
      <c r="A301" s="49">
        <f>'A) Base RI'!A300</f>
        <v>5922</v>
      </c>
      <c r="B301" s="294" t="str">
        <f>'A) Base RI'!B300</f>
        <v>Montagny-près-Yverdon</v>
      </c>
      <c r="C301" s="10">
        <f>'A) Base RI'!AO300</f>
        <v>737</v>
      </c>
      <c r="D301" s="10">
        <f t="shared" si="20"/>
        <v>737</v>
      </c>
      <c r="E301" s="421">
        <f t="shared" si="17"/>
        <v>0</v>
      </c>
      <c r="F301" s="10">
        <f t="shared" si="17"/>
        <v>0</v>
      </c>
      <c r="G301" s="421">
        <f t="shared" si="17"/>
        <v>0</v>
      </c>
      <c r="H301" s="41">
        <f t="shared" si="17"/>
        <v>0</v>
      </c>
      <c r="I301" s="10">
        <f t="shared" si="17"/>
        <v>0</v>
      </c>
      <c r="J301" s="10">
        <f t="shared" si="18"/>
        <v>0</v>
      </c>
      <c r="K301" s="113">
        <f t="shared" si="19"/>
        <v>91383.551307847069</v>
      </c>
    </row>
    <row r="302" spans="1:11" x14ac:dyDescent="0.25">
      <c r="A302" s="49">
        <f>'A) Base RI'!A301</f>
        <v>5923</v>
      </c>
      <c r="B302" s="294" t="str">
        <f>'A) Base RI'!B301</f>
        <v>Oppens</v>
      </c>
      <c r="C302" s="10">
        <f>'A) Base RI'!AO301</f>
        <v>201</v>
      </c>
      <c r="D302" s="10">
        <f t="shared" si="20"/>
        <v>201</v>
      </c>
      <c r="E302" s="421">
        <f t="shared" si="17"/>
        <v>0</v>
      </c>
      <c r="F302" s="10">
        <f t="shared" si="17"/>
        <v>0</v>
      </c>
      <c r="G302" s="421">
        <f t="shared" si="17"/>
        <v>0</v>
      </c>
      <c r="H302" s="41">
        <f t="shared" si="17"/>
        <v>0</v>
      </c>
      <c r="I302" s="10">
        <f t="shared" si="17"/>
        <v>0</v>
      </c>
      <c r="J302" s="10">
        <f t="shared" si="18"/>
        <v>0</v>
      </c>
      <c r="K302" s="113">
        <f t="shared" si="19"/>
        <v>24922.786720321928</v>
      </c>
    </row>
    <row r="303" spans="1:11" x14ac:dyDescent="0.25">
      <c r="A303" s="49">
        <f>'A) Base RI'!A302</f>
        <v>5924</v>
      </c>
      <c r="B303" s="294" t="str">
        <f>'A) Base RI'!B302</f>
        <v>Orges</v>
      </c>
      <c r="C303" s="10">
        <f>'A) Base RI'!AO302</f>
        <v>343</v>
      </c>
      <c r="D303" s="10">
        <f t="shared" si="20"/>
        <v>343</v>
      </c>
      <c r="E303" s="421">
        <f t="shared" si="17"/>
        <v>0</v>
      </c>
      <c r="F303" s="10">
        <f t="shared" si="17"/>
        <v>0</v>
      </c>
      <c r="G303" s="421">
        <f t="shared" si="17"/>
        <v>0</v>
      </c>
      <c r="H303" s="41">
        <f t="shared" si="17"/>
        <v>0</v>
      </c>
      <c r="I303" s="10">
        <f t="shared" si="17"/>
        <v>0</v>
      </c>
      <c r="J303" s="10">
        <f t="shared" si="18"/>
        <v>0</v>
      </c>
      <c r="K303" s="113">
        <f t="shared" si="19"/>
        <v>42529.929577464784</v>
      </c>
    </row>
    <row r="304" spans="1:11" x14ac:dyDescent="0.25">
      <c r="A304" s="49">
        <f>'A) Base RI'!A303</f>
        <v>5925</v>
      </c>
      <c r="B304" s="294" t="str">
        <f>'A) Base RI'!B303</f>
        <v>Orzens</v>
      </c>
      <c r="C304" s="10">
        <f>'A) Base RI'!AO303</f>
        <v>201</v>
      </c>
      <c r="D304" s="10">
        <f t="shared" si="20"/>
        <v>201</v>
      </c>
      <c r="E304" s="421">
        <f t="shared" si="17"/>
        <v>0</v>
      </c>
      <c r="F304" s="10">
        <f t="shared" si="17"/>
        <v>0</v>
      </c>
      <c r="G304" s="421">
        <f t="shared" si="17"/>
        <v>0</v>
      </c>
      <c r="H304" s="41">
        <f t="shared" si="17"/>
        <v>0</v>
      </c>
      <c r="I304" s="10">
        <f t="shared" si="17"/>
        <v>0</v>
      </c>
      <c r="J304" s="10">
        <f t="shared" si="18"/>
        <v>0</v>
      </c>
      <c r="K304" s="113">
        <f t="shared" si="19"/>
        <v>24922.786720321928</v>
      </c>
    </row>
    <row r="305" spans="1:11" x14ac:dyDescent="0.25">
      <c r="A305" s="49">
        <f>'A) Base RI'!A304</f>
        <v>5926</v>
      </c>
      <c r="B305" s="294" t="str">
        <f>'A) Base RI'!B304</f>
        <v>Pomy</v>
      </c>
      <c r="C305" s="10">
        <f>'A) Base RI'!AO304</f>
        <v>803</v>
      </c>
      <c r="D305" s="10">
        <f t="shared" si="20"/>
        <v>803</v>
      </c>
      <c r="E305" s="421">
        <f t="shared" si="17"/>
        <v>0</v>
      </c>
      <c r="F305" s="10">
        <f t="shared" si="17"/>
        <v>0</v>
      </c>
      <c r="G305" s="421">
        <f t="shared" si="17"/>
        <v>0</v>
      </c>
      <c r="H305" s="41">
        <f t="shared" si="17"/>
        <v>0</v>
      </c>
      <c r="I305" s="10">
        <f t="shared" si="17"/>
        <v>0</v>
      </c>
      <c r="J305" s="10">
        <f t="shared" si="18"/>
        <v>0</v>
      </c>
      <c r="K305" s="113">
        <f t="shared" si="19"/>
        <v>99567.152917505009</v>
      </c>
    </row>
    <row r="306" spans="1:11" x14ac:dyDescent="0.25">
      <c r="A306" s="49">
        <f>'A) Base RI'!A305</f>
        <v>5928</v>
      </c>
      <c r="B306" s="294" t="str">
        <f>'A) Base RI'!B305</f>
        <v>Rovray</v>
      </c>
      <c r="C306" s="10">
        <f>'A) Base RI'!AO305</f>
        <v>204</v>
      </c>
      <c r="D306" s="10">
        <f t="shared" si="20"/>
        <v>204</v>
      </c>
      <c r="E306" s="421">
        <f t="shared" si="17"/>
        <v>0</v>
      </c>
      <c r="F306" s="10">
        <f t="shared" si="17"/>
        <v>0</v>
      </c>
      <c r="G306" s="421">
        <f t="shared" si="17"/>
        <v>0</v>
      </c>
      <c r="H306" s="41">
        <f t="shared" si="17"/>
        <v>0</v>
      </c>
      <c r="I306" s="10">
        <f t="shared" si="17"/>
        <v>0</v>
      </c>
      <c r="J306" s="10">
        <f t="shared" si="18"/>
        <v>0</v>
      </c>
      <c r="K306" s="113">
        <f t="shared" si="19"/>
        <v>25294.768611670017</v>
      </c>
    </row>
    <row r="307" spans="1:11" x14ac:dyDescent="0.25">
      <c r="A307" s="49">
        <f>'A) Base RI'!A306</f>
        <v>5929</v>
      </c>
      <c r="B307" s="294" t="str">
        <f>'A) Base RI'!B306</f>
        <v>Suchy</v>
      </c>
      <c r="C307" s="10">
        <f>'A) Base RI'!AO306</f>
        <v>656</v>
      </c>
      <c r="D307" s="10">
        <f t="shared" si="20"/>
        <v>656</v>
      </c>
      <c r="E307" s="421">
        <f t="shared" si="17"/>
        <v>0</v>
      </c>
      <c r="F307" s="10">
        <f t="shared" si="17"/>
        <v>0</v>
      </c>
      <c r="G307" s="421">
        <f t="shared" si="17"/>
        <v>0</v>
      </c>
      <c r="H307" s="41">
        <f t="shared" si="17"/>
        <v>0</v>
      </c>
      <c r="I307" s="10">
        <f t="shared" si="17"/>
        <v>0</v>
      </c>
      <c r="J307" s="10">
        <f t="shared" si="18"/>
        <v>0</v>
      </c>
      <c r="K307" s="113">
        <f t="shared" si="19"/>
        <v>81340.040241448674</v>
      </c>
    </row>
    <row r="308" spans="1:11" x14ac:dyDescent="0.25">
      <c r="A308" s="49">
        <f>'A) Base RI'!A307</f>
        <v>5930</v>
      </c>
      <c r="B308" s="294" t="str">
        <f>'A) Base RI'!B307</f>
        <v>Suscévaz</v>
      </c>
      <c r="C308" s="10">
        <f>'A) Base RI'!AO307</f>
        <v>204</v>
      </c>
      <c r="D308" s="10">
        <f t="shared" si="20"/>
        <v>204</v>
      </c>
      <c r="E308" s="421">
        <f t="shared" si="17"/>
        <v>0</v>
      </c>
      <c r="F308" s="10">
        <f t="shared" si="17"/>
        <v>0</v>
      </c>
      <c r="G308" s="421">
        <f t="shared" si="17"/>
        <v>0</v>
      </c>
      <c r="H308" s="41">
        <f t="shared" si="17"/>
        <v>0</v>
      </c>
      <c r="I308" s="10">
        <f t="shared" si="17"/>
        <v>0</v>
      </c>
      <c r="J308" s="10">
        <f t="shared" si="18"/>
        <v>0</v>
      </c>
      <c r="K308" s="113">
        <f t="shared" si="19"/>
        <v>25294.768611670017</v>
      </c>
    </row>
    <row r="309" spans="1:11" x14ac:dyDescent="0.25">
      <c r="A309" s="49">
        <f>'A) Base RI'!A308</f>
        <v>5931</v>
      </c>
      <c r="B309" s="294" t="str">
        <f>'A) Base RI'!B308</f>
        <v>Treycovagnes</v>
      </c>
      <c r="C309" s="10">
        <f>'A) Base RI'!AO308</f>
        <v>485</v>
      </c>
      <c r="D309" s="10">
        <f t="shared" si="20"/>
        <v>485</v>
      </c>
      <c r="E309" s="421">
        <f t="shared" si="17"/>
        <v>0</v>
      </c>
      <c r="F309" s="10">
        <f t="shared" si="17"/>
        <v>0</v>
      </c>
      <c r="G309" s="421">
        <f t="shared" si="17"/>
        <v>0</v>
      </c>
      <c r="H309" s="41">
        <f t="shared" si="17"/>
        <v>0</v>
      </c>
      <c r="I309" s="10">
        <f t="shared" si="17"/>
        <v>0</v>
      </c>
      <c r="J309" s="10">
        <f t="shared" si="18"/>
        <v>0</v>
      </c>
      <c r="K309" s="113">
        <f t="shared" si="19"/>
        <v>60137.072434607639</v>
      </c>
    </row>
    <row r="310" spans="1:11" x14ac:dyDescent="0.25">
      <c r="A310" s="49">
        <f>'A) Base RI'!A309</f>
        <v>5932</v>
      </c>
      <c r="B310" s="294" t="str">
        <f>'A) Base RI'!B309</f>
        <v>Ursins</v>
      </c>
      <c r="C310" s="10">
        <f>'A) Base RI'!AO309</f>
        <v>238</v>
      </c>
      <c r="D310" s="10">
        <f t="shared" si="20"/>
        <v>238</v>
      </c>
      <c r="E310" s="421">
        <f t="shared" si="17"/>
        <v>0</v>
      </c>
      <c r="F310" s="10">
        <f t="shared" si="17"/>
        <v>0</v>
      </c>
      <c r="G310" s="421">
        <f t="shared" ref="E310:I316" si="21">IF($C310&gt;G$4,IF($C310&lt;G$5,$C310-G$4,G$5-G$4),0)</f>
        <v>0</v>
      </c>
      <c r="H310" s="41">
        <f t="shared" si="21"/>
        <v>0</v>
      </c>
      <c r="I310" s="10">
        <f t="shared" si="21"/>
        <v>0</v>
      </c>
      <c r="J310" s="10">
        <f t="shared" si="18"/>
        <v>0</v>
      </c>
      <c r="K310" s="113">
        <f t="shared" si="19"/>
        <v>29510.563380281685</v>
      </c>
    </row>
    <row r="311" spans="1:11" x14ac:dyDescent="0.25">
      <c r="A311" s="49">
        <f>'A) Base RI'!A310</f>
        <v>5933</v>
      </c>
      <c r="B311" s="294" t="str">
        <f>'A) Base RI'!B310</f>
        <v>Valeyres-sous-Montagny</v>
      </c>
      <c r="C311" s="10">
        <f>'A) Base RI'!AO310</f>
        <v>714</v>
      </c>
      <c r="D311" s="10">
        <f t="shared" si="20"/>
        <v>714</v>
      </c>
      <c r="E311" s="421">
        <f t="shared" si="21"/>
        <v>0</v>
      </c>
      <c r="F311" s="10">
        <f t="shared" si="21"/>
        <v>0</v>
      </c>
      <c r="G311" s="421">
        <f t="shared" si="21"/>
        <v>0</v>
      </c>
      <c r="H311" s="41">
        <f t="shared" si="21"/>
        <v>0</v>
      </c>
      <c r="I311" s="10">
        <f t="shared" si="21"/>
        <v>0</v>
      </c>
      <c r="J311" s="10">
        <f t="shared" si="18"/>
        <v>0</v>
      </c>
      <c r="K311" s="113">
        <f t="shared" si="19"/>
        <v>88531.69014084505</v>
      </c>
    </row>
    <row r="312" spans="1:11" x14ac:dyDescent="0.25">
      <c r="A312" s="49">
        <f>'A) Base RI'!A311</f>
        <v>5934</v>
      </c>
      <c r="B312" s="294" t="str">
        <f>'A) Base RI'!B311</f>
        <v>Valeyres-sous-Ursins</v>
      </c>
      <c r="C312" s="10">
        <f>'A) Base RI'!AO311</f>
        <v>241</v>
      </c>
      <c r="D312" s="10">
        <f t="shared" si="20"/>
        <v>241</v>
      </c>
      <c r="E312" s="421">
        <f t="shared" si="21"/>
        <v>0</v>
      </c>
      <c r="F312" s="10">
        <f t="shared" si="21"/>
        <v>0</v>
      </c>
      <c r="G312" s="421">
        <f t="shared" si="21"/>
        <v>0</v>
      </c>
      <c r="H312" s="41">
        <f t="shared" si="21"/>
        <v>0</v>
      </c>
      <c r="I312" s="10">
        <f t="shared" si="21"/>
        <v>0</v>
      </c>
      <c r="J312" s="10">
        <f t="shared" si="18"/>
        <v>0</v>
      </c>
      <c r="K312" s="113">
        <f t="shared" si="19"/>
        <v>29882.545271629773</v>
      </c>
    </row>
    <row r="313" spans="1:11" x14ac:dyDescent="0.25">
      <c r="A313" s="49">
        <f>'A) Base RI'!A312</f>
        <v>5935</v>
      </c>
      <c r="B313" s="294" t="str">
        <f>'A) Base RI'!B312</f>
        <v>Villars-Epeney</v>
      </c>
      <c r="C313" s="10">
        <f>'A) Base RI'!AO312</f>
        <v>101</v>
      </c>
      <c r="D313" s="10">
        <f t="shared" si="20"/>
        <v>101</v>
      </c>
      <c r="E313" s="421">
        <f t="shared" si="21"/>
        <v>0</v>
      </c>
      <c r="F313" s="10">
        <f t="shared" si="21"/>
        <v>0</v>
      </c>
      <c r="G313" s="421">
        <f t="shared" si="21"/>
        <v>0</v>
      </c>
      <c r="H313" s="41">
        <f t="shared" si="21"/>
        <v>0</v>
      </c>
      <c r="I313" s="10">
        <f t="shared" si="21"/>
        <v>0</v>
      </c>
      <c r="J313" s="10">
        <f t="shared" si="18"/>
        <v>0</v>
      </c>
      <c r="K313" s="113">
        <f t="shared" si="19"/>
        <v>12523.390342052311</v>
      </c>
    </row>
    <row r="314" spans="1:11" x14ac:dyDescent="0.25">
      <c r="A314" s="49">
        <f>'A) Base RI'!A313</f>
        <v>5937</v>
      </c>
      <c r="B314" s="294" t="str">
        <f>'A) Base RI'!B313</f>
        <v>Vugelles-La Mothe</v>
      </c>
      <c r="C314" s="10">
        <f>'A) Base RI'!AO313</f>
        <v>138</v>
      </c>
      <c r="D314" s="10">
        <f t="shared" si="20"/>
        <v>138</v>
      </c>
      <c r="E314" s="421">
        <f t="shared" si="21"/>
        <v>0</v>
      </c>
      <c r="F314" s="10">
        <f t="shared" si="21"/>
        <v>0</v>
      </c>
      <c r="G314" s="421">
        <f t="shared" si="21"/>
        <v>0</v>
      </c>
      <c r="H314" s="41">
        <f t="shared" si="21"/>
        <v>0</v>
      </c>
      <c r="I314" s="10">
        <f t="shared" si="21"/>
        <v>0</v>
      </c>
      <c r="J314" s="10">
        <f t="shared" si="18"/>
        <v>0</v>
      </c>
      <c r="K314" s="113">
        <f t="shared" si="19"/>
        <v>17111.167002012069</v>
      </c>
    </row>
    <row r="315" spans="1:11" x14ac:dyDescent="0.25">
      <c r="A315" s="49">
        <f>'A) Base RI'!A314</f>
        <v>5938</v>
      </c>
      <c r="B315" s="294" t="str">
        <f>'A) Base RI'!B314</f>
        <v>Yverdon-les-Bains</v>
      </c>
      <c r="C315" s="10">
        <f>'A) Base RI'!AO314</f>
        <v>29981</v>
      </c>
      <c r="D315" s="10">
        <f t="shared" si="20"/>
        <v>1000</v>
      </c>
      <c r="E315" s="421">
        <f t="shared" si="21"/>
        <v>2000</v>
      </c>
      <c r="F315" s="10">
        <f t="shared" si="21"/>
        <v>2000</v>
      </c>
      <c r="G315" s="421">
        <f t="shared" si="21"/>
        <v>4000</v>
      </c>
      <c r="H315" s="41">
        <f t="shared" si="21"/>
        <v>3000</v>
      </c>
      <c r="I315" s="10">
        <f t="shared" si="21"/>
        <v>3000</v>
      </c>
      <c r="J315" s="10">
        <f t="shared" si="18"/>
        <v>14981</v>
      </c>
      <c r="K315" s="113">
        <f t="shared" si="19"/>
        <v>25299777.967806838</v>
      </c>
    </row>
    <row r="316" spans="1:11" x14ac:dyDescent="0.25">
      <c r="A316" s="49">
        <f>'A) Base RI'!A315</f>
        <v>5939</v>
      </c>
      <c r="B316" s="294" t="str">
        <f>'A) Base RI'!B315</f>
        <v>Yvonand</v>
      </c>
      <c r="C316" s="422">
        <f>'A) Base RI'!AO315</f>
        <v>3467</v>
      </c>
      <c r="D316" s="10">
        <f t="shared" si="20"/>
        <v>1000</v>
      </c>
      <c r="E316" s="421">
        <f t="shared" si="21"/>
        <v>2000</v>
      </c>
      <c r="F316" s="10">
        <f t="shared" si="21"/>
        <v>467</v>
      </c>
      <c r="G316" s="421">
        <f t="shared" si="21"/>
        <v>0</v>
      </c>
      <c r="H316" s="41">
        <f t="shared" si="21"/>
        <v>0</v>
      </c>
      <c r="I316" s="10">
        <f t="shared" si="21"/>
        <v>0</v>
      </c>
      <c r="J316" s="10">
        <f t="shared" si="18"/>
        <v>0</v>
      </c>
      <c r="K316" s="113">
        <f t="shared" si="19"/>
        <v>1049980.8853118711</v>
      </c>
    </row>
    <row r="317" spans="1:11" x14ac:dyDescent="0.25">
      <c r="A317" s="371"/>
      <c r="B317" s="431">
        <f>COUNTA(B8:B316)</f>
        <v>309</v>
      </c>
      <c r="C317" s="11">
        <f>SUM(C8:C316)</f>
        <v>815300</v>
      </c>
      <c r="D317" s="11">
        <f t="shared" ref="D317:J317" si="22">SUM(D8:D316)</f>
        <v>219258</v>
      </c>
      <c r="E317" s="11">
        <f t="shared" si="22"/>
        <v>171991</v>
      </c>
      <c r="F317" s="11">
        <f t="shared" si="22"/>
        <v>86996</v>
      </c>
      <c r="G317" s="11">
        <f t="shared" si="22"/>
        <v>94831</v>
      </c>
      <c r="H317" s="11">
        <f t="shared" si="22"/>
        <v>41586</v>
      </c>
      <c r="I317" s="11">
        <f t="shared" si="22"/>
        <v>26878</v>
      </c>
      <c r="J317" s="11">
        <f t="shared" si="22"/>
        <v>173760</v>
      </c>
      <c r="K317" s="37">
        <f>SUM(K8:K316)</f>
        <v>429192507.8470825</v>
      </c>
    </row>
    <row r="318" spans="1:11" x14ac:dyDescent="0.25">
      <c r="C318" s="71"/>
      <c r="K318" s="6"/>
    </row>
    <row r="328" spans="3:3" x14ac:dyDescent="0.25">
      <c r="C328" s="58"/>
    </row>
  </sheetData>
  <mergeCells count="6">
    <mergeCell ref="K6:K7"/>
    <mergeCell ref="C3:J3"/>
    <mergeCell ref="A6:A7"/>
    <mergeCell ref="B6:B7"/>
    <mergeCell ref="C6:C7"/>
    <mergeCell ref="D6:J6"/>
  </mergeCells>
  <phoneticPr fontId="21" type="noConversion"/>
  <pageMargins left="0.78740157499999996" right="0.78740157499999996" top="0.984251969" bottom="0.984251969" header="0.4921259845" footer="0.4921259845"/>
  <pageSetup paperSize="9" orientation="portrait" horizontalDpi="4294967292" verticalDpi="4294967292"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0">
    <tabColor rgb="FF00B050"/>
  </sheetPr>
  <dimension ref="A1:M314"/>
  <sheetViews>
    <sheetView workbookViewId="0"/>
  </sheetViews>
  <sheetFormatPr baseColWidth="10" defaultColWidth="11" defaultRowHeight="15" x14ac:dyDescent="0.25"/>
  <cols>
    <col min="1" max="1" width="7.25" style="13" customWidth="1"/>
    <col min="2" max="2" width="25.375" style="13" customWidth="1"/>
    <col min="3" max="3" width="9.25" style="13" customWidth="1"/>
    <col min="4" max="4" width="13.625" style="13" customWidth="1"/>
    <col min="5" max="5" width="10.375" style="13" customWidth="1"/>
    <col min="6" max="6" width="13.25" style="14" customWidth="1"/>
    <col min="7" max="7" width="11" style="15"/>
    <col min="8" max="8" width="11" style="13"/>
    <col min="9" max="9" width="13.375" style="6" customWidth="1"/>
    <col min="10" max="12" width="11" style="13"/>
    <col min="13" max="13" width="11.625" style="15" bestFit="1" customWidth="1"/>
    <col min="14" max="16384" width="11" style="13"/>
  </cols>
  <sheetData>
    <row r="1" spans="1:12" ht="21" x14ac:dyDescent="0.25">
      <c r="A1" s="51" t="s">
        <v>452</v>
      </c>
      <c r="B1" s="42"/>
      <c r="C1" s="93"/>
      <c r="D1" s="93"/>
    </row>
    <row r="3" spans="1:12" ht="30" x14ac:dyDescent="0.25">
      <c r="A3" s="572" t="s">
        <v>46</v>
      </c>
      <c r="B3" s="572" t="s">
        <v>96</v>
      </c>
      <c r="C3" s="572" t="s">
        <v>303</v>
      </c>
      <c r="D3" s="572" t="s">
        <v>534</v>
      </c>
      <c r="E3" s="112" t="s">
        <v>352</v>
      </c>
      <c r="F3" s="569" t="s">
        <v>310</v>
      </c>
      <c r="G3" s="593" t="s">
        <v>78</v>
      </c>
      <c r="H3" s="572" t="s">
        <v>350</v>
      </c>
      <c r="I3" s="569" t="s">
        <v>351</v>
      </c>
    </row>
    <row r="4" spans="1:12" x14ac:dyDescent="0.25">
      <c r="A4" s="573"/>
      <c r="B4" s="573"/>
      <c r="C4" s="573"/>
      <c r="D4" s="574"/>
      <c r="E4" s="479">
        <f>+Paramètres!B32</f>
        <v>0.27</v>
      </c>
      <c r="F4" s="571"/>
      <c r="G4" s="594"/>
      <c r="H4" s="574"/>
      <c r="I4" s="570"/>
    </row>
    <row r="5" spans="1:12" x14ac:dyDescent="0.25">
      <c r="A5" s="46">
        <f>'A) Base RI'!A7</f>
        <v>5401</v>
      </c>
      <c r="B5" s="297" t="str">
        <f>'A) Base RI'!B7</f>
        <v>Aigle</v>
      </c>
      <c r="C5" s="94">
        <f>'A) Base RI'!AO7</f>
        <v>10518</v>
      </c>
      <c r="D5" s="110">
        <f>'D) Ecrêtage'!E5</f>
        <v>27.07014660293753</v>
      </c>
      <c r="E5" s="34">
        <f t="shared" ref="E5" si="0">IF($D$314-D5&lt;0,0,$D$314-D5)</f>
        <v>21.099206804862877</v>
      </c>
      <c r="F5" s="277">
        <f t="shared" ref="F5" si="1">(C5*E5*G5)*$E$4</f>
        <v>3954640.3668326209</v>
      </c>
      <c r="G5" s="33">
        <f>+'A) Base RI'!AN7</f>
        <v>66</v>
      </c>
      <c r="H5" s="278">
        <f t="shared" ref="H5" si="2">G5/$G$314</f>
        <v>0.98072222914562823</v>
      </c>
      <c r="I5" s="55">
        <f>F5*H5</f>
        <v>3878403.716029373</v>
      </c>
      <c r="J5" s="48"/>
      <c r="K5" s="107"/>
      <c r="L5" s="15"/>
    </row>
    <row r="6" spans="1:12" x14ac:dyDescent="0.25">
      <c r="A6" s="49">
        <f>'A) Base RI'!A8</f>
        <v>5402</v>
      </c>
      <c r="B6" s="32" t="str">
        <f>'A) Base RI'!B8</f>
        <v>Bex</v>
      </c>
      <c r="C6" s="95">
        <f>'A) Base RI'!AO8</f>
        <v>7828</v>
      </c>
      <c r="D6" s="110">
        <f>'D) Ecrêtage'!E6</f>
        <v>22.899744938717639</v>
      </c>
      <c r="E6" s="34">
        <f t="shared" ref="E6:E69" si="3">IF($D$314-D6&lt;0,0,$D$314-D6)</f>
        <v>25.269608469082769</v>
      </c>
      <c r="F6" s="277">
        <f t="shared" ref="F6:F69" si="4">(C6*E6*G6)*$E$4</f>
        <v>3792027.1909899353</v>
      </c>
      <c r="G6" s="33">
        <f>+'A) Base RI'!AN8</f>
        <v>71</v>
      </c>
      <c r="H6" s="278">
        <f t="shared" ref="H6:H69" si="5">G6/$G$314</f>
        <v>1.0550193677172668</v>
      </c>
      <c r="I6" s="55">
        <f t="shared" ref="I6:I69" si="6">F6*H6</f>
        <v>4000662.1294048848</v>
      </c>
      <c r="J6" s="48"/>
      <c r="L6" s="108"/>
    </row>
    <row r="7" spans="1:12" x14ac:dyDescent="0.25">
      <c r="A7" s="49">
        <f>'A) Base RI'!A9</f>
        <v>5403</v>
      </c>
      <c r="B7" s="32" t="str">
        <f>'A) Base RI'!B9</f>
        <v>Chessel</v>
      </c>
      <c r="C7" s="95">
        <f>'A) Base RI'!AO9</f>
        <v>444</v>
      </c>
      <c r="D7" s="110">
        <f>'D) Ecrêtage'!E7</f>
        <v>24.319234842951065</v>
      </c>
      <c r="E7" s="34">
        <f t="shared" si="3"/>
        <v>23.850118564849343</v>
      </c>
      <c r="F7" s="277">
        <f t="shared" si="4"/>
        <v>211577.26380300632</v>
      </c>
      <c r="G7" s="33">
        <f>+'A) Base RI'!AN9</f>
        <v>74</v>
      </c>
      <c r="H7" s="278">
        <f t="shared" si="5"/>
        <v>1.0995976508602499</v>
      </c>
      <c r="I7" s="55">
        <f t="shared" si="6"/>
        <v>232649.86225322512</v>
      </c>
      <c r="J7" s="48"/>
      <c r="L7" s="108"/>
    </row>
    <row r="8" spans="1:12" x14ac:dyDescent="0.25">
      <c r="A8" s="49">
        <f>'A) Base RI'!A10</f>
        <v>5404</v>
      </c>
      <c r="B8" s="32" t="str">
        <f>'A) Base RI'!B10</f>
        <v>Corbeyrier</v>
      </c>
      <c r="C8" s="95">
        <f>'A) Base RI'!AO10</f>
        <v>445</v>
      </c>
      <c r="D8" s="110">
        <f>'D) Ecrêtage'!E8</f>
        <v>25.321056787124203</v>
      </c>
      <c r="E8" s="34">
        <f t="shared" si="3"/>
        <v>22.848296620676205</v>
      </c>
      <c r="F8" s="277">
        <f t="shared" si="4"/>
        <v>203146.49008409423</v>
      </c>
      <c r="G8" s="33">
        <f>+'A) Base RI'!AN10</f>
        <v>74</v>
      </c>
      <c r="H8" s="278">
        <f t="shared" si="5"/>
        <v>1.0995976508602499</v>
      </c>
      <c r="I8" s="55">
        <f t="shared" si="6"/>
        <v>223379.40327697506</v>
      </c>
    </row>
    <row r="9" spans="1:12" x14ac:dyDescent="0.25">
      <c r="A9" s="49">
        <f>'A) Base RI'!A11</f>
        <v>5405</v>
      </c>
      <c r="B9" s="32" t="str">
        <f>'A) Base RI'!B11</f>
        <v>Gryon</v>
      </c>
      <c r="C9" s="95">
        <f>'A) Base RI'!AO11</f>
        <v>1378</v>
      </c>
      <c r="D9" s="110">
        <f>'D) Ecrêtage'!E9</f>
        <v>49.481708282732548</v>
      </c>
      <c r="E9" s="34">
        <f t="shared" si="3"/>
        <v>0</v>
      </c>
      <c r="F9" s="277">
        <f t="shared" si="4"/>
        <v>0</v>
      </c>
      <c r="G9" s="33">
        <f>+'A) Base RI'!AN11</f>
        <v>73.5</v>
      </c>
      <c r="H9" s="278">
        <f t="shared" si="5"/>
        <v>1.0921679370030859</v>
      </c>
      <c r="I9" s="55">
        <f t="shared" si="6"/>
        <v>0</v>
      </c>
    </row>
    <row r="10" spans="1:12" x14ac:dyDescent="0.25">
      <c r="A10" s="49">
        <f>'A) Base RI'!A12</f>
        <v>5406</v>
      </c>
      <c r="B10" s="32" t="str">
        <f>'A) Base RI'!B12</f>
        <v>Lavey-Morcles</v>
      </c>
      <c r="C10" s="95">
        <f>'A) Base RI'!AO12</f>
        <v>944</v>
      </c>
      <c r="D10" s="110">
        <f>'D) Ecrêtage'!E10</f>
        <v>23.13828926614455</v>
      </c>
      <c r="E10" s="34">
        <f t="shared" si="3"/>
        <v>25.031064141655857</v>
      </c>
      <c r="F10" s="277">
        <f t="shared" si="4"/>
        <v>456164.11043240508</v>
      </c>
      <c r="G10" s="33">
        <f>+'A) Base RI'!AN12</f>
        <v>71.5</v>
      </c>
      <c r="H10" s="278">
        <f t="shared" si="5"/>
        <v>1.0624490815744305</v>
      </c>
      <c r="I10" s="55">
        <f t="shared" si="6"/>
        <v>484651.14017612586</v>
      </c>
    </row>
    <row r="11" spans="1:12" x14ac:dyDescent="0.25">
      <c r="A11" s="49">
        <f>'A) Base RI'!A13</f>
        <v>5407</v>
      </c>
      <c r="B11" s="32" t="str">
        <f>'A) Base RI'!B13</f>
        <v>Leysin</v>
      </c>
      <c r="C11" s="95">
        <f>'A) Base RI'!AO13</f>
        <v>3645</v>
      </c>
      <c r="D11" s="110">
        <f>'D) Ecrêtage'!E11</f>
        <v>24.916927567326745</v>
      </c>
      <c r="E11" s="34">
        <f t="shared" si="3"/>
        <v>23.252425840473663</v>
      </c>
      <c r="F11" s="277">
        <f t="shared" si="4"/>
        <v>1784942.241490368</v>
      </c>
      <c r="G11" s="33">
        <f>+'A) Base RI'!AN13</f>
        <v>78</v>
      </c>
      <c r="H11" s="278">
        <f t="shared" si="5"/>
        <v>1.1590353617175606</v>
      </c>
      <c r="I11" s="55">
        <f t="shared" si="6"/>
        <v>2068811.1765107422</v>
      </c>
    </row>
    <row r="12" spans="1:12" x14ac:dyDescent="0.25">
      <c r="A12" s="49">
        <f>'A) Base RI'!A14</f>
        <v>5408</v>
      </c>
      <c r="B12" s="32" t="str">
        <f>'A) Base RI'!B14</f>
        <v>Noville</v>
      </c>
      <c r="C12" s="95">
        <f>'A) Base RI'!AO14</f>
        <v>1170</v>
      </c>
      <c r="D12" s="110">
        <f>'D) Ecrêtage'!E12</f>
        <v>37.470124376213541</v>
      </c>
      <c r="E12" s="34">
        <f t="shared" si="3"/>
        <v>10.699229031586867</v>
      </c>
      <c r="F12" s="277">
        <f t="shared" si="4"/>
        <v>265321.08640964591</v>
      </c>
      <c r="G12" s="33">
        <f>+'A) Base RI'!AN14</f>
        <v>78.5</v>
      </c>
      <c r="H12" s="278">
        <f t="shared" si="5"/>
        <v>1.1664650755747246</v>
      </c>
      <c r="I12" s="55">
        <f t="shared" si="6"/>
        <v>309487.78111039562</v>
      </c>
    </row>
    <row r="13" spans="1:12" x14ac:dyDescent="0.25">
      <c r="A13" s="49">
        <f>'A) Base RI'!A15</f>
        <v>5409</v>
      </c>
      <c r="B13" s="32" t="str">
        <f>'A) Base RI'!B15</f>
        <v>Ollon</v>
      </c>
      <c r="C13" s="95">
        <f>'A) Base RI'!AO15</f>
        <v>7634</v>
      </c>
      <c r="D13" s="110">
        <f>'D) Ecrêtage'!E13</f>
        <v>50.980716519452727</v>
      </c>
      <c r="E13" s="34">
        <f t="shared" si="3"/>
        <v>0</v>
      </c>
      <c r="F13" s="277">
        <f t="shared" si="4"/>
        <v>0</v>
      </c>
      <c r="G13" s="33">
        <f>+'A) Base RI'!AN15</f>
        <v>68</v>
      </c>
      <c r="H13" s="278">
        <f t="shared" si="5"/>
        <v>1.0104410845742837</v>
      </c>
      <c r="I13" s="55">
        <f t="shared" si="6"/>
        <v>0</v>
      </c>
    </row>
    <row r="14" spans="1:12" x14ac:dyDescent="0.25">
      <c r="A14" s="49">
        <f>'A) Base RI'!A16</f>
        <v>5410</v>
      </c>
      <c r="B14" s="32" t="str">
        <f>'A) Base RI'!B16</f>
        <v>Ormont-Dessous</v>
      </c>
      <c r="C14" s="95">
        <f>'A) Base RI'!AO16</f>
        <v>1180</v>
      </c>
      <c r="D14" s="110">
        <f>'D) Ecrêtage'!E14</f>
        <v>33.493682295106026</v>
      </c>
      <c r="E14" s="34">
        <f t="shared" si="3"/>
        <v>14.675671112694381</v>
      </c>
      <c r="F14" s="277">
        <f t="shared" si="4"/>
        <v>360026.49887084117</v>
      </c>
      <c r="G14" s="33">
        <f>+'A) Base RI'!AN16</f>
        <v>77</v>
      </c>
      <c r="H14" s="278">
        <f t="shared" si="5"/>
        <v>1.1441759340032329</v>
      </c>
      <c r="I14" s="55">
        <f t="shared" si="6"/>
        <v>411933.65561145858</v>
      </c>
    </row>
    <row r="15" spans="1:12" x14ac:dyDescent="0.25">
      <c r="A15" s="49">
        <f>'A) Base RI'!A17</f>
        <v>5411</v>
      </c>
      <c r="B15" s="32" t="str">
        <f>'A) Base RI'!B17</f>
        <v>Ormont-Dessus</v>
      </c>
      <c r="C15" s="95">
        <f>'A) Base RI'!AO17</f>
        <v>1466</v>
      </c>
      <c r="D15" s="110">
        <f>'D) Ecrêtage'!E15</f>
        <v>46.418407589574215</v>
      </c>
      <c r="E15" s="34">
        <f t="shared" si="3"/>
        <v>1.7509458182261923</v>
      </c>
      <c r="F15" s="277">
        <f t="shared" si="4"/>
        <v>52672.512406542148</v>
      </c>
      <c r="G15" s="33">
        <f>+'A) Base RI'!AN17</f>
        <v>76</v>
      </c>
      <c r="H15" s="278">
        <f t="shared" si="5"/>
        <v>1.1293165062889052</v>
      </c>
      <c r="I15" s="55">
        <f t="shared" si="6"/>
        <v>59483.937688415193</v>
      </c>
    </row>
    <row r="16" spans="1:12" x14ac:dyDescent="0.25">
      <c r="A16" s="49">
        <f>'A) Base RI'!A18</f>
        <v>5412</v>
      </c>
      <c r="B16" s="32" t="str">
        <f>'A) Base RI'!B18</f>
        <v>Rennaz</v>
      </c>
      <c r="C16" s="95">
        <f>'A) Base RI'!AO18</f>
        <v>889</v>
      </c>
      <c r="D16" s="110">
        <f>'D) Ecrêtage'!E16</f>
        <v>27.305153486249001</v>
      </c>
      <c r="E16" s="34">
        <f t="shared" si="3"/>
        <v>20.864199921551407</v>
      </c>
      <c r="F16" s="277">
        <f t="shared" si="4"/>
        <v>345554.3395947289</v>
      </c>
      <c r="G16" s="33">
        <f>+'A) Base RI'!AN18</f>
        <v>69</v>
      </c>
      <c r="H16" s="278">
        <f t="shared" si="5"/>
        <v>1.0253005122886114</v>
      </c>
      <c r="I16" s="55">
        <f t="shared" si="6"/>
        <v>354297.04141002835</v>
      </c>
    </row>
    <row r="17" spans="1:9" x14ac:dyDescent="0.25">
      <c r="A17" s="49">
        <f>'A) Base RI'!A19</f>
        <v>5413</v>
      </c>
      <c r="B17" s="32" t="str">
        <f>'A) Base RI'!B19</f>
        <v>Roche</v>
      </c>
      <c r="C17" s="95">
        <f>'A) Base RI'!AO19</f>
        <v>1868</v>
      </c>
      <c r="D17" s="110">
        <f>'D) Ecrêtage'!E17</f>
        <v>25.69992952775328</v>
      </c>
      <c r="E17" s="34">
        <f t="shared" si="3"/>
        <v>22.469423880047128</v>
      </c>
      <c r="F17" s="277">
        <f t="shared" si="4"/>
        <v>770622.14671355882</v>
      </c>
      <c r="G17" s="33">
        <f>+'A) Base RI'!AN19</f>
        <v>68</v>
      </c>
      <c r="H17" s="278">
        <f t="shared" si="5"/>
        <v>1.0104410845742837</v>
      </c>
      <c r="I17" s="55">
        <f t="shared" si="6"/>
        <v>778668.27772221121</v>
      </c>
    </row>
    <row r="18" spans="1:9" x14ac:dyDescent="0.25">
      <c r="A18" s="49">
        <f>'A) Base RI'!A20</f>
        <v>5414</v>
      </c>
      <c r="B18" s="32" t="str">
        <f>'A) Base RI'!B20</f>
        <v>Villeneuve</v>
      </c>
      <c r="C18" s="95">
        <f>'A) Base RI'!AO20</f>
        <v>5837</v>
      </c>
      <c r="D18" s="110">
        <f>'D) Ecrêtage'!E18</f>
        <v>27.320311651723671</v>
      </c>
      <c r="E18" s="34">
        <f t="shared" si="3"/>
        <v>20.849041756076737</v>
      </c>
      <c r="F18" s="277">
        <f t="shared" si="4"/>
        <v>2217906.9889082583</v>
      </c>
      <c r="G18" s="33">
        <f>+'A) Base RI'!AN20</f>
        <v>67.5</v>
      </c>
      <c r="H18" s="278">
        <f t="shared" si="5"/>
        <v>1.0030113707171198</v>
      </c>
      <c r="I18" s="55">
        <f t="shared" si="6"/>
        <v>2224585.9290679521</v>
      </c>
    </row>
    <row r="19" spans="1:9" x14ac:dyDescent="0.25">
      <c r="A19" s="49">
        <f>'A) Base RI'!A21</f>
        <v>5415</v>
      </c>
      <c r="B19" s="32" t="str">
        <f>'A) Base RI'!B21</f>
        <v>Yvorne</v>
      </c>
      <c r="C19" s="95">
        <f>'A) Base RI'!AO21</f>
        <v>1070</v>
      </c>
      <c r="D19" s="110">
        <f>'D) Ecrêtage'!E19</f>
        <v>35.658897283401956</v>
      </c>
      <c r="E19" s="34">
        <f t="shared" si="3"/>
        <v>12.510456124398452</v>
      </c>
      <c r="F19" s="277">
        <f t="shared" si="4"/>
        <v>258420.36036521799</v>
      </c>
      <c r="G19" s="33">
        <f>+'A) Base RI'!AN21</f>
        <v>71.5</v>
      </c>
      <c r="H19" s="278">
        <f t="shared" si="5"/>
        <v>1.0624490815744305</v>
      </c>
      <c r="I19" s="55">
        <f t="shared" si="6"/>
        <v>274558.4745301592</v>
      </c>
    </row>
    <row r="20" spans="1:9" x14ac:dyDescent="0.25">
      <c r="A20" s="49">
        <f>'A) Base RI'!A22</f>
        <v>5421</v>
      </c>
      <c r="B20" s="32" t="str">
        <f>'A) Base RI'!B22</f>
        <v>Apples</v>
      </c>
      <c r="C20" s="95">
        <f>'A) Base RI'!AO22</f>
        <v>1457</v>
      </c>
      <c r="D20" s="110">
        <f>'D) Ecrêtage'!E20</f>
        <v>45.513796583130834</v>
      </c>
      <c r="E20" s="34">
        <f t="shared" si="3"/>
        <v>2.6555568246695742</v>
      </c>
      <c r="F20" s="277">
        <f t="shared" si="4"/>
        <v>77305.542945000518</v>
      </c>
      <c r="G20" s="33">
        <f>+'A) Base RI'!AN22</f>
        <v>74</v>
      </c>
      <c r="H20" s="278">
        <f t="shared" si="5"/>
        <v>1.0995976508602499</v>
      </c>
      <c r="I20" s="55">
        <f t="shared" si="6"/>
        <v>85004.993420798724</v>
      </c>
    </row>
    <row r="21" spans="1:9" x14ac:dyDescent="0.25">
      <c r="A21" s="49">
        <f>'A) Base RI'!A23</f>
        <v>5422</v>
      </c>
      <c r="B21" s="32" t="str">
        <f>'A) Base RI'!B23</f>
        <v>Aubonne</v>
      </c>
      <c r="C21" s="95">
        <f>'A) Base RI'!AO23</f>
        <v>3241</v>
      </c>
      <c r="D21" s="110">
        <f>'D) Ecrêtage'!E21</f>
        <v>74.788089915476206</v>
      </c>
      <c r="E21" s="34">
        <f t="shared" si="3"/>
        <v>0</v>
      </c>
      <c r="F21" s="277">
        <f t="shared" si="4"/>
        <v>0</v>
      </c>
      <c r="G21" s="33">
        <f>+'A) Base RI'!AN23</f>
        <v>68.5</v>
      </c>
      <c r="H21" s="278">
        <f t="shared" si="5"/>
        <v>1.0178707984314475</v>
      </c>
      <c r="I21" s="55">
        <f t="shared" si="6"/>
        <v>0</v>
      </c>
    </row>
    <row r="22" spans="1:9" x14ac:dyDescent="0.25">
      <c r="A22" s="49">
        <f>'A) Base RI'!A24</f>
        <v>5423</v>
      </c>
      <c r="B22" s="32" t="str">
        <f>'A) Base RI'!B24</f>
        <v>Ballens</v>
      </c>
      <c r="C22" s="95">
        <f>'A) Base RI'!AO24</f>
        <v>562</v>
      </c>
      <c r="D22" s="110">
        <f>'D) Ecrêtage'!E22</f>
        <v>30.453283771266996</v>
      </c>
      <c r="E22" s="34">
        <f t="shared" si="3"/>
        <v>17.716069636533412</v>
      </c>
      <c r="F22" s="277">
        <f t="shared" si="4"/>
        <v>196241.25768527336</v>
      </c>
      <c r="G22" s="33">
        <f>+'A) Base RI'!AN24</f>
        <v>73</v>
      </c>
      <c r="H22" s="278">
        <f t="shared" si="5"/>
        <v>1.0847382231459222</v>
      </c>
      <c r="I22" s="55">
        <f t="shared" si="6"/>
        <v>212870.39316944446</v>
      </c>
    </row>
    <row r="23" spans="1:9" x14ac:dyDescent="0.25">
      <c r="A23" s="49">
        <f>'A) Base RI'!A25</f>
        <v>5424</v>
      </c>
      <c r="B23" s="32" t="str">
        <f>'A) Base RI'!B25</f>
        <v>Berolle</v>
      </c>
      <c r="C23" s="95">
        <f>'A) Base RI'!AO25</f>
        <v>313</v>
      </c>
      <c r="D23" s="110">
        <f>'D) Ecrêtage'!E23</f>
        <v>29.121332120263208</v>
      </c>
      <c r="E23" s="34">
        <f t="shared" si="3"/>
        <v>19.0480212875372</v>
      </c>
      <c r="F23" s="277">
        <f t="shared" si="4"/>
        <v>121535.99506523756</v>
      </c>
      <c r="G23" s="33">
        <f>+'A) Base RI'!AN25</f>
        <v>75.5</v>
      </c>
      <c r="H23" s="278">
        <f t="shared" si="5"/>
        <v>1.1218867924317415</v>
      </c>
      <c r="I23" s="55">
        <f t="shared" si="6"/>
        <v>136349.62766873933</v>
      </c>
    </row>
    <row r="24" spans="1:9" x14ac:dyDescent="0.25">
      <c r="A24" s="49">
        <f>'A) Base RI'!A26</f>
        <v>5425</v>
      </c>
      <c r="B24" s="32" t="str">
        <f>'A) Base RI'!B26</f>
        <v>Bière</v>
      </c>
      <c r="C24" s="95">
        <f>'A) Base RI'!AO26</f>
        <v>1627</v>
      </c>
      <c r="D24" s="110">
        <f>'D) Ecrêtage'!E24</f>
        <v>24.715408196332074</v>
      </c>
      <c r="E24" s="34">
        <f t="shared" si="3"/>
        <v>23.453945211468334</v>
      </c>
      <c r="F24" s="277">
        <f t="shared" si="4"/>
        <v>710912.76784426882</v>
      </c>
      <c r="G24" s="33">
        <f>+'A) Base RI'!AN26</f>
        <v>69</v>
      </c>
      <c r="H24" s="278">
        <f t="shared" si="5"/>
        <v>1.0253005122886114</v>
      </c>
      <c r="I24" s="55">
        <f t="shared" si="6"/>
        <v>728899.22506324353</v>
      </c>
    </row>
    <row r="25" spans="1:9" x14ac:dyDescent="0.25">
      <c r="A25" s="49">
        <f>'A) Base RI'!A27</f>
        <v>5426</v>
      </c>
      <c r="B25" s="32" t="str">
        <f>'A) Base RI'!B27</f>
        <v>Bougy-Villars</v>
      </c>
      <c r="C25" s="95">
        <f>'A) Base RI'!AO27</f>
        <v>477</v>
      </c>
      <c r="D25" s="110">
        <f>'D) Ecrêtage'!E25</f>
        <v>116.56766250088029</v>
      </c>
      <c r="E25" s="34">
        <f t="shared" si="3"/>
        <v>0</v>
      </c>
      <c r="F25" s="277">
        <f t="shared" si="4"/>
        <v>0</v>
      </c>
      <c r="G25" s="33">
        <f>+'A) Base RI'!AN27</f>
        <v>64.5</v>
      </c>
      <c r="H25" s="278">
        <f t="shared" si="5"/>
        <v>0.9584330875741367</v>
      </c>
      <c r="I25" s="55">
        <f t="shared" si="6"/>
        <v>0</v>
      </c>
    </row>
    <row r="26" spans="1:9" x14ac:dyDescent="0.25">
      <c r="A26" s="49">
        <f>'A) Base RI'!A28</f>
        <v>5427</v>
      </c>
      <c r="B26" s="32" t="str">
        <f>'A) Base RI'!B28</f>
        <v>Féchy</v>
      </c>
      <c r="C26" s="95">
        <f>'A) Base RI'!AO28</f>
        <v>869</v>
      </c>
      <c r="D26" s="110">
        <f>'D) Ecrêtage'!E26</f>
        <v>88.630642454855277</v>
      </c>
      <c r="E26" s="34">
        <f t="shared" si="3"/>
        <v>0</v>
      </c>
      <c r="F26" s="277">
        <f t="shared" si="4"/>
        <v>0</v>
      </c>
      <c r="G26" s="33">
        <f>+'A) Base RI'!AN28</f>
        <v>64</v>
      </c>
      <c r="H26" s="278">
        <f t="shared" si="5"/>
        <v>0.95100337371697286</v>
      </c>
      <c r="I26" s="55">
        <f t="shared" si="6"/>
        <v>0</v>
      </c>
    </row>
    <row r="27" spans="1:9" x14ac:dyDescent="0.25">
      <c r="A27" s="49">
        <f>'A) Base RI'!A29</f>
        <v>5428</v>
      </c>
      <c r="B27" s="32" t="str">
        <f>'A) Base RI'!B29</f>
        <v>Gimel</v>
      </c>
      <c r="C27" s="95">
        <f>'A) Base RI'!AO29</f>
        <v>2307</v>
      </c>
      <c r="D27" s="110">
        <f>'D) Ecrêtage'!E27</f>
        <v>30.426191146680321</v>
      </c>
      <c r="E27" s="34">
        <f t="shared" si="3"/>
        <v>17.743162261120087</v>
      </c>
      <c r="F27" s="277">
        <f t="shared" si="4"/>
        <v>823376.85639176739</v>
      </c>
      <c r="G27" s="33">
        <f>+'A) Base RI'!AN29</f>
        <v>74.5</v>
      </c>
      <c r="H27" s="278">
        <f t="shared" si="5"/>
        <v>1.1070273647174138</v>
      </c>
      <c r="I27" s="55">
        <f t="shared" si="6"/>
        <v>911500.71150068671</v>
      </c>
    </row>
    <row r="28" spans="1:9" x14ac:dyDescent="0.25">
      <c r="A28" s="49">
        <f>'A) Base RI'!A30</f>
        <v>5429</v>
      </c>
      <c r="B28" s="32" t="str">
        <f>'A) Base RI'!B30</f>
        <v>Longirod</v>
      </c>
      <c r="C28" s="95">
        <f>'A) Base RI'!AO30</f>
        <v>494</v>
      </c>
      <c r="D28" s="110">
        <f>'D) Ecrêtage'!E28</f>
        <v>32.673631448347919</v>
      </c>
      <c r="E28" s="34">
        <f t="shared" si="3"/>
        <v>15.495721959452489</v>
      </c>
      <c r="F28" s="277">
        <f t="shared" si="4"/>
        <v>160178.50310876241</v>
      </c>
      <c r="G28" s="33">
        <f>+'A) Base RI'!AN30</f>
        <v>77.5</v>
      </c>
      <c r="H28" s="278">
        <f t="shared" si="5"/>
        <v>1.1516056478603969</v>
      </c>
      <c r="I28" s="55">
        <f t="shared" si="6"/>
        <v>184462.46884587492</v>
      </c>
    </row>
    <row r="29" spans="1:9" x14ac:dyDescent="0.25">
      <c r="A29" s="49">
        <f>'A) Base RI'!A31</f>
        <v>5430</v>
      </c>
      <c r="B29" s="32" t="str">
        <f>'A) Base RI'!B31</f>
        <v>Marchissy</v>
      </c>
      <c r="C29" s="95">
        <f>'A) Base RI'!AO31</f>
        <v>481</v>
      </c>
      <c r="D29" s="110">
        <f>'D) Ecrêtage'!E29</f>
        <v>30.869959895379253</v>
      </c>
      <c r="E29" s="34">
        <f t="shared" si="3"/>
        <v>17.299393512421155</v>
      </c>
      <c r="F29" s="277">
        <f t="shared" si="4"/>
        <v>174117.0982480055</v>
      </c>
      <c r="G29" s="33">
        <f>+'A) Base RI'!AN31</f>
        <v>77.5</v>
      </c>
      <c r="H29" s="278">
        <f t="shared" si="5"/>
        <v>1.1516056478603969</v>
      </c>
      <c r="I29" s="55">
        <f t="shared" si="6"/>
        <v>200514.23373146675</v>
      </c>
    </row>
    <row r="30" spans="1:9" x14ac:dyDescent="0.25">
      <c r="A30" s="49">
        <f>'A) Base RI'!A32</f>
        <v>5431</v>
      </c>
      <c r="B30" s="32" t="str">
        <f>'A) Base RI'!B32</f>
        <v>Mollens</v>
      </c>
      <c r="C30" s="95">
        <f>'A) Base RI'!AO32</f>
        <v>330</v>
      </c>
      <c r="D30" s="110">
        <f>'D) Ecrêtage'!E30</f>
        <v>28.28325675675676</v>
      </c>
      <c r="E30" s="34">
        <f t="shared" si="3"/>
        <v>19.886096651043648</v>
      </c>
      <c r="F30" s="277">
        <f t="shared" si="4"/>
        <v>131116.9896589912</v>
      </c>
      <c r="G30" s="33">
        <f>+'A) Base RI'!AN32</f>
        <v>74</v>
      </c>
      <c r="H30" s="278">
        <f t="shared" si="5"/>
        <v>1.0995976508602499</v>
      </c>
      <c r="I30" s="55">
        <f t="shared" si="6"/>
        <v>144175.93381689439</v>
      </c>
    </row>
    <row r="31" spans="1:9" x14ac:dyDescent="0.25">
      <c r="A31" s="49">
        <f>'A) Base RI'!A33</f>
        <v>5432</v>
      </c>
      <c r="B31" s="32" t="str">
        <f>'A) Base RI'!B33</f>
        <v>Montherod</v>
      </c>
      <c r="C31" s="95">
        <f>'A) Base RI'!AO33</f>
        <v>523</v>
      </c>
      <c r="D31" s="110">
        <f>'D) Ecrêtage'!E31</f>
        <v>31.413977055449326</v>
      </c>
      <c r="E31" s="34">
        <f t="shared" si="3"/>
        <v>16.755376352351082</v>
      </c>
      <c r="F31" s="277">
        <f t="shared" si="4"/>
        <v>177452.00210366223</v>
      </c>
      <c r="G31" s="33">
        <f>+'A) Base RI'!AN33</f>
        <v>75</v>
      </c>
      <c r="H31" s="278">
        <f t="shared" si="5"/>
        <v>1.1144570785745775</v>
      </c>
      <c r="I31" s="55">
        <f t="shared" si="6"/>
        <v>197762.63985165721</v>
      </c>
    </row>
    <row r="32" spans="1:9" x14ac:dyDescent="0.25">
      <c r="A32" s="49">
        <f>'A) Base RI'!A34</f>
        <v>5434</v>
      </c>
      <c r="B32" s="32" t="str">
        <f>'A) Base RI'!B34</f>
        <v>Saint-George</v>
      </c>
      <c r="C32" s="95">
        <f>'A) Base RI'!AO34</f>
        <v>1074</v>
      </c>
      <c r="D32" s="110">
        <f>'D) Ecrêtage'!E32</f>
        <v>37.985823296669921</v>
      </c>
      <c r="E32" s="34">
        <f t="shared" si="3"/>
        <v>10.183530111130487</v>
      </c>
      <c r="F32" s="277">
        <f t="shared" si="4"/>
        <v>205234.89428298053</v>
      </c>
      <c r="G32" s="33">
        <f>+'A) Base RI'!AN34</f>
        <v>69.5</v>
      </c>
      <c r="H32" s="278">
        <f t="shared" si="5"/>
        <v>1.0327302261457751</v>
      </c>
      <c r="I32" s="55">
        <f t="shared" si="6"/>
        <v>211952.27878586674</v>
      </c>
    </row>
    <row r="33" spans="1:9" x14ac:dyDescent="0.25">
      <c r="A33" s="49">
        <f>'A) Base RI'!A35</f>
        <v>5435</v>
      </c>
      <c r="B33" s="32" t="str">
        <f>'A) Base RI'!B35</f>
        <v>Saint-Livres</v>
      </c>
      <c r="C33" s="95">
        <f>'A) Base RI'!AO35</f>
        <v>683</v>
      </c>
      <c r="D33" s="110">
        <f>'D) Ecrêtage'!E33</f>
        <v>38.574685424491264</v>
      </c>
      <c r="E33" s="34">
        <f t="shared" si="3"/>
        <v>9.5946679833091437</v>
      </c>
      <c r="F33" s="277">
        <f t="shared" si="4"/>
        <v>122085.33787334072</v>
      </c>
      <c r="G33" s="33">
        <f>+'A) Base RI'!AN35</f>
        <v>69</v>
      </c>
      <c r="H33" s="278">
        <f t="shared" si="5"/>
        <v>1.0253005122886114</v>
      </c>
      <c r="I33" s="55">
        <f t="shared" si="6"/>
        <v>125174.15946446445</v>
      </c>
    </row>
    <row r="34" spans="1:9" x14ac:dyDescent="0.25">
      <c r="A34" s="49">
        <f>'A) Base RI'!A36</f>
        <v>5436</v>
      </c>
      <c r="B34" s="32" t="str">
        <f>'A) Base RI'!B36</f>
        <v>Saint-Oyens</v>
      </c>
      <c r="C34" s="95">
        <f>'A) Base RI'!AO36</f>
        <v>461</v>
      </c>
      <c r="D34" s="110">
        <f>'D) Ecrêtage'!E34</f>
        <v>36.346287391874881</v>
      </c>
      <c r="E34" s="34">
        <f t="shared" si="3"/>
        <v>11.823066015925527</v>
      </c>
      <c r="F34" s="277">
        <f t="shared" si="4"/>
        <v>119200.97918718227</v>
      </c>
      <c r="G34" s="33">
        <f>+'A) Base RI'!AN36</f>
        <v>81</v>
      </c>
      <c r="H34" s="278">
        <f t="shared" si="5"/>
        <v>1.2036136448605437</v>
      </c>
      <c r="I34" s="55">
        <f t="shared" si="6"/>
        <v>143471.92503043025</v>
      </c>
    </row>
    <row r="35" spans="1:9" x14ac:dyDescent="0.25">
      <c r="A35" s="49">
        <f>'A) Base RI'!A37</f>
        <v>5437</v>
      </c>
      <c r="B35" s="32" t="str">
        <f>'A) Base RI'!B37</f>
        <v>Saubraz</v>
      </c>
      <c r="C35" s="95">
        <f>'A) Base RI'!AO37</f>
        <v>423</v>
      </c>
      <c r="D35" s="110">
        <f>'D) Ecrêtage'!E35</f>
        <v>31.659351950354612</v>
      </c>
      <c r="E35" s="34">
        <f t="shared" si="3"/>
        <v>16.510001457445796</v>
      </c>
      <c r="F35" s="277">
        <f t="shared" si="4"/>
        <v>150848.58131639074</v>
      </c>
      <c r="G35" s="33">
        <f>+'A) Base RI'!AN37</f>
        <v>80</v>
      </c>
      <c r="H35" s="278">
        <f t="shared" si="5"/>
        <v>1.188754217146216</v>
      </c>
      <c r="I35" s="55">
        <f t="shared" si="6"/>
        <v>179321.88719038339</v>
      </c>
    </row>
    <row r="36" spans="1:9" x14ac:dyDescent="0.25">
      <c r="A36" s="49">
        <f>'A) Base RI'!A38</f>
        <v>5451</v>
      </c>
      <c r="B36" s="32" t="str">
        <f>'A) Base RI'!B38</f>
        <v>Avenches</v>
      </c>
      <c r="C36" s="95">
        <f>'A) Base RI'!AO38</f>
        <v>4482</v>
      </c>
      <c r="D36" s="110">
        <f>'D) Ecrêtage'!E36</f>
        <v>28.893532324787873</v>
      </c>
      <c r="E36" s="34">
        <f t="shared" si="3"/>
        <v>19.275821083012534</v>
      </c>
      <c r="F36" s="277">
        <f t="shared" si="4"/>
        <v>1551208.4013388865</v>
      </c>
      <c r="G36" s="33">
        <f>+'A) Base RI'!AN38</f>
        <v>66.5</v>
      </c>
      <c r="H36" s="278">
        <f t="shared" si="5"/>
        <v>0.98815194300279208</v>
      </c>
      <c r="I36" s="55">
        <f t="shared" si="6"/>
        <v>1532829.5957852756</v>
      </c>
    </row>
    <row r="37" spans="1:9" x14ac:dyDescent="0.25">
      <c r="A37" s="49">
        <f>'A) Base RI'!A39</f>
        <v>5456</v>
      </c>
      <c r="B37" s="32" t="str">
        <f>'A) Base RI'!B39</f>
        <v>Cudrefin</v>
      </c>
      <c r="C37" s="95">
        <f>'A) Base RI'!AO39</f>
        <v>1780</v>
      </c>
      <c r="D37" s="110">
        <f>'D) Ecrêtage'!E37</f>
        <v>36.082546784739421</v>
      </c>
      <c r="E37" s="34">
        <f t="shared" si="3"/>
        <v>12.086806623060987</v>
      </c>
      <c r="F37" s="277">
        <f t="shared" si="4"/>
        <v>342726.23651954351</v>
      </c>
      <c r="G37" s="33">
        <f>+'A) Base RI'!AN39</f>
        <v>59</v>
      </c>
      <c r="H37" s="278">
        <f t="shared" si="5"/>
        <v>0.8767062351453343</v>
      </c>
      <c r="I37" s="55">
        <f t="shared" si="6"/>
        <v>300470.22850457835</v>
      </c>
    </row>
    <row r="38" spans="1:9" x14ac:dyDescent="0.25">
      <c r="A38" s="49">
        <f>'A) Base RI'!A40</f>
        <v>5458</v>
      </c>
      <c r="B38" s="32" t="str">
        <f>'A) Base RI'!B40</f>
        <v>Faoug</v>
      </c>
      <c r="C38" s="95">
        <f>'A) Base RI'!AO40</f>
        <v>881</v>
      </c>
      <c r="D38" s="110">
        <f>'D) Ecrêtage'!E38</f>
        <v>36.547564234857084</v>
      </c>
      <c r="E38" s="34">
        <f t="shared" si="3"/>
        <v>11.621789172943323</v>
      </c>
      <c r="F38" s="277">
        <f t="shared" si="4"/>
        <v>182455.34937748988</v>
      </c>
      <c r="G38" s="33">
        <f>+'A) Base RI'!AN40</f>
        <v>66</v>
      </c>
      <c r="H38" s="278">
        <f t="shared" si="5"/>
        <v>0.98072222914562823</v>
      </c>
      <c r="I38" s="55">
        <f t="shared" si="6"/>
        <v>178938.01696103628</v>
      </c>
    </row>
    <row r="39" spans="1:9" x14ac:dyDescent="0.25">
      <c r="A39" s="49">
        <f>'A) Base RI'!A41</f>
        <v>5464</v>
      </c>
      <c r="B39" s="32" t="str">
        <f>'A) Base RI'!B41</f>
        <v>Vully-les-Lacs</v>
      </c>
      <c r="C39" s="95">
        <f>'A) Base RI'!AO41</f>
        <v>3360</v>
      </c>
      <c r="D39" s="110">
        <f>'D) Ecrêtage'!E39</f>
        <v>33.213487784292823</v>
      </c>
      <c r="E39" s="34">
        <f t="shared" si="3"/>
        <v>14.955865623507584</v>
      </c>
      <c r="F39" s="277">
        <f t="shared" si="4"/>
        <v>909053.4066742874</v>
      </c>
      <c r="G39" s="33">
        <f>+'A) Base RI'!AN41</f>
        <v>67</v>
      </c>
      <c r="H39" s="278">
        <f t="shared" si="5"/>
        <v>0.99558165685995592</v>
      </c>
      <c r="I39" s="55">
        <f t="shared" si="6"/>
        <v>905036.89679097431</v>
      </c>
    </row>
    <row r="40" spans="1:9" x14ac:dyDescent="0.25">
      <c r="A40" s="49">
        <f>'A) Base RI'!A42</f>
        <v>5471</v>
      </c>
      <c r="B40" s="32" t="str">
        <f>'A) Base RI'!B42</f>
        <v>Bettens</v>
      </c>
      <c r="C40" s="95">
        <f>'A) Base RI'!AO42</f>
        <v>636</v>
      </c>
      <c r="D40" s="110">
        <f>'D) Ecrêtage'!E40</f>
        <v>32.052331336727562</v>
      </c>
      <c r="E40" s="34">
        <f t="shared" si="3"/>
        <v>16.117022071072846</v>
      </c>
      <c r="F40" s="277">
        <f t="shared" si="4"/>
        <v>193733.05210312404</v>
      </c>
      <c r="G40" s="33">
        <f>+'A) Base RI'!AN42</f>
        <v>70</v>
      </c>
      <c r="H40" s="278">
        <f t="shared" si="5"/>
        <v>1.0401599400029391</v>
      </c>
      <c r="I40" s="55">
        <f t="shared" si="6"/>
        <v>201513.35985217176</v>
      </c>
    </row>
    <row r="41" spans="1:9" x14ac:dyDescent="0.25">
      <c r="A41" s="49">
        <f>'A) Base RI'!A43</f>
        <v>5472</v>
      </c>
      <c r="B41" s="32" t="str">
        <f>'A) Base RI'!B43</f>
        <v>Bournens</v>
      </c>
      <c r="C41" s="95">
        <f>'A) Base RI'!AO43</f>
        <v>490</v>
      </c>
      <c r="D41" s="110">
        <f>'D) Ecrêtage'!E41</f>
        <v>41.108492630385484</v>
      </c>
      <c r="E41" s="34">
        <f t="shared" si="3"/>
        <v>7.0608607774149235</v>
      </c>
      <c r="F41" s="277">
        <f t="shared" si="4"/>
        <v>67258.935421343587</v>
      </c>
      <c r="G41" s="33">
        <f>+'A) Base RI'!AN43</f>
        <v>72</v>
      </c>
      <c r="H41" s="278">
        <f t="shared" si="5"/>
        <v>1.0698787954315945</v>
      </c>
      <c r="I41" s="55">
        <f t="shared" si="6"/>
        <v>71958.908810598485</v>
      </c>
    </row>
    <row r="42" spans="1:9" x14ac:dyDescent="0.25">
      <c r="A42" s="49">
        <f>'A) Base RI'!A44</f>
        <v>5473</v>
      </c>
      <c r="B42" s="32" t="str">
        <f>'A) Base RI'!B44</f>
        <v>Boussens</v>
      </c>
      <c r="C42" s="95">
        <f>'A) Base RI'!AO44</f>
        <v>999</v>
      </c>
      <c r="D42" s="110">
        <f>'D) Ecrêtage'!E42</f>
        <v>37.812953546138722</v>
      </c>
      <c r="E42" s="34">
        <f t="shared" si="3"/>
        <v>10.356399861661686</v>
      </c>
      <c r="F42" s="277">
        <f t="shared" si="4"/>
        <v>188556.64209130543</v>
      </c>
      <c r="G42" s="33">
        <f>+'A) Base RI'!AN44</f>
        <v>67.5</v>
      </c>
      <c r="H42" s="278">
        <f t="shared" si="5"/>
        <v>1.0030113707171198</v>
      </c>
      <c r="I42" s="55">
        <f t="shared" si="6"/>
        <v>189124.45604181761</v>
      </c>
    </row>
    <row r="43" spans="1:9" x14ac:dyDescent="0.25">
      <c r="A43" s="49">
        <f>'A) Base RI'!A45</f>
        <v>5474</v>
      </c>
      <c r="B43" s="32" t="str">
        <f>'A) Base RI'!B45</f>
        <v>La Chaux (Cossonay)</v>
      </c>
      <c r="C43" s="95">
        <f>'A) Base RI'!AO45</f>
        <v>391</v>
      </c>
      <c r="D43" s="110">
        <f>'D) Ecrêtage'!E43</f>
        <v>33.714888951628076</v>
      </c>
      <c r="E43" s="34">
        <f t="shared" si="3"/>
        <v>14.454464456172332</v>
      </c>
      <c r="F43" s="277">
        <f t="shared" si="4"/>
        <v>117498.75157313472</v>
      </c>
      <c r="G43" s="33">
        <f>+'A) Base RI'!AN45</f>
        <v>77</v>
      </c>
      <c r="H43" s="278">
        <f t="shared" si="5"/>
        <v>1.1441759340032329</v>
      </c>
      <c r="I43" s="55">
        <f t="shared" si="6"/>
        <v>134439.24382540525</v>
      </c>
    </row>
    <row r="44" spans="1:9" x14ac:dyDescent="0.25">
      <c r="A44" s="49">
        <f>'A) Base RI'!A46</f>
        <v>5475</v>
      </c>
      <c r="B44" s="32" t="str">
        <f>'A) Base RI'!B46</f>
        <v>Chavannes-le-Veyron</v>
      </c>
      <c r="C44" s="95">
        <f>'A) Base RI'!AO46</f>
        <v>152</v>
      </c>
      <c r="D44" s="110">
        <f>'D) Ecrêtage'!E44</f>
        <v>25.491214114832534</v>
      </c>
      <c r="E44" s="34">
        <f t="shared" si="3"/>
        <v>22.678139292967874</v>
      </c>
      <c r="F44" s="277">
        <f t="shared" si="4"/>
        <v>71664.734416921914</v>
      </c>
      <c r="G44" s="33">
        <f>+'A) Base RI'!AN46</f>
        <v>77</v>
      </c>
      <c r="H44" s="278">
        <f t="shared" si="5"/>
        <v>1.1441759340032329</v>
      </c>
      <c r="I44" s="55">
        <f t="shared" si="6"/>
        <v>81997.064436575267</v>
      </c>
    </row>
    <row r="45" spans="1:9" x14ac:dyDescent="0.25">
      <c r="A45" s="49">
        <f>'A) Base RI'!A47</f>
        <v>5476</v>
      </c>
      <c r="B45" s="32" t="str">
        <f>'A) Base RI'!B47</f>
        <v>Chevilly</v>
      </c>
      <c r="C45" s="95">
        <f>'A) Base RI'!AO47</f>
        <v>317</v>
      </c>
      <c r="D45" s="110">
        <f>'D) Ecrêtage'!E45</f>
        <v>37.348254753175887</v>
      </c>
      <c r="E45" s="34">
        <f t="shared" si="3"/>
        <v>10.821098654624521</v>
      </c>
      <c r="F45" s="277">
        <f t="shared" si="4"/>
        <v>68537.159704849153</v>
      </c>
      <c r="G45" s="33">
        <f>+'A) Base RI'!AN47</f>
        <v>74</v>
      </c>
      <c r="H45" s="278">
        <f t="shared" si="5"/>
        <v>1.0995976508602499</v>
      </c>
      <c r="I45" s="55">
        <f t="shared" si="6"/>
        <v>75363.299808085911</v>
      </c>
    </row>
    <row r="46" spans="1:9" x14ac:dyDescent="0.25">
      <c r="A46" s="49">
        <f>'A) Base RI'!A48</f>
        <v>5477</v>
      </c>
      <c r="B46" s="32" t="str">
        <f>'A) Base RI'!B48</f>
        <v>Cossonay</v>
      </c>
      <c r="C46" s="95">
        <f>'A) Base RI'!AO48</f>
        <v>4222</v>
      </c>
      <c r="D46" s="110">
        <f>'D) Ecrêtage'!E46</f>
        <v>28.22217728990659</v>
      </c>
      <c r="E46" s="34">
        <f t="shared" si="3"/>
        <v>19.947176117893818</v>
      </c>
      <c r="F46" s="277">
        <f t="shared" si="4"/>
        <v>1580331.5840963158</v>
      </c>
      <c r="G46" s="33">
        <f>+'A) Base RI'!AN48</f>
        <v>69.5</v>
      </c>
      <c r="H46" s="278">
        <f t="shared" si="5"/>
        <v>1.0327302261457751</v>
      </c>
      <c r="I46" s="55">
        <f t="shared" si="6"/>
        <v>1632056.1942290992</v>
      </c>
    </row>
    <row r="47" spans="1:9" x14ac:dyDescent="0.25">
      <c r="A47" s="49">
        <f>'A) Base RI'!A49</f>
        <v>5478</v>
      </c>
      <c r="B47" s="32" t="str">
        <f>'A) Base RI'!B49</f>
        <v>Cottens</v>
      </c>
      <c r="C47" s="95">
        <f>'A) Base RI'!AO49</f>
        <v>491</v>
      </c>
      <c r="D47" s="110">
        <f>'D) Ecrêtage'!E47</f>
        <v>33.180239995596402</v>
      </c>
      <c r="E47" s="34">
        <f t="shared" si="3"/>
        <v>14.989113412204006</v>
      </c>
      <c r="F47" s="277">
        <f t="shared" si="4"/>
        <v>147045.90061413549</v>
      </c>
      <c r="G47" s="33">
        <f>+'A) Base RI'!AN49</f>
        <v>74</v>
      </c>
      <c r="H47" s="278">
        <f t="shared" si="5"/>
        <v>1.0995976508602499</v>
      </c>
      <c r="I47" s="55">
        <f t="shared" si="6"/>
        <v>161691.32688393316</v>
      </c>
    </row>
    <row r="48" spans="1:9" x14ac:dyDescent="0.25">
      <c r="A48" s="49">
        <f>'A) Base RI'!A50</f>
        <v>5479</v>
      </c>
      <c r="B48" s="32" t="str">
        <f>'A) Base RI'!B50</f>
        <v>Cuarnens</v>
      </c>
      <c r="C48" s="95">
        <f>'A) Base RI'!AO50</f>
        <v>527</v>
      </c>
      <c r="D48" s="110">
        <f>'D) Ecrêtage'!E48</f>
        <v>34.286486359939865</v>
      </c>
      <c r="E48" s="34">
        <f t="shared" si="3"/>
        <v>13.882867047860543</v>
      </c>
      <c r="F48" s="277">
        <f t="shared" si="4"/>
        <v>152105.27272248591</v>
      </c>
      <c r="G48" s="33">
        <f>+'A) Base RI'!AN50</f>
        <v>77</v>
      </c>
      <c r="H48" s="278">
        <f t="shared" si="5"/>
        <v>1.1441759340032329</v>
      </c>
      <c r="I48" s="55">
        <f t="shared" si="6"/>
        <v>174035.19248406679</v>
      </c>
    </row>
    <row r="49" spans="1:12" x14ac:dyDescent="0.25">
      <c r="A49" s="49">
        <f>'A) Base RI'!A51</f>
        <v>5480</v>
      </c>
      <c r="B49" s="32" t="str">
        <f>'A) Base RI'!B51</f>
        <v>Daillens</v>
      </c>
      <c r="C49" s="95">
        <f>'A) Base RI'!AO51</f>
        <v>1048</v>
      </c>
      <c r="D49" s="110">
        <f>'D) Ecrêtage'!E49</f>
        <v>39.100611699051584</v>
      </c>
      <c r="E49" s="34">
        <f t="shared" si="3"/>
        <v>9.0687417087488242</v>
      </c>
      <c r="F49" s="277">
        <f t="shared" si="4"/>
        <v>169362.01615789943</v>
      </c>
      <c r="G49" s="33">
        <f>+'A) Base RI'!AN51</f>
        <v>66</v>
      </c>
      <c r="H49" s="278">
        <f t="shared" si="5"/>
        <v>0.98072222914562823</v>
      </c>
      <c r="I49" s="55">
        <f t="shared" si="6"/>
        <v>166097.09401897303</v>
      </c>
    </row>
    <row r="50" spans="1:12" x14ac:dyDescent="0.25">
      <c r="A50" s="49">
        <f>'A) Base RI'!A52</f>
        <v>5481</v>
      </c>
      <c r="B50" s="32" t="str">
        <f>'A) Base RI'!B52</f>
        <v>Dizy</v>
      </c>
      <c r="C50" s="95">
        <f>'A) Base RI'!AO52</f>
        <v>224</v>
      </c>
      <c r="D50" s="110">
        <f>'D) Ecrêtage'!E50</f>
        <v>36.268603571428578</v>
      </c>
      <c r="E50" s="34">
        <f t="shared" si="3"/>
        <v>11.90074983637183</v>
      </c>
      <c r="F50" s="277">
        <f t="shared" si="4"/>
        <v>53981.801257782623</v>
      </c>
      <c r="G50" s="33">
        <f>+'A) Base RI'!AN52</f>
        <v>75</v>
      </c>
      <c r="H50" s="278">
        <f t="shared" si="5"/>
        <v>1.1144570785745775</v>
      </c>
      <c r="I50" s="55">
        <f t="shared" si="6"/>
        <v>60160.400525941877</v>
      </c>
    </row>
    <row r="51" spans="1:12" x14ac:dyDescent="0.25">
      <c r="A51" s="49">
        <f>'A) Base RI'!A53</f>
        <v>5482</v>
      </c>
      <c r="B51" s="32" t="str">
        <f>'A) Base RI'!B53</f>
        <v>Eclépens</v>
      </c>
      <c r="C51" s="95">
        <f>'A) Base RI'!AO53</f>
        <v>1220</v>
      </c>
      <c r="D51" s="110">
        <f>'D) Ecrêtage'!E51</f>
        <v>58.124532965074835</v>
      </c>
      <c r="E51" s="34">
        <f t="shared" si="3"/>
        <v>0</v>
      </c>
      <c r="F51" s="277">
        <f t="shared" si="4"/>
        <v>0</v>
      </c>
      <c r="G51" s="33">
        <f>+'A) Base RI'!AN53</f>
        <v>46</v>
      </c>
      <c r="H51" s="278">
        <f t="shared" si="5"/>
        <v>0.68353367485907424</v>
      </c>
      <c r="I51" s="55">
        <f t="shared" si="6"/>
        <v>0</v>
      </c>
    </row>
    <row r="52" spans="1:12" x14ac:dyDescent="0.25">
      <c r="A52" s="49">
        <f>'A) Base RI'!A54</f>
        <v>5483</v>
      </c>
      <c r="B52" s="32" t="str">
        <f>'A) Base RI'!B54</f>
        <v>Ferreyres</v>
      </c>
      <c r="C52" s="95">
        <f>'A) Base RI'!AO54</f>
        <v>319</v>
      </c>
      <c r="D52" s="110">
        <f>'D) Ecrêtage'!E52</f>
        <v>33.919482758620688</v>
      </c>
      <c r="E52" s="34">
        <f t="shared" si="3"/>
        <v>14.249870649179719</v>
      </c>
      <c r="F52" s="277">
        <f t="shared" si="4"/>
        <v>93277.943285052534</v>
      </c>
      <c r="G52" s="33">
        <f>+'A) Base RI'!AN54</f>
        <v>76</v>
      </c>
      <c r="H52" s="278">
        <f t="shared" si="5"/>
        <v>1.1293165062889052</v>
      </c>
      <c r="I52" s="55">
        <f t="shared" si="6"/>
        <v>105340.32102449017</v>
      </c>
    </row>
    <row r="53" spans="1:12" x14ac:dyDescent="0.25">
      <c r="A53" s="49">
        <f>'A) Base RI'!A55</f>
        <v>5484</v>
      </c>
      <c r="B53" s="32" t="str">
        <f>'A) Base RI'!B55</f>
        <v>Gollion</v>
      </c>
      <c r="C53" s="95">
        <f>'A) Base RI'!AO55</f>
        <v>996</v>
      </c>
      <c r="D53" s="110">
        <f>'D) Ecrêtage'!E53</f>
        <v>35.137535683273633</v>
      </c>
      <c r="E53" s="34">
        <f t="shared" si="3"/>
        <v>13.031817724526775</v>
      </c>
      <c r="F53" s="277">
        <f t="shared" si="4"/>
        <v>259334.21526350081</v>
      </c>
      <c r="G53" s="33">
        <f>+'A) Base RI'!AN55</f>
        <v>74</v>
      </c>
      <c r="H53" s="278">
        <f t="shared" si="5"/>
        <v>1.0995976508602499</v>
      </c>
      <c r="I53" s="55">
        <f t="shared" si="6"/>
        <v>285163.29389143182</v>
      </c>
    </row>
    <row r="54" spans="1:12" x14ac:dyDescent="0.25">
      <c r="A54" s="49">
        <f>'A) Base RI'!A56</f>
        <v>5485</v>
      </c>
      <c r="B54" s="32" t="str">
        <f>'A) Base RI'!B56</f>
        <v>Grancy</v>
      </c>
      <c r="C54" s="95">
        <f>'A) Base RI'!AO56</f>
        <v>406</v>
      </c>
      <c r="D54" s="110">
        <f>'D) Ecrêtage'!E54</f>
        <v>35.818602744546098</v>
      </c>
      <c r="E54" s="34">
        <f t="shared" si="3"/>
        <v>12.35075066325431</v>
      </c>
      <c r="F54" s="277">
        <f t="shared" si="4"/>
        <v>94772.250139415628</v>
      </c>
      <c r="G54" s="33">
        <f>+'A) Base RI'!AN56</f>
        <v>70</v>
      </c>
      <c r="H54" s="278">
        <f t="shared" si="5"/>
        <v>1.0401599400029391</v>
      </c>
      <c r="I54" s="55">
        <f t="shared" si="6"/>
        <v>98578.298018958099</v>
      </c>
    </row>
    <row r="55" spans="1:12" x14ac:dyDescent="0.25">
      <c r="A55" s="49">
        <f>'A) Base RI'!A57</f>
        <v>5486</v>
      </c>
      <c r="B55" s="32" t="str">
        <f>'A) Base RI'!B57</f>
        <v>L'Isle</v>
      </c>
      <c r="C55" s="95">
        <f>'A) Base RI'!AO57</f>
        <v>1065</v>
      </c>
      <c r="D55" s="110">
        <f>'D) Ecrêtage'!E55</f>
        <v>35.173296150234734</v>
      </c>
      <c r="E55" s="34">
        <f t="shared" si="3"/>
        <v>12.996057257565674</v>
      </c>
      <c r="F55" s="277">
        <f t="shared" si="4"/>
        <v>280276.21983097575</v>
      </c>
      <c r="G55" s="33">
        <f>+'A) Base RI'!AN57</f>
        <v>75</v>
      </c>
      <c r="H55" s="278">
        <f t="shared" si="5"/>
        <v>1.1144570785745775</v>
      </c>
      <c r="I55" s="55">
        <f t="shared" si="6"/>
        <v>312355.81714675529</v>
      </c>
    </row>
    <row r="56" spans="1:12" x14ac:dyDescent="0.25">
      <c r="A56" s="49">
        <f>'A) Base RI'!A58</f>
        <v>5487</v>
      </c>
      <c r="B56" s="32" t="str">
        <f>'A) Base RI'!B58</f>
        <v>Lussery-Villars</v>
      </c>
      <c r="C56" s="95">
        <f>'A) Base RI'!AO58</f>
        <v>459</v>
      </c>
      <c r="D56" s="110">
        <f>'D) Ecrêtage'!E56</f>
        <v>28.082495570079885</v>
      </c>
      <c r="E56" s="34">
        <f t="shared" si="3"/>
        <v>20.086857837720522</v>
      </c>
      <c r="F56" s="277">
        <f t="shared" si="4"/>
        <v>186702.32188715282</v>
      </c>
      <c r="G56" s="33">
        <f>+'A) Base RI'!AN58</f>
        <v>75</v>
      </c>
      <c r="H56" s="278">
        <f t="shared" si="5"/>
        <v>1.1144570785745775</v>
      </c>
      <c r="I56" s="55">
        <f t="shared" si="6"/>
        <v>208071.72421344675</v>
      </c>
    </row>
    <row r="57" spans="1:12" x14ac:dyDescent="0.25">
      <c r="A57" s="49">
        <f>'A) Base RI'!A59</f>
        <v>5488</v>
      </c>
      <c r="B57" s="32" t="str">
        <f>'A) Base RI'!B59</f>
        <v>Mauraz</v>
      </c>
      <c r="C57" s="95">
        <f>'A) Base RI'!AO59</f>
        <v>58</v>
      </c>
      <c r="D57" s="110">
        <f>'D) Ecrêtage'!E57</f>
        <v>28.140743394536504</v>
      </c>
      <c r="E57" s="34">
        <f t="shared" si="3"/>
        <v>20.028610013263904</v>
      </c>
      <c r="F57" s="277">
        <f t="shared" si="4"/>
        <v>24150.898526193883</v>
      </c>
      <c r="G57" s="33">
        <f>+'A) Base RI'!AN59</f>
        <v>77</v>
      </c>
      <c r="H57" s="278">
        <f t="shared" si="5"/>
        <v>1.1441759340032329</v>
      </c>
      <c r="I57" s="55">
        <f t="shared" si="6"/>
        <v>27632.876878225186</v>
      </c>
    </row>
    <row r="58" spans="1:12" x14ac:dyDescent="0.25">
      <c r="A58" s="49">
        <f>'A) Base RI'!A60</f>
        <v>5489</v>
      </c>
      <c r="B58" s="32" t="str">
        <f>'A) Base RI'!B60</f>
        <v>Mex</v>
      </c>
      <c r="C58" s="95">
        <f>'A) Base RI'!AO60</f>
        <v>791</v>
      </c>
      <c r="D58" s="110">
        <f>'D) Ecrêtage'!E58</f>
        <v>73.983827513306181</v>
      </c>
      <c r="E58" s="34">
        <f t="shared" si="3"/>
        <v>0</v>
      </c>
      <c r="F58" s="277">
        <f t="shared" si="4"/>
        <v>0</v>
      </c>
      <c r="G58" s="33">
        <f>+'A) Base RI'!AN60</f>
        <v>59.5</v>
      </c>
      <c r="H58" s="278">
        <f t="shared" si="5"/>
        <v>0.88413594900249814</v>
      </c>
      <c r="I58" s="55">
        <f t="shared" si="6"/>
        <v>0</v>
      </c>
    </row>
    <row r="59" spans="1:12" x14ac:dyDescent="0.25">
      <c r="A59" s="49">
        <f>'A) Base RI'!A61</f>
        <v>5490</v>
      </c>
      <c r="B59" s="32" t="str">
        <f>'A) Base RI'!B61</f>
        <v>Moiry</v>
      </c>
      <c r="C59" s="95">
        <f>'A) Base RI'!AO61</f>
        <v>311</v>
      </c>
      <c r="D59" s="110">
        <f>'D) Ecrêtage'!E59</f>
        <v>27.832505756664247</v>
      </c>
      <c r="E59" s="34">
        <f t="shared" si="3"/>
        <v>20.336847651136161</v>
      </c>
      <c r="F59" s="277">
        <f t="shared" si="4"/>
        <v>132345.59503810751</v>
      </c>
      <c r="G59" s="33">
        <f>+'A) Base RI'!AN61</f>
        <v>77.5</v>
      </c>
      <c r="H59" s="278">
        <f t="shared" si="5"/>
        <v>1.1516056478603969</v>
      </c>
      <c r="I59" s="55">
        <f t="shared" si="6"/>
        <v>152409.93471532952</v>
      </c>
    </row>
    <row r="60" spans="1:12" x14ac:dyDescent="0.25">
      <c r="A60" s="49">
        <f>'A) Base RI'!A62</f>
        <v>5491</v>
      </c>
      <c r="B60" s="32" t="str">
        <f>'A) Base RI'!B62</f>
        <v>Mont-la-Ville</v>
      </c>
      <c r="C60" s="95">
        <f>'A) Base RI'!AO62</f>
        <v>490</v>
      </c>
      <c r="D60" s="110">
        <f>'D) Ecrêtage'!E60</f>
        <v>29.231193340494091</v>
      </c>
      <c r="E60" s="34">
        <f t="shared" si="3"/>
        <v>18.938160067306317</v>
      </c>
      <c r="F60" s="277">
        <f t="shared" si="4"/>
        <v>190419.41184475156</v>
      </c>
      <c r="G60" s="33">
        <f>+'A) Base RI'!AN62</f>
        <v>76</v>
      </c>
      <c r="H60" s="278">
        <f t="shared" si="5"/>
        <v>1.1293165062889052</v>
      </c>
      <c r="I60" s="55">
        <f t="shared" si="6"/>
        <v>215043.78491410302</v>
      </c>
    </row>
    <row r="61" spans="1:12" x14ac:dyDescent="0.25">
      <c r="A61" s="49">
        <f>'A) Base RI'!A63</f>
        <v>5492</v>
      </c>
      <c r="B61" s="32" t="str">
        <f>'A) Base RI'!B63</f>
        <v>Montricher</v>
      </c>
      <c r="C61" s="95">
        <f>'A) Base RI'!AO63</f>
        <v>964</v>
      </c>
      <c r="D61" s="110">
        <f>'D) Ecrêtage'!E61</f>
        <v>163.02382461315702</v>
      </c>
      <c r="E61" s="34">
        <f t="shared" si="3"/>
        <v>0</v>
      </c>
      <c r="F61" s="277">
        <f t="shared" si="4"/>
        <v>0</v>
      </c>
      <c r="G61" s="33">
        <f>+'A) Base RI'!AN63</f>
        <v>64</v>
      </c>
      <c r="H61" s="278">
        <f t="shared" si="5"/>
        <v>0.95100337371697286</v>
      </c>
      <c r="I61" s="55">
        <f t="shared" si="6"/>
        <v>0</v>
      </c>
    </row>
    <row r="62" spans="1:12" x14ac:dyDescent="0.25">
      <c r="A62" s="49">
        <f>'A) Base RI'!A64</f>
        <v>5493</v>
      </c>
      <c r="B62" s="32" t="str">
        <f>'A) Base RI'!B64</f>
        <v>Orny</v>
      </c>
      <c r="C62" s="95">
        <f>'A) Base RI'!AO64</f>
        <v>462</v>
      </c>
      <c r="D62" s="110">
        <f>'D) Ecrêtage'!E62</f>
        <v>27.889648753073406</v>
      </c>
      <c r="E62" s="34">
        <f t="shared" si="3"/>
        <v>20.279704654727002</v>
      </c>
      <c r="F62" s="277">
        <f t="shared" si="4"/>
        <v>184667.39618003718</v>
      </c>
      <c r="G62" s="33">
        <f>+'A) Base RI'!AN64</f>
        <v>73</v>
      </c>
      <c r="H62" s="278">
        <f t="shared" si="5"/>
        <v>1.0847382231459222</v>
      </c>
      <c r="I62" s="55">
        <f t="shared" si="6"/>
        <v>200315.7832053176</v>
      </c>
    </row>
    <row r="63" spans="1:12" x14ac:dyDescent="0.25">
      <c r="A63" s="49">
        <f>'A) Base RI'!A65</f>
        <v>5494</v>
      </c>
      <c r="B63" s="32" t="str">
        <f>'A) Base RI'!B65</f>
        <v>Pampigny</v>
      </c>
      <c r="C63" s="95">
        <f>'A) Base RI'!AO65</f>
        <v>1128</v>
      </c>
      <c r="D63" s="110">
        <f>'D) Ecrêtage'!E63</f>
        <v>32.453788497036825</v>
      </c>
      <c r="E63" s="34">
        <f t="shared" si="3"/>
        <v>15.715564910763582</v>
      </c>
      <c r="F63" s="277">
        <f t="shared" si="4"/>
        <v>349402.26879321743</v>
      </c>
      <c r="G63" s="33">
        <f>+'A) Base RI'!AN65</f>
        <v>73</v>
      </c>
      <c r="H63" s="278">
        <f t="shared" si="5"/>
        <v>1.0847382231459222</v>
      </c>
      <c r="I63" s="55">
        <f t="shared" si="6"/>
        <v>379009.99621390854</v>
      </c>
    </row>
    <row r="64" spans="1:12" x14ac:dyDescent="0.25">
      <c r="A64" s="49">
        <f>'A) Base RI'!A66</f>
        <v>5495</v>
      </c>
      <c r="B64" s="32" t="str">
        <f>'A) Base RI'!B66</f>
        <v>Penthalaz</v>
      </c>
      <c r="C64" s="95">
        <f>'A) Base RI'!AO66</f>
        <v>3207</v>
      </c>
      <c r="D64" s="110">
        <f>'D) Ecrêtage'!E64</f>
        <v>29.111778204771653</v>
      </c>
      <c r="E64" s="34">
        <f t="shared" si="3"/>
        <v>19.057575203028755</v>
      </c>
      <c r="F64" s="277">
        <f t="shared" si="4"/>
        <v>1221130.5206487421</v>
      </c>
      <c r="G64" s="33">
        <f>+'A) Base RI'!AN66</f>
        <v>74</v>
      </c>
      <c r="H64" s="278">
        <f t="shared" si="5"/>
        <v>1.0995976508602499</v>
      </c>
      <c r="I64" s="55">
        <f t="shared" si="6"/>
        <v>1342752.2518991106</v>
      </c>
      <c r="L64" s="28"/>
    </row>
    <row r="65" spans="1:9" x14ac:dyDescent="0.25">
      <c r="A65" s="49">
        <f>'A) Base RI'!A67</f>
        <v>5496</v>
      </c>
      <c r="B65" s="32" t="str">
        <f>'A) Base RI'!B67</f>
        <v>Penthaz</v>
      </c>
      <c r="C65" s="95">
        <f>'A) Base RI'!AO67</f>
        <v>1855</v>
      </c>
      <c r="D65" s="110">
        <f>'D) Ecrêtage'!E65</f>
        <v>32.415697647811669</v>
      </c>
      <c r="E65" s="34">
        <f t="shared" si="3"/>
        <v>15.753655759988739</v>
      </c>
      <c r="F65" s="277">
        <f t="shared" si="4"/>
        <v>548370.18487363006</v>
      </c>
      <c r="G65" s="33">
        <f>+'A) Base RI'!AN67</f>
        <v>69.5</v>
      </c>
      <c r="H65" s="278">
        <f t="shared" si="5"/>
        <v>1.0327302261457751</v>
      </c>
      <c r="I65" s="55">
        <f t="shared" si="6"/>
        <v>566318.46503614448</v>
      </c>
    </row>
    <row r="66" spans="1:9" x14ac:dyDescent="0.25">
      <c r="A66" s="49">
        <f>'A) Base RI'!A68</f>
        <v>5497</v>
      </c>
      <c r="B66" s="32" t="str">
        <f>'A) Base RI'!B68</f>
        <v>Pompaples</v>
      </c>
      <c r="C66" s="95">
        <f>'A) Base RI'!AO68</f>
        <v>847</v>
      </c>
      <c r="D66" s="110">
        <f>'D) Ecrêtage'!E66</f>
        <v>24.08144753318307</v>
      </c>
      <c r="E66" s="34">
        <f t="shared" si="3"/>
        <v>24.087905874617338</v>
      </c>
      <c r="F66" s="277">
        <f t="shared" si="4"/>
        <v>363571.7708347718</v>
      </c>
      <c r="G66" s="33">
        <f>+'A) Base RI'!AN68</f>
        <v>66</v>
      </c>
      <c r="H66" s="278">
        <f t="shared" si="5"/>
        <v>0.98072222914562823</v>
      </c>
      <c r="I66" s="55">
        <f t="shared" si="6"/>
        <v>356562.91754750093</v>
      </c>
    </row>
    <row r="67" spans="1:9" x14ac:dyDescent="0.25">
      <c r="A67" s="49">
        <f>'A) Base RI'!A69</f>
        <v>5498</v>
      </c>
      <c r="B67" s="32" t="str">
        <f>'A) Base RI'!B69</f>
        <v>La Sarraz</v>
      </c>
      <c r="C67" s="95">
        <f>'A) Base RI'!AO69</f>
        <v>2598</v>
      </c>
      <c r="D67" s="110">
        <f>'D) Ecrêtage'!E67</f>
        <v>29.833811381715542</v>
      </c>
      <c r="E67" s="34">
        <f t="shared" si="3"/>
        <v>18.335542026084866</v>
      </c>
      <c r="F67" s="277">
        <f t="shared" si="4"/>
        <v>848868.85443475435</v>
      </c>
      <c r="G67" s="33">
        <f>+'A) Base RI'!AN69</f>
        <v>66</v>
      </c>
      <c r="H67" s="278">
        <f t="shared" si="5"/>
        <v>0.98072222914562823</v>
      </c>
      <c r="I67" s="55">
        <f t="shared" si="6"/>
        <v>832504.55517354805</v>
      </c>
    </row>
    <row r="68" spans="1:9" x14ac:dyDescent="0.25">
      <c r="A68" s="49">
        <f>'A) Base RI'!A70</f>
        <v>5499</v>
      </c>
      <c r="B68" s="32" t="str">
        <f>'A) Base RI'!B70</f>
        <v>Senarclens</v>
      </c>
      <c r="C68" s="95">
        <f>'A) Base RI'!AO70</f>
        <v>496</v>
      </c>
      <c r="D68" s="110">
        <f>'D) Ecrêtage'!E68</f>
        <v>39.62590210736991</v>
      </c>
      <c r="E68" s="34">
        <f t="shared" si="3"/>
        <v>8.5434513004304975</v>
      </c>
      <c r="F68" s="277">
        <f t="shared" si="4"/>
        <v>78373.521373525189</v>
      </c>
      <c r="G68" s="33">
        <f>+'A) Base RI'!AN70</f>
        <v>68.5</v>
      </c>
      <c r="H68" s="278">
        <f t="shared" si="5"/>
        <v>1.0178707984314475</v>
      </c>
      <c r="I68" s="55">
        <f t="shared" si="6"/>
        <v>79774.118776354197</v>
      </c>
    </row>
    <row r="69" spans="1:9" x14ac:dyDescent="0.25">
      <c r="A69" s="49">
        <f>'A) Base RI'!A71</f>
        <v>5500</v>
      </c>
      <c r="B69" s="32" t="str">
        <f>'A) Base RI'!B71</f>
        <v>Sévery</v>
      </c>
      <c r="C69" s="95">
        <f>'A) Base RI'!AO71</f>
        <v>214</v>
      </c>
      <c r="D69" s="110">
        <f>'D) Ecrêtage'!E69</f>
        <v>35.122150172833187</v>
      </c>
      <c r="E69" s="34">
        <f t="shared" si="3"/>
        <v>13.04720323496722</v>
      </c>
      <c r="F69" s="277">
        <f t="shared" si="4"/>
        <v>55032.320412897643</v>
      </c>
      <c r="G69" s="33">
        <f>+'A) Base RI'!AN71</f>
        <v>73</v>
      </c>
      <c r="H69" s="278">
        <f t="shared" si="5"/>
        <v>1.0847382231459222</v>
      </c>
      <c r="I69" s="55">
        <f t="shared" si="6"/>
        <v>59695.661460283649</v>
      </c>
    </row>
    <row r="70" spans="1:9" x14ac:dyDescent="0.25">
      <c r="A70" s="49">
        <f>'A) Base RI'!A72</f>
        <v>5501</v>
      </c>
      <c r="B70" s="32" t="str">
        <f>'A) Base RI'!B72</f>
        <v>Sullens</v>
      </c>
      <c r="C70" s="95">
        <f>'A) Base RI'!AO72</f>
        <v>1041</v>
      </c>
      <c r="D70" s="110">
        <f>'D) Ecrêtage'!E70</f>
        <v>40.270068645392911</v>
      </c>
      <c r="E70" s="34">
        <f t="shared" ref="E70:E133" si="7">IF($D$314-D70&lt;0,0,$D$314-D70)</f>
        <v>7.8992847624074969</v>
      </c>
      <c r="F70" s="277">
        <f t="shared" ref="F70:F133" si="8">(C70*E70*G70)*$E$4</f>
        <v>152087.25981963644</v>
      </c>
      <c r="G70" s="33">
        <f>+'A) Base RI'!AN72</f>
        <v>68.5</v>
      </c>
      <c r="H70" s="278">
        <f t="shared" ref="H70:H133" si="9">G70/$G$314</f>
        <v>1.0178707984314475</v>
      </c>
      <c r="I70" s="55">
        <f t="shared" ref="I70:I133" si="10">F70*H70</f>
        <v>154805.18058386433</v>
      </c>
    </row>
    <row r="71" spans="1:9" x14ac:dyDescent="0.25">
      <c r="A71" s="49">
        <f>'A) Base RI'!A73</f>
        <v>5503</v>
      </c>
      <c r="B71" s="32" t="str">
        <f>'A) Base RI'!B73</f>
        <v>Vufflens-la-Ville</v>
      </c>
      <c r="C71" s="95">
        <f>'A) Base RI'!AO73</f>
        <v>1349</v>
      </c>
      <c r="D71" s="110">
        <f>'D) Ecrêtage'!E71</f>
        <v>49.427637018760898</v>
      </c>
      <c r="E71" s="34">
        <f t="shared" si="7"/>
        <v>0</v>
      </c>
      <c r="F71" s="277">
        <f t="shared" si="8"/>
        <v>0</v>
      </c>
      <c r="G71" s="33">
        <f>+'A) Base RI'!AN73</f>
        <v>67</v>
      </c>
      <c r="H71" s="278">
        <f t="shared" si="9"/>
        <v>0.99558165685995592</v>
      </c>
      <c r="I71" s="55">
        <f t="shared" si="10"/>
        <v>0</v>
      </c>
    </row>
    <row r="72" spans="1:9" x14ac:dyDescent="0.25">
      <c r="A72" s="49">
        <f>'A) Base RI'!A74</f>
        <v>5511</v>
      </c>
      <c r="B72" s="32" t="str">
        <f>'A) Base RI'!B74</f>
        <v>Assens</v>
      </c>
      <c r="C72" s="95">
        <f>'A) Base RI'!AO74</f>
        <v>1141</v>
      </c>
      <c r="D72" s="110">
        <f>'D) Ecrêtage'!E72</f>
        <v>38.978740202829592</v>
      </c>
      <c r="E72" s="34">
        <f t="shared" si="7"/>
        <v>9.1906132049708162</v>
      </c>
      <c r="F72" s="277">
        <f t="shared" si="8"/>
        <v>198194.65470387516</v>
      </c>
      <c r="G72" s="33">
        <f>+'A) Base RI'!AN74</f>
        <v>70</v>
      </c>
      <c r="H72" s="278">
        <f t="shared" si="9"/>
        <v>1.0401599400029391</v>
      </c>
      <c r="I72" s="55">
        <f t="shared" si="10"/>
        <v>206154.14014568602</v>
      </c>
    </row>
    <row r="73" spans="1:9" x14ac:dyDescent="0.25">
      <c r="A73" s="49">
        <f>'A) Base RI'!A75</f>
        <v>5512</v>
      </c>
      <c r="B73" s="32" t="str">
        <f>'A) Base RI'!B75</f>
        <v>Bercher</v>
      </c>
      <c r="C73" s="95">
        <f>'A) Base RI'!AO75</f>
        <v>1323</v>
      </c>
      <c r="D73" s="110">
        <f>'D) Ecrêtage'!E73</f>
        <v>30.471264387611583</v>
      </c>
      <c r="E73" s="34">
        <f t="shared" si="7"/>
        <v>17.698089020188824</v>
      </c>
      <c r="F73" s="277">
        <f t="shared" si="8"/>
        <v>499432.81593323033</v>
      </c>
      <c r="G73" s="33">
        <f>+'A) Base RI'!AN75</f>
        <v>79</v>
      </c>
      <c r="H73" s="278">
        <f t="shared" si="9"/>
        <v>1.1738947894318883</v>
      </c>
      <c r="I73" s="55">
        <f t="shared" si="10"/>
        <v>586281.58029531443</v>
      </c>
    </row>
    <row r="74" spans="1:9" x14ac:dyDescent="0.25">
      <c r="A74" s="49">
        <f>'A) Base RI'!A76</f>
        <v>5513</v>
      </c>
      <c r="B74" s="32" t="str">
        <f>'A) Base RI'!B76</f>
        <v>Bioley-Orjulaz</v>
      </c>
      <c r="C74" s="95">
        <f>'A) Base RI'!AO76</f>
        <v>525</v>
      </c>
      <c r="D74" s="110">
        <f>'D) Ecrêtage'!E74</f>
        <v>43.133261624649862</v>
      </c>
      <c r="E74" s="34">
        <f t="shared" si="7"/>
        <v>5.0360917831505461</v>
      </c>
      <c r="F74" s="277">
        <f t="shared" si="8"/>
        <v>48542.888697788112</v>
      </c>
      <c r="G74" s="33">
        <f>+'A) Base RI'!AN76</f>
        <v>68</v>
      </c>
      <c r="H74" s="278">
        <f t="shared" si="9"/>
        <v>1.0104410845742837</v>
      </c>
      <c r="I74" s="55">
        <f t="shared" si="10"/>
        <v>49049.729104161757</v>
      </c>
    </row>
    <row r="75" spans="1:9" x14ac:dyDescent="0.25">
      <c r="A75" s="49">
        <f>'A) Base RI'!A77</f>
        <v>5514</v>
      </c>
      <c r="B75" s="32" t="str">
        <f>'A) Base RI'!B77</f>
        <v>Bottens</v>
      </c>
      <c r="C75" s="95">
        <f>'A) Base RI'!AO77</f>
        <v>1330</v>
      </c>
      <c r="D75" s="110">
        <f>'D) Ecrêtage'!E75</f>
        <v>33.225841223749029</v>
      </c>
      <c r="E75" s="34">
        <f t="shared" si="7"/>
        <v>14.943512184051379</v>
      </c>
      <c r="F75" s="277">
        <f t="shared" si="8"/>
        <v>389050.60383373167</v>
      </c>
      <c r="G75" s="33">
        <f>+'A) Base RI'!AN77</f>
        <v>72.5</v>
      </c>
      <c r="H75" s="278">
        <f t="shared" si="9"/>
        <v>1.0773085092887582</v>
      </c>
      <c r="I75" s="55">
        <f t="shared" si="10"/>
        <v>419127.52605400869</v>
      </c>
    </row>
    <row r="76" spans="1:9" x14ac:dyDescent="0.25">
      <c r="A76" s="49">
        <f>'A) Base RI'!A78</f>
        <v>5515</v>
      </c>
      <c r="B76" s="32" t="str">
        <f>'A) Base RI'!B78</f>
        <v>Bretigny-sur-Morrens</v>
      </c>
      <c r="C76" s="95">
        <f>'A) Base RI'!AO78</f>
        <v>859</v>
      </c>
      <c r="D76" s="110">
        <f>'D) Ecrêtage'!E76</f>
        <v>34.442937236809968</v>
      </c>
      <c r="E76" s="34">
        <f t="shared" si="7"/>
        <v>13.72641617099044</v>
      </c>
      <c r="F76" s="277">
        <f t="shared" si="8"/>
        <v>257868.98390556284</v>
      </c>
      <c r="G76" s="33">
        <f>+'A) Base RI'!AN78</f>
        <v>81</v>
      </c>
      <c r="H76" s="278">
        <f t="shared" si="9"/>
        <v>1.2036136448605437</v>
      </c>
      <c r="I76" s="55">
        <f t="shared" si="10"/>
        <v>310374.62761505938</v>
      </c>
    </row>
    <row r="77" spans="1:9" x14ac:dyDescent="0.25">
      <c r="A77" s="49">
        <f>'A) Base RI'!A79</f>
        <v>5516</v>
      </c>
      <c r="B77" s="32" t="str">
        <f>'A) Base RI'!B79</f>
        <v>Cugy</v>
      </c>
      <c r="C77" s="95">
        <f>'A) Base RI'!AO79</f>
        <v>2760</v>
      </c>
      <c r="D77" s="110">
        <f>'D) Ecrêtage'!E77</f>
        <v>38.790675066579958</v>
      </c>
      <c r="E77" s="34">
        <f t="shared" si="7"/>
        <v>9.37867834122045</v>
      </c>
      <c r="F77" s="277">
        <f t="shared" si="8"/>
        <v>545141.30579044344</v>
      </c>
      <c r="G77" s="33">
        <f>+'A) Base RI'!AN79</f>
        <v>78</v>
      </c>
      <c r="H77" s="278">
        <f t="shared" si="9"/>
        <v>1.1590353617175606</v>
      </c>
      <c r="I77" s="55">
        <f t="shared" si="10"/>
        <v>631838.05054400989</v>
      </c>
    </row>
    <row r="78" spans="1:9" x14ac:dyDescent="0.25">
      <c r="A78" s="49">
        <f>'A) Base RI'!A80</f>
        <v>5518</v>
      </c>
      <c r="B78" s="32" t="str">
        <f>'A) Base RI'!B80</f>
        <v>Echallens</v>
      </c>
      <c r="C78" s="95">
        <f>'A) Base RI'!AO80</f>
        <v>5731</v>
      </c>
      <c r="D78" s="110">
        <f>'D) Ecrêtage'!E78</f>
        <v>31.191078887357929</v>
      </c>
      <c r="E78" s="34">
        <f t="shared" si="7"/>
        <v>16.978274520442479</v>
      </c>
      <c r="F78" s="277">
        <f t="shared" si="8"/>
        <v>1904696.2667405386</v>
      </c>
      <c r="G78" s="33">
        <f>+'A) Base RI'!AN80</f>
        <v>72.5</v>
      </c>
      <c r="H78" s="278">
        <f t="shared" si="9"/>
        <v>1.0773085092887582</v>
      </c>
      <c r="I78" s="55">
        <f t="shared" si="10"/>
        <v>2051945.4957701126</v>
      </c>
    </row>
    <row r="79" spans="1:9" x14ac:dyDescent="0.25">
      <c r="A79" s="49">
        <f>'A) Base RI'!A81</f>
        <v>5520</v>
      </c>
      <c r="B79" s="32" t="str">
        <f>'A) Base RI'!B81</f>
        <v>Essertines-sur-Yverdon</v>
      </c>
      <c r="C79" s="95">
        <f>'A) Base RI'!AO81</f>
        <v>1036</v>
      </c>
      <c r="D79" s="110">
        <f>'D) Ecrêtage'!E79</f>
        <v>28.700585629660974</v>
      </c>
      <c r="E79" s="34">
        <f t="shared" si="7"/>
        <v>19.468767778139433</v>
      </c>
      <c r="F79" s="277">
        <f t="shared" si="8"/>
        <v>397543.6717717849</v>
      </c>
      <c r="G79" s="33">
        <f>+'A) Base RI'!AN81</f>
        <v>73</v>
      </c>
      <c r="H79" s="278">
        <f t="shared" si="9"/>
        <v>1.0847382231459222</v>
      </c>
      <c r="I79" s="55">
        <f t="shared" si="10"/>
        <v>431230.81614063162</v>
      </c>
    </row>
    <row r="80" spans="1:9" x14ac:dyDescent="0.25">
      <c r="A80" s="49">
        <f>'A) Base RI'!A82</f>
        <v>5521</v>
      </c>
      <c r="B80" s="32" t="str">
        <f>'A) Base RI'!B82</f>
        <v>Etagnières</v>
      </c>
      <c r="C80" s="95">
        <f>'A) Base RI'!AO82</f>
        <v>1148</v>
      </c>
      <c r="D80" s="110">
        <f>'D) Ecrêtage'!E80</f>
        <v>40.764211374158755</v>
      </c>
      <c r="E80" s="34">
        <f t="shared" si="7"/>
        <v>7.4051420336416527</v>
      </c>
      <c r="F80" s="277">
        <f t="shared" si="8"/>
        <v>167556.74120657236</v>
      </c>
      <c r="G80" s="33">
        <f>+'A) Base RI'!AN82</f>
        <v>73</v>
      </c>
      <c r="H80" s="278">
        <f t="shared" si="9"/>
        <v>1.0847382231459222</v>
      </c>
      <c r="I80" s="55">
        <f t="shared" si="10"/>
        <v>181755.20173253844</v>
      </c>
    </row>
    <row r="81" spans="1:9" x14ac:dyDescent="0.25">
      <c r="A81" s="49">
        <f>'A) Base RI'!A83</f>
        <v>5522</v>
      </c>
      <c r="B81" s="32" t="str">
        <f>'A) Base RI'!B83</f>
        <v>Fey</v>
      </c>
      <c r="C81" s="95">
        <f>'A) Base RI'!AO83</f>
        <v>749</v>
      </c>
      <c r="D81" s="110">
        <f>'D) Ecrêtage'!E81</f>
        <v>31.678158789497104</v>
      </c>
      <c r="E81" s="34">
        <f t="shared" si="7"/>
        <v>16.491194618303304</v>
      </c>
      <c r="F81" s="277">
        <f t="shared" si="8"/>
        <v>250126.0715744608</v>
      </c>
      <c r="G81" s="33">
        <f>+'A) Base RI'!AN83</f>
        <v>75</v>
      </c>
      <c r="H81" s="278">
        <f t="shared" si="9"/>
        <v>1.1144570785745775</v>
      </c>
      <c r="I81" s="55">
        <f t="shared" si="10"/>
        <v>278754.77100220928</v>
      </c>
    </row>
    <row r="82" spans="1:9" x14ac:dyDescent="0.25">
      <c r="A82" s="49">
        <f>'A) Base RI'!A84</f>
        <v>5523</v>
      </c>
      <c r="B82" s="32" t="str">
        <f>'A) Base RI'!B84</f>
        <v>Froideville</v>
      </c>
      <c r="C82" s="95">
        <f>'A) Base RI'!AO84</f>
        <v>2694</v>
      </c>
      <c r="D82" s="110">
        <f>'D) Ecrêtage'!E82</f>
        <v>31.874107945640517</v>
      </c>
      <c r="E82" s="34">
        <f t="shared" si="7"/>
        <v>16.29524546215989</v>
      </c>
      <c r="F82" s="277">
        <f t="shared" si="8"/>
        <v>853404.16638714203</v>
      </c>
      <c r="G82" s="33">
        <f>+'A) Base RI'!AN84</f>
        <v>72</v>
      </c>
      <c r="H82" s="278">
        <f t="shared" si="9"/>
        <v>1.0698787954315945</v>
      </c>
      <c r="I82" s="55">
        <f t="shared" si="10"/>
        <v>913039.02155057958</v>
      </c>
    </row>
    <row r="83" spans="1:9" x14ac:dyDescent="0.25">
      <c r="A83" s="49">
        <f>'A) Base RI'!A85</f>
        <v>5527</v>
      </c>
      <c r="B83" s="32" t="str">
        <f>'A) Base RI'!B85</f>
        <v>Morrens</v>
      </c>
      <c r="C83" s="95">
        <f>'A) Base RI'!AO85</f>
        <v>1153</v>
      </c>
      <c r="D83" s="110">
        <f>'D) Ecrêtage'!E83</f>
        <v>35.181443707367386</v>
      </c>
      <c r="E83" s="34">
        <f t="shared" si="7"/>
        <v>12.987909700433022</v>
      </c>
      <c r="F83" s="277">
        <f t="shared" si="8"/>
        <v>299201.69649429352</v>
      </c>
      <c r="G83" s="33">
        <f>+'A) Base RI'!AN85</f>
        <v>74</v>
      </c>
      <c r="H83" s="278">
        <f t="shared" si="9"/>
        <v>1.0995976508602499</v>
      </c>
      <c r="I83" s="55">
        <f t="shared" si="10"/>
        <v>329001.48259852658</v>
      </c>
    </row>
    <row r="84" spans="1:9" x14ac:dyDescent="0.25">
      <c r="A84" s="49">
        <f>'A) Base RI'!A86</f>
        <v>5529</v>
      </c>
      <c r="B84" s="32" t="str">
        <f>'A) Base RI'!B86</f>
        <v>Oulens-sous-Echallens</v>
      </c>
      <c r="C84" s="95">
        <f>'A) Base RI'!AO86</f>
        <v>618</v>
      </c>
      <c r="D84" s="110">
        <f>'D) Ecrêtage'!E84</f>
        <v>32.688099398982892</v>
      </c>
      <c r="E84" s="34">
        <f t="shared" si="7"/>
        <v>15.481254008817515</v>
      </c>
      <c r="F84" s="277">
        <f t="shared" si="8"/>
        <v>180824.14307379036</v>
      </c>
      <c r="G84" s="33">
        <f>+'A) Base RI'!AN86</f>
        <v>70</v>
      </c>
      <c r="H84" s="278">
        <f t="shared" si="9"/>
        <v>1.0401599400029391</v>
      </c>
      <c r="I84" s="55">
        <f t="shared" si="10"/>
        <v>188086.02981071666</v>
      </c>
    </row>
    <row r="85" spans="1:9" x14ac:dyDescent="0.25">
      <c r="A85" s="49">
        <f>'A) Base RI'!A87</f>
        <v>5530</v>
      </c>
      <c r="B85" s="32" t="str">
        <f>'A) Base RI'!B87</f>
        <v>Pailly</v>
      </c>
      <c r="C85" s="95">
        <f>'A) Base RI'!AO87</f>
        <v>567</v>
      </c>
      <c r="D85" s="110">
        <f>'D) Ecrêtage'!E85</f>
        <v>32.278676359107635</v>
      </c>
      <c r="E85" s="34">
        <f t="shared" si="7"/>
        <v>15.890677048692773</v>
      </c>
      <c r="F85" s="277">
        <f t="shared" si="8"/>
        <v>184885.48495321264</v>
      </c>
      <c r="G85" s="33">
        <f>+'A) Base RI'!AN87</f>
        <v>76</v>
      </c>
      <c r="H85" s="278">
        <f t="shared" si="9"/>
        <v>1.1293165062889052</v>
      </c>
      <c r="I85" s="55">
        <f t="shared" si="10"/>
        <v>208794.22993089206</v>
      </c>
    </row>
    <row r="86" spans="1:9" x14ac:dyDescent="0.25">
      <c r="A86" s="49">
        <f>'A) Base RI'!A88</f>
        <v>5531</v>
      </c>
      <c r="B86" s="32" t="str">
        <f>'A) Base RI'!B88</f>
        <v>Penthéréaz</v>
      </c>
      <c r="C86" s="95">
        <f>'A) Base RI'!AO88</f>
        <v>419</v>
      </c>
      <c r="D86" s="110">
        <f>'D) Ecrêtage'!E86</f>
        <v>33.038335805973041</v>
      </c>
      <c r="E86" s="34">
        <f t="shared" si="7"/>
        <v>15.131017601827367</v>
      </c>
      <c r="F86" s="277">
        <f t="shared" si="8"/>
        <v>126671.12957581002</v>
      </c>
      <c r="G86" s="33">
        <f>+'A) Base RI'!AN88</f>
        <v>74</v>
      </c>
      <c r="H86" s="278">
        <f t="shared" si="9"/>
        <v>1.0995976508602499</v>
      </c>
      <c r="I86" s="55">
        <f t="shared" si="10"/>
        <v>139287.27651337502</v>
      </c>
    </row>
    <row r="87" spans="1:9" x14ac:dyDescent="0.25">
      <c r="A87" s="49">
        <f>'A) Base RI'!A89</f>
        <v>5533</v>
      </c>
      <c r="B87" s="32" t="str">
        <f>'A) Base RI'!B89</f>
        <v>Poliez-Pittet</v>
      </c>
      <c r="C87" s="95">
        <f>'A) Base RI'!AO89</f>
        <v>829</v>
      </c>
      <c r="D87" s="110">
        <f>'D) Ecrêtage'!E87</f>
        <v>32.79875506056149</v>
      </c>
      <c r="E87" s="34">
        <f t="shared" si="7"/>
        <v>15.370598347238918</v>
      </c>
      <c r="F87" s="277">
        <f t="shared" si="8"/>
        <v>251149.27504856157</v>
      </c>
      <c r="G87" s="33">
        <f>+'A) Base RI'!AN89</f>
        <v>73</v>
      </c>
      <c r="H87" s="278">
        <f t="shared" si="9"/>
        <v>1.0847382231459222</v>
      </c>
      <c r="I87" s="55">
        <f t="shared" si="10"/>
        <v>272431.21836056316</v>
      </c>
    </row>
    <row r="88" spans="1:9" x14ac:dyDescent="0.25">
      <c r="A88" s="49">
        <f>'A) Base RI'!A90</f>
        <v>5534</v>
      </c>
      <c r="B88" s="32" t="str">
        <f>'A) Base RI'!B90</f>
        <v>Rueyres</v>
      </c>
      <c r="C88" s="95">
        <f>'A) Base RI'!AO90</f>
        <v>266</v>
      </c>
      <c r="D88" s="110">
        <f>'D) Ecrêtage'!E88</f>
        <v>36.67425266934459</v>
      </c>
      <c r="E88" s="34">
        <f t="shared" si="7"/>
        <v>11.495100738455818</v>
      </c>
      <c r="F88" s="277">
        <f t="shared" si="8"/>
        <v>60267.203857620472</v>
      </c>
      <c r="G88" s="33">
        <f>+'A) Base RI'!AN90</f>
        <v>73</v>
      </c>
      <c r="H88" s="278">
        <f t="shared" si="9"/>
        <v>1.0847382231459222</v>
      </c>
      <c r="I88" s="55">
        <f t="shared" si="10"/>
        <v>65374.139626488301</v>
      </c>
    </row>
    <row r="89" spans="1:9" x14ac:dyDescent="0.25">
      <c r="A89" s="49">
        <f>'A) Base RI'!A91</f>
        <v>5535</v>
      </c>
      <c r="B89" s="32" t="str">
        <f>'A) Base RI'!B91</f>
        <v>Saint-Barthélemy</v>
      </c>
      <c r="C89" s="95">
        <f>'A) Base RI'!AO91</f>
        <v>784</v>
      </c>
      <c r="D89" s="110">
        <f>'D) Ecrêtage'!E89</f>
        <v>28.694961904761911</v>
      </c>
      <c r="E89" s="34">
        <f t="shared" si="7"/>
        <v>19.474391503038497</v>
      </c>
      <c r="F89" s="277">
        <f t="shared" si="8"/>
        <v>309175.43950223923</v>
      </c>
      <c r="G89" s="33">
        <f>+'A) Base RI'!AN91</f>
        <v>75</v>
      </c>
      <c r="H89" s="278">
        <f t="shared" si="9"/>
        <v>1.1144570785745775</v>
      </c>
      <c r="I89" s="55">
        <f t="shared" si="10"/>
        <v>344562.75707467657</v>
      </c>
    </row>
    <row r="90" spans="1:9" x14ac:dyDescent="0.25">
      <c r="A90" s="49">
        <f>'A) Base RI'!A92</f>
        <v>5537</v>
      </c>
      <c r="B90" s="32" t="str">
        <f>'A) Base RI'!B92</f>
        <v>Villars-le-Terroir</v>
      </c>
      <c r="C90" s="95">
        <f>'A) Base RI'!AO92</f>
        <v>1281</v>
      </c>
      <c r="D90" s="110">
        <f>'D) Ecrêtage'!E90</f>
        <v>29.635651834504291</v>
      </c>
      <c r="E90" s="34">
        <f t="shared" si="7"/>
        <v>18.533701573296117</v>
      </c>
      <c r="F90" s="277">
        <f t="shared" si="8"/>
        <v>467948.3495103828</v>
      </c>
      <c r="G90" s="33">
        <f>+'A) Base RI'!AN92</f>
        <v>73</v>
      </c>
      <c r="H90" s="278">
        <f t="shared" si="9"/>
        <v>1.0847382231459222</v>
      </c>
      <c r="I90" s="55">
        <f t="shared" si="10"/>
        <v>507601.46117195959</v>
      </c>
    </row>
    <row r="91" spans="1:9" x14ac:dyDescent="0.25">
      <c r="A91" s="49">
        <f>'A) Base RI'!A93</f>
        <v>5539</v>
      </c>
      <c r="B91" s="32" t="str">
        <f>'A) Base RI'!B93</f>
        <v>Vuarrens</v>
      </c>
      <c r="C91" s="95">
        <f>'A) Base RI'!AO93</f>
        <v>1060</v>
      </c>
      <c r="D91" s="110">
        <f>'D) Ecrêtage'!E91</f>
        <v>33.926052207675518</v>
      </c>
      <c r="E91" s="34">
        <f t="shared" si="7"/>
        <v>14.24330120012489</v>
      </c>
      <c r="F91" s="277">
        <f t="shared" si="8"/>
        <v>299617.81105546717</v>
      </c>
      <c r="G91" s="33">
        <f>+'A) Base RI'!AN93</f>
        <v>73.5</v>
      </c>
      <c r="H91" s="278">
        <f t="shared" si="9"/>
        <v>1.0921679370030859</v>
      </c>
      <c r="I91" s="55">
        <f t="shared" si="10"/>
        <v>327232.96658982994</v>
      </c>
    </row>
    <row r="92" spans="1:9" x14ac:dyDescent="0.25">
      <c r="A92" s="49">
        <f>'A) Base RI'!A94</f>
        <v>5540</v>
      </c>
      <c r="B92" s="32" t="str">
        <f>'A) Base RI'!B94</f>
        <v>Montilliez</v>
      </c>
      <c r="C92" s="95">
        <f>'A) Base RI'!AO94</f>
        <v>1857</v>
      </c>
      <c r="D92" s="110">
        <f>'D) Ecrêtage'!E92</f>
        <v>35.679347631515419</v>
      </c>
      <c r="E92" s="34">
        <f t="shared" si="7"/>
        <v>12.490005776284988</v>
      </c>
      <c r="F92" s="277">
        <f t="shared" si="8"/>
        <v>454021.38972243603</v>
      </c>
      <c r="G92" s="33">
        <f>+'A) Base RI'!AN94</f>
        <v>72.5</v>
      </c>
      <c r="H92" s="278">
        <f t="shared" si="9"/>
        <v>1.0773085092887582</v>
      </c>
      <c r="I92" s="55">
        <f t="shared" si="10"/>
        <v>489121.1065470879</v>
      </c>
    </row>
    <row r="93" spans="1:9" x14ac:dyDescent="0.25">
      <c r="A93" s="49">
        <f>'A) Base RI'!A95</f>
        <v>5541</v>
      </c>
      <c r="B93" s="32" t="str">
        <f>'A) Base RI'!B95</f>
        <v>Goumoëns</v>
      </c>
      <c r="C93" s="95">
        <f>'A) Base RI'!AO95</f>
        <v>1153</v>
      </c>
      <c r="D93" s="110">
        <f>'D) Ecrêtage'!E93</f>
        <v>32.088995020189195</v>
      </c>
      <c r="E93" s="34">
        <f t="shared" si="7"/>
        <v>16.080358387611213</v>
      </c>
      <c r="F93" s="277">
        <f t="shared" si="8"/>
        <v>377951.21590836707</v>
      </c>
      <c r="G93" s="33">
        <f>+'A) Base RI'!AN95</f>
        <v>75.5</v>
      </c>
      <c r="H93" s="278">
        <f t="shared" si="9"/>
        <v>1.1218867924317415</v>
      </c>
      <c r="I93" s="55">
        <f t="shared" si="10"/>
        <v>424018.47731111455</v>
      </c>
    </row>
    <row r="94" spans="1:9" x14ac:dyDescent="0.25">
      <c r="A94" s="49">
        <f>'A) Base RI'!A96</f>
        <v>5551</v>
      </c>
      <c r="B94" s="32" t="str">
        <f>'A) Base RI'!B96</f>
        <v>Bonvillars</v>
      </c>
      <c r="C94" s="95">
        <f>'A) Base RI'!AO96</f>
        <v>489</v>
      </c>
      <c r="D94" s="110">
        <f>'D) Ecrêtage'!E94</f>
        <v>39.175122141662015</v>
      </c>
      <c r="E94" s="34">
        <f t="shared" si="7"/>
        <v>8.9942312661383923</v>
      </c>
      <c r="F94" s="277">
        <f t="shared" si="8"/>
        <v>65312.959473753865</v>
      </c>
      <c r="G94" s="33">
        <f>+'A) Base RI'!AN96</f>
        <v>55</v>
      </c>
      <c r="H94" s="278">
        <f t="shared" si="9"/>
        <v>0.81726852428802355</v>
      </c>
      <c r="I94" s="55">
        <f t="shared" si="10"/>
        <v>53378.226005998309</v>
      </c>
    </row>
    <row r="95" spans="1:9" x14ac:dyDescent="0.25">
      <c r="A95" s="49">
        <f>'A) Base RI'!A97</f>
        <v>5552</v>
      </c>
      <c r="B95" s="32" t="str">
        <f>'A) Base RI'!B97</f>
        <v>Bullet</v>
      </c>
      <c r="C95" s="95">
        <f>'A) Base RI'!AO97</f>
        <v>657</v>
      </c>
      <c r="D95" s="110">
        <f>'D) Ecrêtage'!E95</f>
        <v>26.722096624836354</v>
      </c>
      <c r="E95" s="34">
        <f t="shared" si="7"/>
        <v>21.447256782964054</v>
      </c>
      <c r="F95" s="277">
        <f t="shared" si="8"/>
        <v>272023.81497219455</v>
      </c>
      <c r="G95" s="33">
        <f>+'A) Base RI'!AN97</f>
        <v>71.5</v>
      </c>
      <c r="H95" s="278">
        <f t="shared" si="9"/>
        <v>1.0624490815744305</v>
      </c>
      <c r="I95" s="55">
        <f t="shared" si="10"/>
        <v>289011.45238358091</v>
      </c>
    </row>
    <row r="96" spans="1:9" x14ac:dyDescent="0.25">
      <c r="A96" s="49">
        <f>'A) Base RI'!A98</f>
        <v>5553</v>
      </c>
      <c r="B96" s="32" t="str">
        <f>'A) Base RI'!B98</f>
        <v>Champagne</v>
      </c>
      <c r="C96" s="95">
        <f>'A) Base RI'!AO98</f>
        <v>1061</v>
      </c>
      <c r="D96" s="110">
        <f>'D) Ecrêtage'!E96</f>
        <v>36.457472051040376</v>
      </c>
      <c r="E96" s="34">
        <f t="shared" si="7"/>
        <v>11.711881356760031</v>
      </c>
      <c r="F96" s="277">
        <f t="shared" si="8"/>
        <v>218081.67239761801</v>
      </c>
      <c r="G96" s="33">
        <f>+'A) Base RI'!AN98</f>
        <v>65</v>
      </c>
      <c r="H96" s="278">
        <f t="shared" si="9"/>
        <v>0.96586280143130054</v>
      </c>
      <c r="I96" s="55">
        <f t="shared" si="10"/>
        <v>210636.97504278645</v>
      </c>
    </row>
    <row r="97" spans="1:9" x14ac:dyDescent="0.25">
      <c r="A97" s="49">
        <f>'A) Base RI'!A99</f>
        <v>5554</v>
      </c>
      <c r="B97" s="32" t="str">
        <f>'A) Base RI'!B99</f>
        <v>Concise</v>
      </c>
      <c r="C97" s="95">
        <f>'A) Base RI'!AO99</f>
        <v>1001</v>
      </c>
      <c r="D97" s="110">
        <f>'D) Ecrêtage'!E97</f>
        <v>32.295575491175498</v>
      </c>
      <c r="E97" s="34">
        <f t="shared" si="7"/>
        <v>15.87377791662491</v>
      </c>
      <c r="F97" s="277">
        <f t="shared" si="8"/>
        <v>321765.44681446615</v>
      </c>
      <c r="G97" s="33">
        <f>+'A) Base RI'!AN99</f>
        <v>75</v>
      </c>
      <c r="H97" s="278">
        <f t="shared" si="9"/>
        <v>1.1144570785745775</v>
      </c>
      <c r="I97" s="55">
        <f t="shared" si="10"/>
        <v>358593.77984309354</v>
      </c>
    </row>
    <row r="98" spans="1:9" x14ac:dyDescent="0.25">
      <c r="A98" s="49">
        <f>'A) Base RI'!A100</f>
        <v>5555</v>
      </c>
      <c r="B98" s="32" t="str">
        <f>'A) Base RI'!B100</f>
        <v>Corcelles-près-Concise</v>
      </c>
      <c r="C98" s="95">
        <f>'A) Base RI'!AO100</f>
        <v>419</v>
      </c>
      <c r="D98" s="110">
        <f>'D) Ecrêtage'!E98</f>
        <v>32.457111134170397</v>
      </c>
      <c r="E98" s="34">
        <f t="shared" si="7"/>
        <v>15.712242273630011</v>
      </c>
      <c r="F98" s="277">
        <f t="shared" si="8"/>
        <v>122649.29182068765</v>
      </c>
      <c r="G98" s="33">
        <f>+'A) Base RI'!AN100</f>
        <v>69</v>
      </c>
      <c r="H98" s="278">
        <f t="shared" si="9"/>
        <v>1.0253005122886114</v>
      </c>
      <c r="I98" s="55">
        <f t="shared" si="10"/>
        <v>125752.38173558644</v>
      </c>
    </row>
    <row r="99" spans="1:9" x14ac:dyDescent="0.25">
      <c r="A99" s="49">
        <f>'A) Base RI'!A101</f>
        <v>5556</v>
      </c>
      <c r="B99" s="32" t="str">
        <f>'A) Base RI'!B101</f>
        <v>Fiez</v>
      </c>
      <c r="C99" s="95">
        <f>'A) Base RI'!AO101</f>
        <v>451</v>
      </c>
      <c r="D99" s="110">
        <f>'D) Ecrêtage'!E99</f>
        <v>30.635094797390661</v>
      </c>
      <c r="E99" s="34">
        <f t="shared" si="7"/>
        <v>17.534258610409747</v>
      </c>
      <c r="F99" s="277">
        <f t="shared" si="8"/>
        <v>147325.12029828207</v>
      </c>
      <c r="G99" s="33">
        <f>+'A) Base RI'!AN101</f>
        <v>69</v>
      </c>
      <c r="H99" s="278">
        <f t="shared" si="9"/>
        <v>1.0253005122886114</v>
      </c>
      <c r="I99" s="55">
        <f t="shared" si="10"/>
        <v>151052.52131480991</v>
      </c>
    </row>
    <row r="100" spans="1:9" x14ac:dyDescent="0.25">
      <c r="A100" s="49">
        <f>'A) Base RI'!A102</f>
        <v>5557</v>
      </c>
      <c r="B100" s="32" t="str">
        <f>'A) Base RI'!B102</f>
        <v>Fontaines-sur-Grandson</v>
      </c>
      <c r="C100" s="95">
        <f>'A) Base RI'!AO102</f>
        <v>219</v>
      </c>
      <c r="D100" s="110">
        <f>'D) Ecrêtage'!E100</f>
        <v>26.850810667725487</v>
      </c>
      <c r="E100" s="34">
        <f t="shared" si="7"/>
        <v>21.318542740074921</v>
      </c>
      <c r="F100" s="277">
        <f t="shared" si="8"/>
        <v>86979.014823223479</v>
      </c>
      <c r="G100" s="33">
        <f>+'A) Base RI'!AN102</f>
        <v>69</v>
      </c>
      <c r="H100" s="278">
        <f t="shared" si="9"/>
        <v>1.0253005122886114</v>
      </c>
      <c r="I100" s="55">
        <f t="shared" si="10"/>
        <v>89179.62845660976</v>
      </c>
    </row>
    <row r="101" spans="1:9" x14ac:dyDescent="0.25">
      <c r="A101" s="49">
        <f>'A) Base RI'!A103</f>
        <v>5559</v>
      </c>
      <c r="B101" s="32" t="str">
        <f>'A) Base RI'!B103</f>
        <v>Giez</v>
      </c>
      <c r="C101" s="95">
        <f>'A) Base RI'!AO103</f>
        <v>414</v>
      </c>
      <c r="D101" s="110">
        <f>'D) Ecrêtage'!E101</f>
        <v>40.815503952569181</v>
      </c>
      <c r="E101" s="34">
        <f t="shared" si="7"/>
        <v>7.3538494552312272</v>
      </c>
      <c r="F101" s="277">
        <f t="shared" si="8"/>
        <v>54252.877278979278</v>
      </c>
      <c r="G101" s="33">
        <f>+'A) Base RI'!AN103</f>
        <v>66</v>
      </c>
      <c r="H101" s="278">
        <f t="shared" si="9"/>
        <v>0.98072222914562823</v>
      </c>
      <c r="I101" s="55">
        <f t="shared" si="10"/>
        <v>53207.00274260476</v>
      </c>
    </row>
    <row r="102" spans="1:9" x14ac:dyDescent="0.25">
      <c r="A102" s="49">
        <f>'A) Base RI'!A104</f>
        <v>5560</v>
      </c>
      <c r="B102" s="32" t="str">
        <f>'A) Base RI'!B104</f>
        <v>Grandevent</v>
      </c>
      <c r="C102" s="95">
        <f>'A) Base RI'!AO104</f>
        <v>226</v>
      </c>
      <c r="D102" s="110">
        <f>'D) Ecrêtage'!E102</f>
        <v>27.291574049973974</v>
      </c>
      <c r="E102" s="34">
        <f t="shared" si="7"/>
        <v>20.877779357826434</v>
      </c>
      <c r="F102" s="277">
        <f t="shared" si="8"/>
        <v>86629.422556190708</v>
      </c>
      <c r="G102" s="33">
        <f>+'A) Base RI'!AN104</f>
        <v>68</v>
      </c>
      <c r="H102" s="278">
        <f t="shared" si="9"/>
        <v>1.0104410845742837</v>
      </c>
      <c r="I102" s="55">
        <f t="shared" si="10"/>
        <v>87533.927683721253</v>
      </c>
    </row>
    <row r="103" spans="1:9" x14ac:dyDescent="0.25">
      <c r="A103" s="49">
        <f>'A) Base RI'!A105</f>
        <v>5561</v>
      </c>
      <c r="B103" s="32" t="str">
        <f>'A) Base RI'!B105</f>
        <v>Grandson</v>
      </c>
      <c r="C103" s="95">
        <f>'A) Base RI'!AO105</f>
        <v>3356</v>
      </c>
      <c r="D103" s="110">
        <f>'D) Ecrêtage'!E103</f>
        <v>34.193420695790358</v>
      </c>
      <c r="E103" s="34">
        <f t="shared" si="7"/>
        <v>13.975932712010049</v>
      </c>
      <c r="F103" s="277">
        <f t="shared" si="8"/>
        <v>873807.17828145181</v>
      </c>
      <c r="G103" s="33">
        <f>+'A) Base RI'!AN105</f>
        <v>69</v>
      </c>
      <c r="H103" s="278">
        <f t="shared" si="9"/>
        <v>1.0253005122886114</v>
      </c>
      <c r="I103" s="55">
        <f t="shared" si="10"/>
        <v>895914.94753343856</v>
      </c>
    </row>
    <row r="104" spans="1:9" x14ac:dyDescent="0.25">
      <c r="A104" s="49">
        <f>'A) Base RI'!A106</f>
        <v>5562</v>
      </c>
      <c r="B104" s="32" t="str">
        <f>'A) Base RI'!B106</f>
        <v>Mauborget</v>
      </c>
      <c r="C104" s="95">
        <f>'A) Base RI'!AO106</f>
        <v>128</v>
      </c>
      <c r="D104" s="110">
        <f>'D) Ecrêtage'!E104</f>
        <v>47.165292410714287</v>
      </c>
      <c r="E104" s="34">
        <f t="shared" si="7"/>
        <v>1.0040609970861212</v>
      </c>
      <c r="F104" s="277">
        <f t="shared" si="8"/>
        <v>2429.0243641507445</v>
      </c>
      <c r="G104" s="33">
        <f>+'A) Base RI'!AN106</f>
        <v>70</v>
      </c>
      <c r="H104" s="278">
        <f t="shared" si="9"/>
        <v>1.0401599400029391</v>
      </c>
      <c r="I104" s="55">
        <f t="shared" si="10"/>
        <v>2526.5738368807156</v>
      </c>
    </row>
    <row r="105" spans="1:9" x14ac:dyDescent="0.25">
      <c r="A105" s="49">
        <f>'A) Base RI'!A107</f>
        <v>5563</v>
      </c>
      <c r="B105" s="32" t="str">
        <f>'A) Base RI'!B107</f>
        <v>Mutrux</v>
      </c>
      <c r="C105" s="95">
        <f>'A) Base RI'!AO107</f>
        <v>149</v>
      </c>
      <c r="D105" s="110">
        <f>'D) Ecrêtage'!E105</f>
        <v>27.339479865771811</v>
      </c>
      <c r="E105" s="34">
        <f t="shared" si="7"/>
        <v>20.829873542028597</v>
      </c>
      <c r="F105" s="277">
        <f t="shared" si="8"/>
        <v>67038.865007664834</v>
      </c>
      <c r="G105" s="33">
        <f>+'A) Base RI'!AN107</f>
        <v>80</v>
      </c>
      <c r="H105" s="278">
        <f t="shared" si="9"/>
        <v>1.188754217146216</v>
      </c>
      <c r="I105" s="55">
        <f t="shared" si="10"/>
        <v>79692.733490557468</v>
      </c>
    </row>
    <row r="106" spans="1:9" x14ac:dyDescent="0.25">
      <c r="A106" s="49">
        <f>'A) Base RI'!A108</f>
        <v>5564</v>
      </c>
      <c r="B106" s="32" t="str">
        <f>'A) Base RI'!B108</f>
        <v>Novalles</v>
      </c>
      <c r="C106" s="95">
        <f>'A) Base RI'!AO108</f>
        <v>99</v>
      </c>
      <c r="D106" s="110">
        <f>'D) Ecrêtage'!E106</f>
        <v>21.126307482721952</v>
      </c>
      <c r="E106" s="34">
        <f t="shared" si="7"/>
        <v>27.043045925078456</v>
      </c>
      <c r="F106" s="277">
        <f t="shared" si="8"/>
        <v>54937.406935878382</v>
      </c>
      <c r="G106" s="33">
        <f>+'A) Base RI'!AN108</f>
        <v>76</v>
      </c>
      <c r="H106" s="278">
        <f t="shared" si="9"/>
        <v>1.1293165062889052</v>
      </c>
      <c r="I106" s="55">
        <f t="shared" si="10"/>
        <v>62041.720465398044</v>
      </c>
    </row>
    <row r="107" spans="1:9" x14ac:dyDescent="0.25">
      <c r="A107" s="49">
        <f>'A) Base RI'!A109</f>
        <v>5565</v>
      </c>
      <c r="B107" s="32" t="str">
        <f>'A) Base RI'!B109</f>
        <v>Onnens</v>
      </c>
      <c r="C107" s="95">
        <f>'A) Base RI'!AO109</f>
        <v>505</v>
      </c>
      <c r="D107" s="110">
        <f>'D) Ecrêtage'!E107</f>
        <v>38.991251578701181</v>
      </c>
      <c r="E107" s="34">
        <f t="shared" si="7"/>
        <v>9.1781018290992264</v>
      </c>
      <c r="F107" s="277">
        <f t="shared" si="8"/>
        <v>79466.070709252672</v>
      </c>
      <c r="G107" s="33">
        <f>+'A) Base RI'!AN109</f>
        <v>63.5</v>
      </c>
      <c r="H107" s="278">
        <f t="shared" si="9"/>
        <v>0.94357365985980901</v>
      </c>
      <c r="I107" s="55">
        <f t="shared" si="10"/>
        <v>74982.091173807916</v>
      </c>
    </row>
    <row r="108" spans="1:9" x14ac:dyDescent="0.25">
      <c r="A108" s="49">
        <f>'A) Base RI'!A110</f>
        <v>5566</v>
      </c>
      <c r="B108" s="32" t="str">
        <f>'A) Base RI'!B110</f>
        <v>Provence</v>
      </c>
      <c r="C108" s="95">
        <f>'A) Base RI'!AO110</f>
        <v>392</v>
      </c>
      <c r="D108" s="110">
        <f>'D) Ecrêtage'!E108</f>
        <v>19.384528323675145</v>
      </c>
      <c r="E108" s="34">
        <f t="shared" si="7"/>
        <v>28.784825084125263</v>
      </c>
      <c r="F108" s="277">
        <f t="shared" si="8"/>
        <v>246773.45683920928</v>
      </c>
      <c r="G108" s="33">
        <f>+'A) Base RI'!AN110</f>
        <v>81</v>
      </c>
      <c r="H108" s="278">
        <f t="shared" si="9"/>
        <v>1.2036136448605437</v>
      </c>
      <c r="I108" s="55">
        <f t="shared" si="10"/>
        <v>297019.89984107675</v>
      </c>
    </row>
    <row r="109" spans="1:9" x14ac:dyDescent="0.25">
      <c r="A109" s="49">
        <f>'A) Base RI'!A111</f>
        <v>5568</v>
      </c>
      <c r="B109" s="32" t="str">
        <f>'A) Base RI'!B111</f>
        <v>Sainte-Croix</v>
      </c>
      <c r="C109" s="95">
        <f>'A) Base RI'!AO111</f>
        <v>4917</v>
      </c>
      <c r="D109" s="110">
        <f>'D) Ecrêtage'!E109</f>
        <v>21.662696010924197</v>
      </c>
      <c r="E109" s="34">
        <f t="shared" si="7"/>
        <v>26.506657396876211</v>
      </c>
      <c r="F109" s="277">
        <f t="shared" si="8"/>
        <v>2463298.1305463226</v>
      </c>
      <c r="G109" s="33">
        <f>+'A) Base RI'!AN111</f>
        <v>70</v>
      </c>
      <c r="H109" s="278">
        <f t="shared" si="9"/>
        <v>1.0401599400029391</v>
      </c>
      <c r="I109" s="55">
        <f t="shared" si="10"/>
        <v>2562224.0356784151</v>
      </c>
    </row>
    <row r="110" spans="1:9" x14ac:dyDescent="0.25">
      <c r="A110" s="49">
        <f>'A) Base RI'!A112</f>
        <v>5571</v>
      </c>
      <c r="B110" s="32" t="str">
        <f>'A) Base RI'!B112</f>
        <v>Tévenon</v>
      </c>
      <c r="C110" s="95">
        <f>'A) Base RI'!AO112</f>
        <v>894</v>
      </c>
      <c r="D110" s="110">
        <f>'D) Ecrêtage'!E110</f>
        <v>23.915086382670278</v>
      </c>
      <c r="E110" s="34">
        <f t="shared" si="7"/>
        <v>24.25426702513013</v>
      </c>
      <c r="F110" s="277">
        <f t="shared" si="8"/>
        <v>418596.39067860262</v>
      </c>
      <c r="G110" s="33">
        <f>+'A) Base RI'!AN112</f>
        <v>71.5</v>
      </c>
      <c r="H110" s="278">
        <f t="shared" si="9"/>
        <v>1.0624490815744305</v>
      </c>
      <c r="I110" s="55">
        <f t="shared" si="10"/>
        <v>444737.35082685284</v>
      </c>
    </row>
    <row r="111" spans="1:9" x14ac:dyDescent="0.25">
      <c r="A111" s="49">
        <f>'A) Base RI'!A113</f>
        <v>5581</v>
      </c>
      <c r="B111" s="32" t="str">
        <f>'A) Base RI'!B113</f>
        <v>Belmont-sur-Lausanne</v>
      </c>
      <c r="C111" s="95">
        <f>'A) Base RI'!AO113</f>
        <v>3756</v>
      </c>
      <c r="D111" s="110">
        <f>'D) Ecrêtage'!E111</f>
        <v>56.561674838776469</v>
      </c>
      <c r="E111" s="34">
        <f t="shared" si="7"/>
        <v>0</v>
      </c>
      <c r="F111" s="277">
        <f t="shared" si="8"/>
        <v>0</v>
      </c>
      <c r="G111" s="33">
        <f>+'A) Base RI'!AN113</f>
        <v>72</v>
      </c>
      <c r="H111" s="278">
        <f t="shared" si="9"/>
        <v>1.0698787954315945</v>
      </c>
      <c r="I111" s="55">
        <f t="shared" si="10"/>
        <v>0</v>
      </c>
    </row>
    <row r="112" spans="1:9" x14ac:dyDescent="0.25">
      <c r="A112" s="49">
        <f>'A) Base RI'!A114</f>
        <v>5582</v>
      </c>
      <c r="B112" s="32" t="str">
        <f>'A) Base RI'!B114</f>
        <v>Cheseaux-sur-Lausanne</v>
      </c>
      <c r="C112" s="95">
        <f>'A) Base RI'!AO114</f>
        <v>4367</v>
      </c>
      <c r="D112" s="110">
        <f>'D) Ecrêtage'!E112</f>
        <v>37.5040746131478</v>
      </c>
      <c r="E112" s="34">
        <f t="shared" si="7"/>
        <v>10.665278794652608</v>
      </c>
      <c r="F112" s="277">
        <f t="shared" si="8"/>
        <v>917998.6209010469</v>
      </c>
      <c r="G112" s="33">
        <f>+'A) Base RI'!AN114</f>
        <v>73</v>
      </c>
      <c r="H112" s="278">
        <f t="shared" si="9"/>
        <v>1.0847382231459222</v>
      </c>
      <c r="I112" s="55">
        <f t="shared" si="10"/>
        <v>995788.19288660865</v>
      </c>
    </row>
    <row r="113" spans="1:9" x14ac:dyDescent="0.25">
      <c r="A113" s="49">
        <f>'A) Base RI'!A115</f>
        <v>5583</v>
      </c>
      <c r="B113" s="32" t="str">
        <f>'A) Base RI'!B115</f>
        <v>Crissier</v>
      </c>
      <c r="C113" s="95">
        <f>'A) Base RI'!AO115</f>
        <v>8700</v>
      </c>
      <c r="D113" s="110">
        <f>'D) Ecrêtage'!E113</f>
        <v>42.309805719974648</v>
      </c>
      <c r="E113" s="34">
        <f t="shared" si="7"/>
        <v>5.85954768782576</v>
      </c>
      <c r="F113" s="277">
        <f t="shared" si="8"/>
        <v>874018.9224376221</v>
      </c>
      <c r="G113" s="33">
        <f>+'A) Base RI'!AN115</f>
        <v>63.5</v>
      </c>
      <c r="H113" s="278">
        <f t="shared" si="9"/>
        <v>0.94357365985980901</v>
      </c>
      <c r="I113" s="55">
        <f t="shared" si="10"/>
        <v>824701.23343119363</v>
      </c>
    </row>
    <row r="114" spans="1:9" x14ac:dyDescent="0.25">
      <c r="A114" s="49">
        <f>'A) Base RI'!A116</f>
        <v>5584</v>
      </c>
      <c r="B114" s="32" t="str">
        <f>'A) Base RI'!B116</f>
        <v>Epalinges</v>
      </c>
      <c r="C114" s="95">
        <f>'A) Base RI'!AO116</f>
        <v>9755</v>
      </c>
      <c r="D114" s="110">
        <f>'D) Ecrêtage'!E114</f>
        <v>49.422441570413099</v>
      </c>
      <c r="E114" s="34">
        <f t="shared" si="7"/>
        <v>0</v>
      </c>
      <c r="F114" s="277">
        <f t="shared" si="8"/>
        <v>0</v>
      </c>
      <c r="G114" s="33">
        <f>+'A) Base RI'!AN116</f>
        <v>64.5</v>
      </c>
      <c r="H114" s="278">
        <f t="shared" si="9"/>
        <v>0.9584330875741367</v>
      </c>
      <c r="I114" s="55">
        <f t="shared" si="10"/>
        <v>0</v>
      </c>
    </row>
    <row r="115" spans="1:9" x14ac:dyDescent="0.25">
      <c r="A115" s="49">
        <f>'A) Base RI'!A117</f>
        <v>5585</v>
      </c>
      <c r="B115" s="32" t="str">
        <f>'A) Base RI'!B117</f>
        <v>Jouxtens-Mézery</v>
      </c>
      <c r="C115" s="95">
        <f>'A) Base RI'!AO117</f>
        <v>1411</v>
      </c>
      <c r="D115" s="110">
        <f>'D) Ecrêtage'!E115</f>
        <v>143.50671251306323</v>
      </c>
      <c r="E115" s="34">
        <f t="shared" si="7"/>
        <v>0</v>
      </c>
      <c r="F115" s="277">
        <f t="shared" si="8"/>
        <v>0</v>
      </c>
      <c r="G115" s="33">
        <f>+'A) Base RI'!AN117</f>
        <v>59</v>
      </c>
      <c r="H115" s="278">
        <f t="shared" si="9"/>
        <v>0.8767062351453343</v>
      </c>
      <c r="I115" s="55">
        <f t="shared" si="10"/>
        <v>0</v>
      </c>
    </row>
    <row r="116" spans="1:9" x14ac:dyDescent="0.25">
      <c r="A116" s="49">
        <f>'A) Base RI'!A118</f>
        <v>5586</v>
      </c>
      <c r="B116" s="32" t="str">
        <f>'A) Base RI'!B118</f>
        <v>Lausanne</v>
      </c>
      <c r="C116" s="95">
        <f>'A) Base RI'!AO118</f>
        <v>140430</v>
      </c>
      <c r="D116" s="110">
        <f>'D) Ecrêtage'!E116</f>
        <v>44.665415367691558</v>
      </c>
      <c r="E116" s="34">
        <f t="shared" si="7"/>
        <v>3.5039380401088493</v>
      </c>
      <c r="F116" s="277">
        <f t="shared" si="8"/>
        <v>10429169.712121835</v>
      </c>
      <c r="G116" s="33">
        <f>+'A) Base RI'!AN118</f>
        <v>78.5</v>
      </c>
      <c r="H116" s="278">
        <f t="shared" si="9"/>
        <v>1.1664650755747246</v>
      </c>
      <c r="I116" s="55">
        <f t="shared" si="10"/>
        <v>12165262.236431824</v>
      </c>
    </row>
    <row r="117" spans="1:9" x14ac:dyDescent="0.25">
      <c r="A117" s="49">
        <f>'A) Base RI'!A119</f>
        <v>5587</v>
      </c>
      <c r="B117" s="32" t="str">
        <f>'A) Base RI'!B119</f>
        <v>Le Mont-sur-Lausanne</v>
      </c>
      <c r="C117" s="95">
        <f>'A) Base RI'!AO119</f>
        <v>9136</v>
      </c>
      <c r="D117" s="110">
        <f>'D) Ecrêtage'!E117</f>
        <v>48.474249139235383</v>
      </c>
      <c r="E117" s="34">
        <f t="shared" si="7"/>
        <v>0</v>
      </c>
      <c r="F117" s="277">
        <f t="shared" si="8"/>
        <v>0</v>
      </c>
      <c r="G117" s="33">
        <f>+'A) Base RI'!AN119</f>
        <v>73.5</v>
      </c>
      <c r="H117" s="278">
        <f t="shared" si="9"/>
        <v>1.0921679370030859</v>
      </c>
      <c r="I117" s="55">
        <f t="shared" si="10"/>
        <v>0</v>
      </c>
    </row>
    <row r="118" spans="1:9" x14ac:dyDescent="0.25">
      <c r="A118" s="49">
        <f>'A) Base RI'!A120</f>
        <v>5588</v>
      </c>
      <c r="B118" s="32" t="str">
        <f>'A) Base RI'!B120</f>
        <v>Paudex</v>
      </c>
      <c r="C118" s="95">
        <f>'A) Base RI'!AO120</f>
        <v>1538</v>
      </c>
      <c r="D118" s="110">
        <f>'D) Ecrêtage'!E118</f>
        <v>88.068002343775106</v>
      </c>
      <c r="E118" s="34">
        <f t="shared" si="7"/>
        <v>0</v>
      </c>
      <c r="F118" s="277">
        <f t="shared" si="8"/>
        <v>0</v>
      </c>
      <c r="G118" s="33">
        <f>+'A) Base RI'!AN120</f>
        <v>66.5</v>
      </c>
      <c r="H118" s="278">
        <f t="shared" si="9"/>
        <v>0.98815194300279208</v>
      </c>
      <c r="I118" s="55">
        <f t="shared" si="10"/>
        <v>0</v>
      </c>
    </row>
    <row r="119" spans="1:9" x14ac:dyDescent="0.25">
      <c r="A119" s="49">
        <f>'A) Base RI'!A121</f>
        <v>5589</v>
      </c>
      <c r="B119" s="32" t="str">
        <f>'A) Base RI'!B121</f>
        <v>Prilly</v>
      </c>
      <c r="C119" s="95">
        <f>'A) Base RI'!AO121</f>
        <v>12383</v>
      </c>
      <c r="D119" s="110">
        <f>'D) Ecrêtage'!E119</f>
        <v>36.74531411443472</v>
      </c>
      <c r="E119" s="34">
        <f t="shared" si="7"/>
        <v>11.424039293365688</v>
      </c>
      <c r="F119" s="277">
        <f t="shared" si="8"/>
        <v>2769155.4230028042</v>
      </c>
      <c r="G119" s="33">
        <f>+'A) Base RI'!AN121</f>
        <v>72.5</v>
      </c>
      <c r="H119" s="278">
        <f t="shared" si="9"/>
        <v>1.0773085092887582</v>
      </c>
      <c r="I119" s="55">
        <f t="shared" si="10"/>
        <v>2983234.7007440315</v>
      </c>
    </row>
    <row r="120" spans="1:9" x14ac:dyDescent="0.25">
      <c r="A120" s="49">
        <f>'A) Base RI'!A122</f>
        <v>5590</v>
      </c>
      <c r="B120" s="32" t="str">
        <f>'A) Base RI'!B122</f>
        <v>Pully</v>
      </c>
      <c r="C120" s="95">
        <f>'A) Base RI'!AO122</f>
        <v>18688</v>
      </c>
      <c r="D120" s="110">
        <f>'D) Ecrêtage'!E120</f>
        <v>79.140602785090707</v>
      </c>
      <c r="E120" s="34">
        <f t="shared" si="7"/>
        <v>0</v>
      </c>
      <c r="F120" s="277">
        <f t="shared" si="8"/>
        <v>0</v>
      </c>
      <c r="G120" s="33">
        <f>+'A) Base RI'!AN122</f>
        <v>61</v>
      </c>
      <c r="H120" s="278">
        <f t="shared" si="9"/>
        <v>0.90642509057398979</v>
      </c>
      <c r="I120" s="55">
        <f t="shared" si="10"/>
        <v>0</v>
      </c>
    </row>
    <row r="121" spans="1:9" x14ac:dyDescent="0.25">
      <c r="A121" s="49">
        <f>'A) Base RI'!A123</f>
        <v>5591</v>
      </c>
      <c r="B121" s="32" t="str">
        <f>'A) Base RI'!B123</f>
        <v>Renens</v>
      </c>
      <c r="C121" s="95">
        <f>'A) Base RI'!AO123</f>
        <v>20863</v>
      </c>
      <c r="D121" s="110">
        <f>'D) Ecrêtage'!E121</f>
        <v>28.603201976637585</v>
      </c>
      <c r="E121" s="34">
        <f t="shared" si="7"/>
        <v>19.566151431162822</v>
      </c>
      <c r="F121" s="277">
        <f t="shared" si="8"/>
        <v>8486657.1538405959</v>
      </c>
      <c r="G121" s="33">
        <f>+'A) Base RI'!AN123</f>
        <v>77</v>
      </c>
      <c r="H121" s="278">
        <f t="shared" si="9"/>
        <v>1.1441759340032329</v>
      </c>
      <c r="I121" s="55">
        <f t="shared" si="10"/>
        <v>9710228.8755607828</v>
      </c>
    </row>
    <row r="122" spans="1:9" x14ac:dyDescent="0.25">
      <c r="A122" s="49">
        <f>'A) Base RI'!A124</f>
        <v>5592</v>
      </c>
      <c r="B122" s="32" t="str">
        <f>'A) Base RI'!B124</f>
        <v>Romanel-sur-Lausanne</v>
      </c>
      <c r="C122" s="95">
        <f>'A) Base RI'!AO124</f>
        <v>3247</v>
      </c>
      <c r="D122" s="110">
        <f>'D) Ecrêtage'!E122</f>
        <v>37.35517306755608</v>
      </c>
      <c r="E122" s="34">
        <f t="shared" si="7"/>
        <v>10.814180340244327</v>
      </c>
      <c r="F122" s="277">
        <f t="shared" si="8"/>
        <v>668388.20525546046</v>
      </c>
      <c r="G122" s="33">
        <f>+'A) Base RI'!AN124</f>
        <v>70.5</v>
      </c>
      <c r="H122" s="278">
        <f t="shared" si="9"/>
        <v>1.0475896538601028</v>
      </c>
      <c r="I122" s="55">
        <f t="shared" si="10"/>
        <v>700196.56858774321</v>
      </c>
    </row>
    <row r="123" spans="1:9" x14ac:dyDescent="0.25">
      <c r="A123" s="49">
        <f>'A) Base RI'!A125</f>
        <v>5601</v>
      </c>
      <c r="B123" s="32" t="str">
        <f>'A) Base RI'!B125</f>
        <v>Chexbres</v>
      </c>
      <c r="C123" s="95">
        <f>'A) Base RI'!AO125</f>
        <v>2251</v>
      </c>
      <c r="D123" s="110">
        <f>'D) Ecrêtage'!E123</f>
        <v>43.56820501176432</v>
      </c>
      <c r="E123" s="34">
        <f t="shared" si="7"/>
        <v>4.6011483960360877</v>
      </c>
      <c r="F123" s="277">
        <f t="shared" si="8"/>
        <v>188759.69734447257</v>
      </c>
      <c r="G123" s="33">
        <f>+'A) Base RI'!AN125</f>
        <v>67.5</v>
      </c>
      <c r="H123" s="278">
        <f t="shared" si="9"/>
        <v>1.0030113707171198</v>
      </c>
      <c r="I123" s="55">
        <f t="shared" si="10"/>
        <v>189328.1227696281</v>
      </c>
    </row>
    <row r="124" spans="1:9" x14ac:dyDescent="0.25">
      <c r="A124" s="49">
        <f>'A) Base RI'!A126</f>
        <v>5604</v>
      </c>
      <c r="B124" s="32" t="str">
        <f>'A) Base RI'!B126</f>
        <v>Forel (Lavaux)</v>
      </c>
      <c r="C124" s="95">
        <f>'A) Base RI'!AO126</f>
        <v>2105</v>
      </c>
      <c r="D124" s="110">
        <f>'D) Ecrêtage'!E124</f>
        <v>33.876444077248784</v>
      </c>
      <c r="E124" s="34">
        <f t="shared" si="7"/>
        <v>14.292909330551623</v>
      </c>
      <c r="F124" s="277">
        <f t="shared" si="8"/>
        <v>560512.87624331203</v>
      </c>
      <c r="G124" s="33">
        <f>+'A) Base RI'!AN126</f>
        <v>69</v>
      </c>
      <c r="H124" s="278">
        <f t="shared" si="9"/>
        <v>1.0253005122886114</v>
      </c>
      <c r="I124" s="55">
        <f t="shared" si="10"/>
        <v>574694.13915663084</v>
      </c>
    </row>
    <row r="125" spans="1:9" x14ac:dyDescent="0.25">
      <c r="A125" s="49">
        <f>'A) Base RI'!A127</f>
        <v>5606</v>
      </c>
      <c r="B125" s="32" t="str">
        <f>'A) Base RI'!B127</f>
        <v>Lutry</v>
      </c>
      <c r="C125" s="95">
        <f>'A) Base RI'!AO127</f>
        <v>10455</v>
      </c>
      <c r="D125" s="110">
        <f>'D) Ecrêtage'!E125</f>
        <v>83.714048077044737</v>
      </c>
      <c r="E125" s="34">
        <f t="shared" si="7"/>
        <v>0</v>
      </c>
      <c r="F125" s="277">
        <f t="shared" si="8"/>
        <v>0</v>
      </c>
      <c r="G125" s="33">
        <f>+'A) Base RI'!AN127</f>
        <v>54</v>
      </c>
      <c r="H125" s="278">
        <f t="shared" si="9"/>
        <v>0.80240909657369586</v>
      </c>
      <c r="I125" s="55">
        <f t="shared" si="10"/>
        <v>0</v>
      </c>
    </row>
    <row r="126" spans="1:9" x14ac:dyDescent="0.25">
      <c r="A126" s="49">
        <f>'A) Base RI'!A128</f>
        <v>5607</v>
      </c>
      <c r="B126" s="32" t="str">
        <f>'A) Base RI'!B128</f>
        <v>Puidoux</v>
      </c>
      <c r="C126" s="95">
        <f>'A) Base RI'!AO128</f>
        <v>2894</v>
      </c>
      <c r="D126" s="110">
        <f>'D) Ecrêtage'!E126</f>
        <v>35.571864205634967</v>
      </c>
      <c r="E126" s="34">
        <f t="shared" si="7"/>
        <v>12.597489202165441</v>
      </c>
      <c r="F126" s="277">
        <f t="shared" si="8"/>
        <v>674274.68872598035</v>
      </c>
      <c r="G126" s="33">
        <f>+'A) Base RI'!AN128</f>
        <v>68.5</v>
      </c>
      <c r="H126" s="278">
        <f t="shared" si="9"/>
        <v>1.0178707984314475</v>
      </c>
      <c r="I126" s="55">
        <f t="shared" si="10"/>
        <v>686324.51577562932</v>
      </c>
    </row>
    <row r="127" spans="1:9" x14ac:dyDescent="0.25">
      <c r="A127" s="49">
        <f>'A) Base RI'!A129</f>
        <v>5609</v>
      </c>
      <c r="B127" s="32" t="str">
        <f>'A) Base RI'!B129</f>
        <v>Rivaz</v>
      </c>
      <c r="C127" s="95">
        <f>'A) Base RI'!AO129</f>
        <v>337</v>
      </c>
      <c r="D127" s="110">
        <f>'D) Ecrêtage'!E127</f>
        <v>47.622701732554802</v>
      </c>
      <c r="E127" s="34">
        <f t="shared" si="7"/>
        <v>0.54665167524560587</v>
      </c>
      <c r="F127" s="277">
        <f t="shared" si="8"/>
        <v>3083.8698276970563</v>
      </c>
      <c r="G127" s="33">
        <f>+'A) Base RI'!AN129</f>
        <v>62</v>
      </c>
      <c r="H127" s="278">
        <f t="shared" si="9"/>
        <v>0.92128451828831748</v>
      </c>
      <c r="I127" s="55">
        <f t="shared" si="10"/>
        <v>2841.1215286737593</v>
      </c>
    </row>
    <row r="128" spans="1:9" x14ac:dyDescent="0.25">
      <c r="A128" s="49">
        <f>'A) Base RI'!A130</f>
        <v>5610</v>
      </c>
      <c r="B128" s="32" t="str">
        <f>'A) Base RI'!B130</f>
        <v>St-Saphorin (Lavaux)</v>
      </c>
      <c r="C128" s="95">
        <f>'A) Base RI'!AO130</f>
        <v>388</v>
      </c>
      <c r="D128" s="110">
        <f>'D) Ecrêtage'!E128</f>
        <v>49.519906452844587</v>
      </c>
      <c r="E128" s="34">
        <f t="shared" si="7"/>
        <v>0</v>
      </c>
      <c r="F128" s="277">
        <f t="shared" si="8"/>
        <v>0</v>
      </c>
      <c r="G128" s="33">
        <f>+'A) Base RI'!AN130</f>
        <v>72</v>
      </c>
      <c r="H128" s="278">
        <f t="shared" si="9"/>
        <v>1.0698787954315945</v>
      </c>
      <c r="I128" s="55">
        <f t="shared" si="10"/>
        <v>0</v>
      </c>
    </row>
    <row r="129" spans="1:9" x14ac:dyDescent="0.25">
      <c r="A129" s="49">
        <f>'A) Base RI'!A131</f>
        <v>5611</v>
      </c>
      <c r="B129" s="32" t="str">
        <f>'A) Base RI'!B131</f>
        <v>Savigny</v>
      </c>
      <c r="C129" s="95">
        <f>'A) Base RI'!AO131</f>
        <v>3348</v>
      </c>
      <c r="D129" s="110">
        <f>'D) Ecrêtage'!E129</f>
        <v>40.834927976324465</v>
      </c>
      <c r="E129" s="34">
        <f t="shared" si="7"/>
        <v>7.3344254314759425</v>
      </c>
      <c r="F129" s="277">
        <f t="shared" si="8"/>
        <v>457471.87769955257</v>
      </c>
      <c r="G129" s="33">
        <f>+'A) Base RI'!AN131</f>
        <v>69</v>
      </c>
      <c r="H129" s="278">
        <f t="shared" si="9"/>
        <v>1.0253005122886114</v>
      </c>
      <c r="I129" s="55">
        <f t="shared" si="10"/>
        <v>469046.15056298423</v>
      </c>
    </row>
    <row r="130" spans="1:9" x14ac:dyDescent="0.25">
      <c r="A130" s="49">
        <f>'A) Base RI'!A132</f>
        <v>5613</v>
      </c>
      <c r="B130" s="32" t="str">
        <f>'A) Base RI'!B132</f>
        <v>Bourg-en-Lavaux</v>
      </c>
      <c r="C130" s="95">
        <f>'A) Base RI'!AO132</f>
        <v>5389</v>
      </c>
      <c r="D130" s="110">
        <f>'D) Ecrêtage'!E130</f>
        <v>63.801851237706437</v>
      </c>
      <c r="E130" s="34">
        <f t="shared" si="7"/>
        <v>0</v>
      </c>
      <c r="F130" s="277">
        <f t="shared" si="8"/>
        <v>0</v>
      </c>
      <c r="G130" s="33">
        <f>+'A) Base RI'!AN132</f>
        <v>62.5</v>
      </c>
      <c r="H130" s="278">
        <f t="shared" si="9"/>
        <v>0.92871423214548132</v>
      </c>
      <c r="I130" s="55">
        <f t="shared" si="10"/>
        <v>0</v>
      </c>
    </row>
    <row r="131" spans="1:9" x14ac:dyDescent="0.25">
      <c r="A131" s="49">
        <f>'A) Base RI'!A133</f>
        <v>5621</v>
      </c>
      <c r="B131" s="32" t="str">
        <f>'A) Base RI'!B133</f>
        <v>Aclens</v>
      </c>
      <c r="C131" s="95">
        <f>'A) Base RI'!AO133</f>
        <v>528</v>
      </c>
      <c r="D131" s="110">
        <f>'D) Ecrêtage'!E131</f>
        <v>61.386197958322214</v>
      </c>
      <c r="E131" s="34">
        <f t="shared" si="7"/>
        <v>0</v>
      </c>
      <c r="F131" s="277">
        <f t="shared" si="8"/>
        <v>0</v>
      </c>
      <c r="G131" s="33">
        <f>+'A) Base RI'!AN133</f>
        <v>62</v>
      </c>
      <c r="H131" s="278">
        <f t="shared" si="9"/>
        <v>0.92128451828831748</v>
      </c>
      <c r="I131" s="55">
        <f t="shared" si="10"/>
        <v>0</v>
      </c>
    </row>
    <row r="132" spans="1:9" x14ac:dyDescent="0.25">
      <c r="A132" s="49">
        <f>'A) Base RI'!A134</f>
        <v>5622</v>
      </c>
      <c r="B132" s="32" t="str">
        <f>'A) Base RI'!B134</f>
        <v>Bremblens</v>
      </c>
      <c r="C132" s="95">
        <f>'A) Base RI'!AO134</f>
        <v>583</v>
      </c>
      <c r="D132" s="110">
        <f>'D) Ecrêtage'!E132</f>
        <v>47.689883210574102</v>
      </c>
      <c r="E132" s="34">
        <f t="shared" si="7"/>
        <v>0.47947019722630557</v>
      </c>
      <c r="F132" s="277">
        <f t="shared" si="8"/>
        <v>5132.1914546867083</v>
      </c>
      <c r="G132" s="33">
        <f>+'A) Base RI'!AN134</f>
        <v>68</v>
      </c>
      <c r="H132" s="278">
        <f t="shared" si="9"/>
        <v>1.0104410845742837</v>
      </c>
      <c r="I132" s="55">
        <f t="shared" si="10"/>
        <v>5185.777099716508</v>
      </c>
    </row>
    <row r="133" spans="1:9" x14ac:dyDescent="0.25">
      <c r="A133" s="49">
        <f>'A) Base RI'!A135</f>
        <v>5623</v>
      </c>
      <c r="B133" s="32" t="str">
        <f>'A) Base RI'!B135</f>
        <v>Buchillon</v>
      </c>
      <c r="C133" s="95">
        <f>'A) Base RI'!AO135</f>
        <v>686</v>
      </c>
      <c r="D133" s="110">
        <f>'D) Ecrêtage'!E133</f>
        <v>137.60060103162144</v>
      </c>
      <c r="E133" s="34">
        <f t="shared" si="7"/>
        <v>0</v>
      </c>
      <c r="F133" s="277">
        <f t="shared" si="8"/>
        <v>0</v>
      </c>
      <c r="G133" s="33">
        <f>+'A) Base RI'!AN135</f>
        <v>52</v>
      </c>
      <c r="H133" s="278">
        <f t="shared" si="9"/>
        <v>0.77269024114504048</v>
      </c>
      <c r="I133" s="55">
        <f t="shared" si="10"/>
        <v>0</v>
      </c>
    </row>
    <row r="134" spans="1:9" x14ac:dyDescent="0.25">
      <c r="A134" s="49">
        <f>'A) Base RI'!A136</f>
        <v>5624</v>
      </c>
      <c r="B134" s="32" t="str">
        <f>'A) Base RI'!B136</f>
        <v>Bussigny</v>
      </c>
      <c r="C134" s="95">
        <f>'A) Base RI'!AO136</f>
        <v>9614</v>
      </c>
      <c r="D134" s="110">
        <f>'D) Ecrêtage'!E134</f>
        <v>36.600384073226536</v>
      </c>
      <c r="E134" s="34">
        <f t="shared" ref="E134:E197" si="11">IF($D$314-D134&lt;0,0,$D$314-D134)</f>
        <v>11.568969334573872</v>
      </c>
      <c r="F134" s="277">
        <f t="shared" ref="F134:F197" si="12">(C134*E134*G134)*$E$4</f>
        <v>1876906.2012062606</v>
      </c>
      <c r="G134" s="33">
        <f>+'A) Base RI'!AN136</f>
        <v>62.5</v>
      </c>
      <c r="H134" s="278">
        <f t="shared" ref="H134:H197" si="13">G134/$G$314</f>
        <v>0.92871423214548132</v>
      </c>
      <c r="I134" s="55">
        <f t="shared" ref="I134:I197" si="14">F134*H134</f>
        <v>1743109.5014623646</v>
      </c>
    </row>
    <row r="135" spans="1:9" x14ac:dyDescent="0.25">
      <c r="A135" s="49">
        <f>'A) Base RI'!A137</f>
        <v>5625</v>
      </c>
      <c r="B135" s="32" t="str">
        <f>'A) Base RI'!B137</f>
        <v>Bussy-Chardonney</v>
      </c>
      <c r="C135" s="95">
        <f>'A) Base RI'!AO137</f>
        <v>404</v>
      </c>
      <c r="D135" s="110">
        <f>'D) Ecrêtage'!E135</f>
        <v>43.91209431657451</v>
      </c>
      <c r="E135" s="34">
        <f t="shared" si="11"/>
        <v>4.2572590912258974</v>
      </c>
      <c r="F135" s="277">
        <f t="shared" si="12"/>
        <v>35757.400268660909</v>
      </c>
      <c r="G135" s="33">
        <f>+'A) Base RI'!AN137</f>
        <v>77</v>
      </c>
      <c r="H135" s="278">
        <f t="shared" si="13"/>
        <v>1.1441759340032329</v>
      </c>
      <c r="I135" s="55">
        <f t="shared" si="14"/>
        <v>40912.756849922545</v>
      </c>
    </row>
    <row r="136" spans="1:9" x14ac:dyDescent="0.25">
      <c r="A136" s="49">
        <f>'A) Base RI'!A138</f>
        <v>5627</v>
      </c>
      <c r="B136" s="32" t="str">
        <f>'A) Base RI'!B138</f>
        <v>Chavannes-près-Renens</v>
      </c>
      <c r="C136" s="95">
        <f>'A) Base RI'!AO138</f>
        <v>8487</v>
      </c>
      <c r="D136" s="110">
        <f>'D) Ecrêtage'!E136</f>
        <v>19.076434754735583</v>
      </c>
      <c r="E136" s="34">
        <f t="shared" si="11"/>
        <v>29.092918653064824</v>
      </c>
      <c r="F136" s="277">
        <f t="shared" si="12"/>
        <v>5166625.2427341426</v>
      </c>
      <c r="G136" s="33">
        <f>+'A) Base RI'!AN138</f>
        <v>77.5</v>
      </c>
      <c r="H136" s="278">
        <f t="shared" si="13"/>
        <v>1.1516056478603969</v>
      </c>
      <c r="I136" s="55">
        <f t="shared" si="14"/>
        <v>5949914.8099107323</v>
      </c>
    </row>
    <row r="137" spans="1:9" x14ac:dyDescent="0.25">
      <c r="A137" s="49">
        <f>'A) Base RI'!A139</f>
        <v>5628</v>
      </c>
      <c r="B137" s="32" t="str">
        <f>'A) Base RI'!B139</f>
        <v>Chigny</v>
      </c>
      <c r="C137" s="95">
        <f>'A) Base RI'!AO139</f>
        <v>396</v>
      </c>
      <c r="D137" s="110">
        <f>'D) Ecrêtage'!E137</f>
        <v>62.183156972955366</v>
      </c>
      <c r="E137" s="34">
        <f t="shared" si="11"/>
        <v>0</v>
      </c>
      <c r="F137" s="277">
        <f t="shared" si="12"/>
        <v>0</v>
      </c>
      <c r="G137" s="33">
        <f>+'A) Base RI'!AN139</f>
        <v>62</v>
      </c>
      <c r="H137" s="278">
        <f t="shared" si="13"/>
        <v>0.92128451828831748</v>
      </c>
      <c r="I137" s="55">
        <f t="shared" si="14"/>
        <v>0</v>
      </c>
    </row>
    <row r="138" spans="1:9" x14ac:dyDescent="0.25">
      <c r="A138" s="49">
        <f>'A) Base RI'!A140</f>
        <v>5629</v>
      </c>
      <c r="B138" s="32" t="str">
        <f>'A) Base RI'!B140</f>
        <v>Clarmont</v>
      </c>
      <c r="C138" s="95">
        <f>'A) Base RI'!AO140</f>
        <v>201</v>
      </c>
      <c r="D138" s="110">
        <f>'D) Ecrêtage'!E138</f>
        <v>42.394327681321279</v>
      </c>
      <c r="E138" s="34">
        <f t="shared" si="11"/>
        <v>5.7750257264791287</v>
      </c>
      <c r="F138" s="277">
        <f t="shared" si="12"/>
        <v>23035.682493937638</v>
      </c>
      <c r="G138" s="33">
        <f>+'A) Base RI'!AN140</f>
        <v>73.5</v>
      </c>
      <c r="H138" s="278">
        <f t="shared" si="13"/>
        <v>1.0921679370030859</v>
      </c>
      <c r="I138" s="55">
        <f t="shared" si="14"/>
        <v>25158.83382686197</v>
      </c>
    </row>
    <row r="139" spans="1:9" x14ac:dyDescent="0.25">
      <c r="A139" s="49">
        <f>'A) Base RI'!A141</f>
        <v>5631</v>
      </c>
      <c r="B139" s="32" t="str">
        <f>'A) Base RI'!B141</f>
        <v>Denens</v>
      </c>
      <c r="C139" s="95">
        <f>'A) Base RI'!AO141</f>
        <v>742</v>
      </c>
      <c r="D139" s="110">
        <f>'D) Ecrêtage'!E139</f>
        <v>58.564881877279205</v>
      </c>
      <c r="E139" s="34">
        <f t="shared" si="11"/>
        <v>0</v>
      </c>
      <c r="F139" s="277">
        <f t="shared" si="12"/>
        <v>0</v>
      </c>
      <c r="G139" s="33">
        <f>+'A) Base RI'!AN141</f>
        <v>68</v>
      </c>
      <c r="H139" s="278">
        <f t="shared" si="13"/>
        <v>1.0104410845742837</v>
      </c>
      <c r="I139" s="55">
        <f t="shared" si="14"/>
        <v>0</v>
      </c>
    </row>
    <row r="140" spans="1:9" x14ac:dyDescent="0.25">
      <c r="A140" s="49">
        <f>'A) Base RI'!A142</f>
        <v>5632</v>
      </c>
      <c r="B140" s="32" t="str">
        <f>'A) Base RI'!B142</f>
        <v>Denges</v>
      </c>
      <c r="C140" s="95">
        <f>'A) Base RI'!AO142</f>
        <v>1730</v>
      </c>
      <c r="D140" s="110">
        <f>'D) Ecrêtage'!E140</f>
        <v>44.208073279880658</v>
      </c>
      <c r="E140" s="34">
        <f t="shared" si="11"/>
        <v>3.9612801279197498</v>
      </c>
      <c r="F140" s="277">
        <f t="shared" si="12"/>
        <v>114719.46476058156</v>
      </c>
      <c r="G140" s="33">
        <f>+'A) Base RI'!AN142</f>
        <v>62</v>
      </c>
      <c r="H140" s="278">
        <f t="shared" si="13"/>
        <v>0.92128451828831748</v>
      </c>
      <c r="I140" s="55">
        <f t="shared" si="14"/>
        <v>105689.26683024599</v>
      </c>
    </row>
    <row r="141" spans="1:9" x14ac:dyDescent="0.25">
      <c r="A141" s="49">
        <f>'A) Base RI'!A143</f>
        <v>5633</v>
      </c>
      <c r="B141" s="32" t="str">
        <f>'A) Base RI'!B143</f>
        <v>Echandens</v>
      </c>
      <c r="C141" s="95">
        <f>'A) Base RI'!AO143</f>
        <v>2743</v>
      </c>
      <c r="D141" s="110">
        <f>'D) Ecrêtage'!E141</f>
        <v>54.134151242983648</v>
      </c>
      <c r="E141" s="34">
        <f t="shared" si="11"/>
        <v>0</v>
      </c>
      <c r="F141" s="277">
        <f t="shared" si="12"/>
        <v>0</v>
      </c>
      <c r="G141" s="33">
        <f>+'A) Base RI'!AN143</f>
        <v>60.5</v>
      </c>
      <c r="H141" s="278">
        <f t="shared" si="13"/>
        <v>0.89899537671682594</v>
      </c>
      <c r="I141" s="55">
        <f t="shared" si="14"/>
        <v>0</v>
      </c>
    </row>
    <row r="142" spans="1:9" x14ac:dyDescent="0.25">
      <c r="A142" s="49">
        <f>'A) Base RI'!A144</f>
        <v>5634</v>
      </c>
      <c r="B142" s="32" t="str">
        <f>'A) Base RI'!B144</f>
        <v>Echichens</v>
      </c>
      <c r="C142" s="95">
        <f>'A) Base RI'!AO144</f>
        <v>3127</v>
      </c>
      <c r="D142" s="110">
        <f>'D) Ecrêtage'!E142</f>
        <v>52.503229351396932</v>
      </c>
      <c r="E142" s="34">
        <f t="shared" si="11"/>
        <v>0</v>
      </c>
      <c r="F142" s="277">
        <f t="shared" si="12"/>
        <v>0</v>
      </c>
      <c r="G142" s="33">
        <f>+'A) Base RI'!AN144</f>
        <v>66</v>
      </c>
      <c r="H142" s="278">
        <f t="shared" si="13"/>
        <v>0.98072222914562823</v>
      </c>
      <c r="I142" s="55">
        <f t="shared" si="14"/>
        <v>0</v>
      </c>
    </row>
    <row r="143" spans="1:9" x14ac:dyDescent="0.25">
      <c r="A143" s="49">
        <f>'A) Base RI'!A145</f>
        <v>5635</v>
      </c>
      <c r="B143" s="32" t="str">
        <f>'A) Base RI'!B145</f>
        <v>Ecublens</v>
      </c>
      <c r="C143" s="95">
        <f>'A) Base RI'!AO145</f>
        <v>13164</v>
      </c>
      <c r="D143" s="110">
        <f>'D) Ecrêtage'!E143</f>
        <v>51.788164166919891</v>
      </c>
      <c r="E143" s="34">
        <f t="shared" si="11"/>
        <v>0</v>
      </c>
      <c r="F143" s="277">
        <f t="shared" si="12"/>
        <v>0</v>
      </c>
      <c r="G143" s="33">
        <f>+'A) Base RI'!AN145</f>
        <v>62.5</v>
      </c>
      <c r="H143" s="278">
        <f t="shared" si="13"/>
        <v>0.92871423214548132</v>
      </c>
      <c r="I143" s="55">
        <f t="shared" si="14"/>
        <v>0</v>
      </c>
    </row>
    <row r="144" spans="1:9" x14ac:dyDescent="0.25">
      <c r="A144" s="49">
        <f>'A) Base RI'!A146</f>
        <v>5636</v>
      </c>
      <c r="B144" s="32" t="str">
        <f>'A) Base RI'!B146</f>
        <v>Etoy</v>
      </c>
      <c r="C144" s="95">
        <f>'A) Base RI'!AO146</f>
        <v>2909</v>
      </c>
      <c r="D144" s="110">
        <f>'D) Ecrêtage'!E144</f>
        <v>58.685273633551041</v>
      </c>
      <c r="E144" s="34">
        <f t="shared" si="11"/>
        <v>0</v>
      </c>
      <c r="F144" s="277">
        <f t="shared" si="12"/>
        <v>0</v>
      </c>
      <c r="G144" s="33">
        <f>+'A) Base RI'!AN146</f>
        <v>60</v>
      </c>
      <c r="H144" s="278">
        <f t="shared" si="13"/>
        <v>0.89156566285966199</v>
      </c>
      <c r="I144" s="55">
        <f t="shared" si="14"/>
        <v>0</v>
      </c>
    </row>
    <row r="145" spans="1:9" x14ac:dyDescent="0.25">
      <c r="A145" s="49">
        <f>'A) Base RI'!A147</f>
        <v>5637</v>
      </c>
      <c r="B145" s="32" t="str">
        <f>'A) Base RI'!B147</f>
        <v>Lavigny</v>
      </c>
      <c r="C145" s="95">
        <f>'A) Base RI'!AO147</f>
        <v>1008</v>
      </c>
      <c r="D145" s="110">
        <f>'D) Ecrêtage'!E145</f>
        <v>40.867717574472714</v>
      </c>
      <c r="E145" s="34">
        <f t="shared" si="11"/>
        <v>7.3016358333276941</v>
      </c>
      <c r="F145" s="277">
        <f t="shared" si="12"/>
        <v>145066.56421308796</v>
      </c>
      <c r="G145" s="33">
        <f>+'A) Base RI'!AN147</f>
        <v>73</v>
      </c>
      <c r="H145" s="278">
        <f t="shared" si="13"/>
        <v>1.0847382231459222</v>
      </c>
      <c r="I145" s="55">
        <f t="shared" si="14"/>
        <v>157359.24710238885</v>
      </c>
    </row>
    <row r="146" spans="1:9" x14ac:dyDescent="0.25">
      <c r="A146" s="49">
        <f>'A) Base RI'!A148</f>
        <v>5638</v>
      </c>
      <c r="B146" s="32" t="str">
        <f>'A) Base RI'!B148</f>
        <v>Lonay</v>
      </c>
      <c r="C146" s="95">
        <f>'A) Base RI'!AO148</f>
        <v>2679</v>
      </c>
      <c r="D146" s="110">
        <f>'D) Ecrêtage'!E146</f>
        <v>54.307584851878239</v>
      </c>
      <c r="E146" s="34">
        <f t="shared" si="11"/>
        <v>0</v>
      </c>
      <c r="F146" s="277">
        <f t="shared" si="12"/>
        <v>0</v>
      </c>
      <c r="G146" s="33">
        <f>+'A) Base RI'!AN148</f>
        <v>55</v>
      </c>
      <c r="H146" s="278">
        <f t="shared" si="13"/>
        <v>0.81726852428802355</v>
      </c>
      <c r="I146" s="55">
        <f t="shared" si="14"/>
        <v>0</v>
      </c>
    </row>
    <row r="147" spans="1:9" x14ac:dyDescent="0.25">
      <c r="A147" s="49">
        <f>'A) Base RI'!A149</f>
        <v>5639</v>
      </c>
      <c r="B147" s="32" t="str">
        <f>'A) Base RI'!B149</f>
        <v>Lully</v>
      </c>
      <c r="C147" s="95">
        <f>'A) Base RI'!AO149</f>
        <v>825</v>
      </c>
      <c r="D147" s="110">
        <f>'D) Ecrêtage'!E147</f>
        <v>55.300720317933433</v>
      </c>
      <c r="E147" s="34">
        <f t="shared" si="11"/>
        <v>0</v>
      </c>
      <c r="F147" s="277">
        <f t="shared" si="12"/>
        <v>0</v>
      </c>
      <c r="G147" s="33">
        <f>+'A) Base RI'!AN149</f>
        <v>61</v>
      </c>
      <c r="H147" s="278">
        <f t="shared" si="13"/>
        <v>0.90642509057398979</v>
      </c>
      <c r="I147" s="55">
        <f t="shared" si="14"/>
        <v>0</v>
      </c>
    </row>
    <row r="148" spans="1:9" x14ac:dyDescent="0.25">
      <c r="A148" s="49">
        <f>'A) Base RI'!A150</f>
        <v>5640</v>
      </c>
      <c r="B148" s="32" t="str">
        <f>'A) Base RI'!B150</f>
        <v>Lussy-sur-Morges</v>
      </c>
      <c r="C148" s="95">
        <f>'A) Base RI'!AO150</f>
        <v>722</v>
      </c>
      <c r="D148" s="110">
        <f>'D) Ecrêtage'!E148</f>
        <v>78.991042138839916</v>
      </c>
      <c r="E148" s="34">
        <f t="shared" si="11"/>
        <v>0</v>
      </c>
      <c r="F148" s="277">
        <f t="shared" si="12"/>
        <v>0</v>
      </c>
      <c r="G148" s="33">
        <f>+'A) Base RI'!AN150</f>
        <v>66</v>
      </c>
      <c r="H148" s="278">
        <f t="shared" si="13"/>
        <v>0.98072222914562823</v>
      </c>
      <c r="I148" s="55">
        <f t="shared" si="14"/>
        <v>0</v>
      </c>
    </row>
    <row r="149" spans="1:9" x14ac:dyDescent="0.25">
      <c r="A149" s="49">
        <f>'A) Base RI'!A151</f>
        <v>5642</v>
      </c>
      <c r="B149" s="32" t="str">
        <f>'A) Base RI'!B151</f>
        <v>Morges</v>
      </c>
      <c r="C149" s="95">
        <f>'A) Base RI'!AO151</f>
        <v>16095</v>
      </c>
      <c r="D149" s="110">
        <f>'D) Ecrêtage'!E149</f>
        <v>48.929053372466662</v>
      </c>
      <c r="E149" s="34">
        <f t="shared" si="11"/>
        <v>0</v>
      </c>
      <c r="F149" s="277">
        <f t="shared" si="12"/>
        <v>0</v>
      </c>
      <c r="G149" s="33">
        <f>+'A) Base RI'!AN151</f>
        <v>67</v>
      </c>
      <c r="H149" s="278">
        <f t="shared" si="13"/>
        <v>0.99558165685995592</v>
      </c>
      <c r="I149" s="55">
        <f t="shared" si="14"/>
        <v>0</v>
      </c>
    </row>
    <row r="150" spans="1:9" x14ac:dyDescent="0.25">
      <c r="A150" s="49">
        <f>'A) Base RI'!A152</f>
        <v>5643</v>
      </c>
      <c r="B150" s="32" t="str">
        <f>'A) Base RI'!B152</f>
        <v>Préverenges</v>
      </c>
      <c r="C150" s="95">
        <f>'A) Base RI'!AO152</f>
        <v>5241</v>
      </c>
      <c r="D150" s="110">
        <f>'D) Ecrêtage'!E150</f>
        <v>50.054831459645101</v>
      </c>
      <c r="E150" s="34">
        <f t="shared" si="11"/>
        <v>0</v>
      </c>
      <c r="F150" s="277">
        <f t="shared" si="12"/>
        <v>0</v>
      </c>
      <c r="G150" s="33">
        <f>+'A) Base RI'!AN152</f>
        <v>62.5</v>
      </c>
      <c r="H150" s="278">
        <f t="shared" si="13"/>
        <v>0.92871423214548132</v>
      </c>
      <c r="I150" s="55">
        <f t="shared" si="14"/>
        <v>0</v>
      </c>
    </row>
    <row r="151" spans="1:9" x14ac:dyDescent="0.25">
      <c r="A151" s="49">
        <f>'A) Base RI'!A153</f>
        <v>5644</v>
      </c>
      <c r="B151" s="32" t="str">
        <f>'A) Base RI'!B153</f>
        <v>Reverolle</v>
      </c>
      <c r="C151" s="95">
        <f>'A) Base RI'!AO153</f>
        <v>407</v>
      </c>
      <c r="D151" s="110">
        <f>'D) Ecrêtage'!E151</f>
        <v>39.363014808420218</v>
      </c>
      <c r="E151" s="34">
        <f t="shared" si="11"/>
        <v>8.8063385993801901</v>
      </c>
      <c r="F151" s="277">
        <f t="shared" si="12"/>
        <v>71611.912602755794</v>
      </c>
      <c r="G151" s="33">
        <f>+'A) Base RI'!AN153</f>
        <v>74</v>
      </c>
      <c r="H151" s="278">
        <f t="shared" si="13"/>
        <v>1.0995976508602499</v>
      </c>
      <c r="I151" s="55">
        <f t="shared" si="14"/>
        <v>78744.290871599791</v>
      </c>
    </row>
    <row r="152" spans="1:9" x14ac:dyDescent="0.25">
      <c r="A152" s="49">
        <f>'A) Base RI'!A154</f>
        <v>5645</v>
      </c>
      <c r="B152" s="32" t="str">
        <f>'A) Base RI'!B154</f>
        <v>Romanel-sur-Morges</v>
      </c>
      <c r="C152" s="95">
        <f>'A) Base RI'!AO154</f>
        <v>466</v>
      </c>
      <c r="D152" s="110">
        <f>'D) Ecrêtage'!E152</f>
        <v>58.723464515634589</v>
      </c>
      <c r="E152" s="34">
        <f t="shared" si="11"/>
        <v>0</v>
      </c>
      <c r="F152" s="277">
        <f t="shared" si="12"/>
        <v>0</v>
      </c>
      <c r="G152" s="33">
        <f>+'A) Base RI'!AN154</f>
        <v>56</v>
      </c>
      <c r="H152" s="278">
        <f t="shared" si="13"/>
        <v>0.83212795200235123</v>
      </c>
      <c r="I152" s="55">
        <f t="shared" si="14"/>
        <v>0</v>
      </c>
    </row>
    <row r="153" spans="1:9" x14ac:dyDescent="0.25">
      <c r="A153" s="49">
        <f>'A) Base RI'!A155</f>
        <v>5646</v>
      </c>
      <c r="B153" s="32" t="str">
        <f>'A) Base RI'!B155</f>
        <v>Saint-Prex</v>
      </c>
      <c r="C153" s="95">
        <f>'A) Base RI'!AO155</f>
        <v>5865</v>
      </c>
      <c r="D153" s="110">
        <f>'D) Ecrêtage'!E153</f>
        <v>92.257916608540654</v>
      </c>
      <c r="E153" s="34">
        <f t="shared" si="11"/>
        <v>0</v>
      </c>
      <c r="F153" s="277">
        <f t="shared" si="12"/>
        <v>0</v>
      </c>
      <c r="G153" s="33">
        <f>+'A) Base RI'!AN155</f>
        <v>55</v>
      </c>
      <c r="H153" s="278">
        <f t="shared" si="13"/>
        <v>0.81726852428802355</v>
      </c>
      <c r="I153" s="55">
        <f t="shared" si="14"/>
        <v>0</v>
      </c>
    </row>
    <row r="154" spans="1:9" x14ac:dyDescent="0.25">
      <c r="A154" s="49">
        <f>'A) Base RI'!A156</f>
        <v>5648</v>
      </c>
      <c r="B154" s="32" t="str">
        <f>'A) Base RI'!B156</f>
        <v>Saint-Sulpice</v>
      </c>
      <c r="C154" s="95">
        <f>'A) Base RI'!AO156</f>
        <v>4909</v>
      </c>
      <c r="D154" s="110">
        <f>'D) Ecrêtage'!E154</f>
        <v>80.766038259967772</v>
      </c>
      <c r="E154" s="34">
        <f t="shared" si="11"/>
        <v>0</v>
      </c>
      <c r="F154" s="277">
        <f t="shared" si="12"/>
        <v>0</v>
      </c>
      <c r="G154" s="33">
        <f>+'A) Base RI'!AN156</f>
        <v>55</v>
      </c>
      <c r="H154" s="278">
        <f t="shared" si="13"/>
        <v>0.81726852428802355</v>
      </c>
      <c r="I154" s="55">
        <f t="shared" si="14"/>
        <v>0</v>
      </c>
    </row>
    <row r="155" spans="1:9" x14ac:dyDescent="0.25">
      <c r="A155" s="49">
        <f>'A) Base RI'!A157</f>
        <v>5649</v>
      </c>
      <c r="B155" s="32" t="str">
        <f>'A) Base RI'!B157</f>
        <v>Tolochenaz</v>
      </c>
      <c r="C155" s="95">
        <f>'A) Base RI'!AO157</f>
        <v>1889</v>
      </c>
      <c r="D155" s="110">
        <f>'D) Ecrêtage'!E155</f>
        <v>114.10711788899293</v>
      </c>
      <c r="E155" s="34">
        <f t="shared" si="11"/>
        <v>0</v>
      </c>
      <c r="F155" s="277">
        <f t="shared" si="12"/>
        <v>0</v>
      </c>
      <c r="G155" s="33">
        <f>+'A) Base RI'!AN157</f>
        <v>65</v>
      </c>
      <c r="H155" s="278">
        <f t="shared" si="13"/>
        <v>0.96586280143130054</v>
      </c>
      <c r="I155" s="55">
        <f t="shared" si="14"/>
        <v>0</v>
      </c>
    </row>
    <row r="156" spans="1:9" x14ac:dyDescent="0.25">
      <c r="A156" s="49">
        <f>'A) Base RI'!A158</f>
        <v>5650</v>
      </c>
      <c r="B156" s="32" t="str">
        <f>'A) Base RI'!B158</f>
        <v>Vaux-sur-Morges</v>
      </c>
      <c r="C156" s="95">
        <f>'A) Base RI'!AO158</f>
        <v>194</v>
      </c>
      <c r="D156" s="110">
        <f>'D) Ecrêtage'!E156</f>
        <v>324.7547901325479</v>
      </c>
      <c r="E156" s="34">
        <f t="shared" si="11"/>
        <v>0</v>
      </c>
      <c r="F156" s="277">
        <f t="shared" si="12"/>
        <v>0</v>
      </c>
      <c r="G156" s="33">
        <f>+'A) Base RI'!AN158</f>
        <v>56</v>
      </c>
      <c r="H156" s="278">
        <f t="shared" si="13"/>
        <v>0.83212795200235123</v>
      </c>
      <c r="I156" s="55">
        <f t="shared" si="14"/>
        <v>0</v>
      </c>
    </row>
    <row r="157" spans="1:9" x14ac:dyDescent="0.25">
      <c r="A157" s="49">
        <f>'A) Base RI'!A159</f>
        <v>5651</v>
      </c>
      <c r="B157" s="32" t="str">
        <f>'A) Base RI'!B159</f>
        <v>Villars-Sainte-Croix</v>
      </c>
      <c r="C157" s="95">
        <f>'A) Base RI'!AO159</f>
        <v>958</v>
      </c>
      <c r="D157" s="110">
        <f>'D) Ecrêtage'!E157</f>
        <v>58.554791490536424</v>
      </c>
      <c r="E157" s="34">
        <f t="shared" si="11"/>
        <v>0</v>
      </c>
      <c r="F157" s="277">
        <f t="shared" si="12"/>
        <v>0</v>
      </c>
      <c r="G157" s="33">
        <f>+'A) Base RI'!AN159</f>
        <v>60.5</v>
      </c>
      <c r="H157" s="278">
        <f t="shared" si="13"/>
        <v>0.89899537671682594</v>
      </c>
      <c r="I157" s="55">
        <f t="shared" si="14"/>
        <v>0</v>
      </c>
    </row>
    <row r="158" spans="1:9" x14ac:dyDescent="0.25">
      <c r="A158" s="49">
        <f>'A) Base RI'!A160</f>
        <v>5652</v>
      </c>
      <c r="B158" s="32" t="str">
        <f>'A) Base RI'!B160</f>
        <v>Villars-sous-Yens</v>
      </c>
      <c r="C158" s="95">
        <f>'A) Base RI'!AO160</f>
        <v>615</v>
      </c>
      <c r="D158" s="110">
        <f>'D) Ecrêtage'!E158</f>
        <v>41.727287797746399</v>
      </c>
      <c r="E158" s="34">
        <f t="shared" si="11"/>
        <v>6.4420656100540086</v>
      </c>
      <c r="F158" s="277">
        <f t="shared" si="12"/>
        <v>81297.57958575958</v>
      </c>
      <c r="G158" s="33">
        <f>+'A) Base RI'!AN160</f>
        <v>76</v>
      </c>
      <c r="H158" s="278">
        <f t="shared" si="13"/>
        <v>1.1293165062889052</v>
      </c>
      <c r="I158" s="55">
        <f t="shared" si="14"/>
        <v>91810.698547534237</v>
      </c>
    </row>
    <row r="159" spans="1:9" x14ac:dyDescent="0.25">
      <c r="A159" s="49">
        <f>'A) Base RI'!A161</f>
        <v>5653</v>
      </c>
      <c r="B159" s="32" t="str">
        <f>'A) Base RI'!B161</f>
        <v>Vufflens-le-Château</v>
      </c>
      <c r="C159" s="95">
        <f>'A) Base RI'!AO161</f>
        <v>870</v>
      </c>
      <c r="D159" s="110">
        <f>'D) Ecrêtage'!E159</f>
        <v>79.064407505648887</v>
      </c>
      <c r="E159" s="34">
        <f t="shared" si="11"/>
        <v>0</v>
      </c>
      <c r="F159" s="277">
        <f t="shared" si="12"/>
        <v>0</v>
      </c>
      <c r="G159" s="33">
        <f>+'A) Base RI'!AN161</f>
        <v>58.5</v>
      </c>
      <c r="H159" s="278">
        <f t="shared" si="13"/>
        <v>0.86927652128817046</v>
      </c>
      <c r="I159" s="55">
        <f t="shared" si="14"/>
        <v>0</v>
      </c>
    </row>
    <row r="160" spans="1:9" x14ac:dyDescent="0.25">
      <c r="A160" s="49">
        <f>'A) Base RI'!A162</f>
        <v>5654</v>
      </c>
      <c r="B160" s="32" t="str">
        <f>'A) Base RI'!B162</f>
        <v>Vullierens</v>
      </c>
      <c r="C160" s="95">
        <f>'A) Base RI'!AO162</f>
        <v>542</v>
      </c>
      <c r="D160" s="110">
        <f>'D) Ecrêtage'!E160</f>
        <v>35.545939745581663</v>
      </c>
      <c r="E160" s="34">
        <f t="shared" si="11"/>
        <v>12.623413662218745</v>
      </c>
      <c r="F160" s="277">
        <f t="shared" si="12"/>
        <v>140395.58700501092</v>
      </c>
      <c r="G160" s="33">
        <f>+'A) Base RI'!AN162</f>
        <v>76</v>
      </c>
      <c r="H160" s="278">
        <f t="shared" si="13"/>
        <v>1.1293165062889052</v>
      </c>
      <c r="I160" s="55">
        <f t="shared" si="14"/>
        <v>158551.05381487895</v>
      </c>
    </row>
    <row r="161" spans="1:9" x14ac:dyDescent="0.25">
      <c r="A161" s="49">
        <f>'A) Base RI'!A163</f>
        <v>5655</v>
      </c>
      <c r="B161" s="32" t="str">
        <f>'A) Base RI'!B163</f>
        <v>Yens</v>
      </c>
      <c r="C161" s="95">
        <f>'A) Base RI'!AO163</f>
        <v>1480</v>
      </c>
      <c r="D161" s="110">
        <f>'D) Ecrêtage'!E161</f>
        <v>61.44265006615008</v>
      </c>
      <c r="E161" s="34">
        <f t="shared" si="11"/>
        <v>0</v>
      </c>
      <c r="F161" s="277">
        <f t="shared" si="12"/>
        <v>0</v>
      </c>
      <c r="G161" s="33">
        <f>+'A) Base RI'!AN163</f>
        <v>71.5</v>
      </c>
      <c r="H161" s="278">
        <f t="shared" si="13"/>
        <v>1.0624490815744305</v>
      </c>
      <c r="I161" s="55">
        <f t="shared" si="14"/>
        <v>0</v>
      </c>
    </row>
    <row r="162" spans="1:9" x14ac:dyDescent="0.25">
      <c r="A162" s="49">
        <f>'A) Base RI'!A164</f>
        <v>5661</v>
      </c>
      <c r="B162" s="32" t="str">
        <f>'A) Base RI'!B164</f>
        <v>Boulens</v>
      </c>
      <c r="C162" s="95">
        <f>'A) Base RI'!AO164</f>
        <v>369</v>
      </c>
      <c r="D162" s="110">
        <f>'D) Ecrêtage'!E162</f>
        <v>27.555155684423973</v>
      </c>
      <c r="E162" s="34">
        <f t="shared" si="11"/>
        <v>20.614197723376435</v>
      </c>
      <c r="F162" s="277">
        <f t="shared" si="12"/>
        <v>146846.16512136962</v>
      </c>
      <c r="G162" s="33">
        <f>+'A) Base RI'!AN164</f>
        <v>71.5</v>
      </c>
      <c r="H162" s="278">
        <f t="shared" si="13"/>
        <v>1.0624490815744305</v>
      </c>
      <c r="I162" s="55">
        <f t="shared" si="14"/>
        <v>156016.57326592633</v>
      </c>
    </row>
    <row r="163" spans="1:9" x14ac:dyDescent="0.25">
      <c r="A163" s="49">
        <f>'A) Base RI'!A165</f>
        <v>5663</v>
      </c>
      <c r="B163" s="32" t="str">
        <f>'A) Base RI'!B165</f>
        <v>Bussy-sur-Moudon</v>
      </c>
      <c r="C163" s="95">
        <f>'A) Base RI'!AO165</f>
        <v>219</v>
      </c>
      <c r="D163" s="110">
        <f>'D) Ecrêtage'!E163</f>
        <v>24.694650684931506</v>
      </c>
      <c r="E163" s="34">
        <f t="shared" si="11"/>
        <v>23.474702722868901</v>
      </c>
      <c r="F163" s="277">
        <f t="shared" si="12"/>
        <v>111044.73376025906</v>
      </c>
      <c r="G163" s="33">
        <f>+'A) Base RI'!AN165</f>
        <v>80</v>
      </c>
      <c r="H163" s="278">
        <f t="shared" si="13"/>
        <v>1.188754217146216</v>
      </c>
      <c r="I163" s="55">
        <f t="shared" si="14"/>
        <v>132004.89554938674</v>
      </c>
    </row>
    <row r="164" spans="1:9" x14ac:dyDescent="0.25">
      <c r="A164" s="49">
        <f>'A) Base RI'!A166</f>
        <v>5665</v>
      </c>
      <c r="B164" s="32" t="str">
        <f>'A) Base RI'!B166</f>
        <v>Chavannes-sur-Moudon</v>
      </c>
      <c r="C164" s="95">
        <f>'A) Base RI'!AO166</f>
        <v>223</v>
      </c>
      <c r="D164" s="110">
        <f>'D) Ecrêtage'!E164</f>
        <v>30.649426868972299</v>
      </c>
      <c r="E164" s="34">
        <f t="shared" si="11"/>
        <v>17.519926538828109</v>
      </c>
      <c r="F164" s="277">
        <f t="shared" si="12"/>
        <v>77005.858713907364</v>
      </c>
      <c r="G164" s="33">
        <f>+'A) Base RI'!AN166</f>
        <v>73</v>
      </c>
      <c r="H164" s="278">
        <f t="shared" si="13"/>
        <v>1.0847382231459222</v>
      </c>
      <c r="I164" s="55">
        <f t="shared" si="14"/>
        <v>83531.198353149797</v>
      </c>
    </row>
    <row r="165" spans="1:9" x14ac:dyDescent="0.25">
      <c r="A165" s="49">
        <f>'A) Base RI'!A167</f>
        <v>5669</v>
      </c>
      <c r="B165" s="32" t="str">
        <f>'A) Base RI'!B167</f>
        <v>Curtilles</v>
      </c>
      <c r="C165" s="95">
        <f>'A) Base RI'!AO167</f>
        <v>301</v>
      </c>
      <c r="D165" s="110">
        <f>'D) Ecrêtage'!E165</f>
        <v>34.175594593364579</v>
      </c>
      <c r="E165" s="34">
        <f t="shared" si="11"/>
        <v>13.993758814435829</v>
      </c>
      <c r="F165" s="277">
        <f t="shared" si="12"/>
        <v>83020.912855991584</v>
      </c>
      <c r="G165" s="33">
        <f>+'A) Base RI'!AN167</f>
        <v>73</v>
      </c>
      <c r="H165" s="278">
        <f t="shared" si="13"/>
        <v>1.0847382231459222</v>
      </c>
      <c r="I165" s="55">
        <f t="shared" si="14"/>
        <v>90055.957495360752</v>
      </c>
    </row>
    <row r="166" spans="1:9" x14ac:dyDescent="0.25">
      <c r="A166" s="49">
        <f>'A) Base RI'!A168</f>
        <v>5671</v>
      </c>
      <c r="B166" s="32" t="str">
        <f>'A) Base RI'!B168</f>
        <v>Dompierre</v>
      </c>
      <c r="C166" s="95">
        <f>'A) Base RI'!AO168</f>
        <v>245</v>
      </c>
      <c r="D166" s="110">
        <f>'D) Ecrêtage'!E166</f>
        <v>24.628839874411305</v>
      </c>
      <c r="E166" s="34">
        <f t="shared" si="11"/>
        <v>23.540513533389102</v>
      </c>
      <c r="F166" s="277">
        <f t="shared" si="12"/>
        <v>121461.98767822776</v>
      </c>
      <c r="G166" s="33">
        <f>+'A) Base RI'!AN168</f>
        <v>78</v>
      </c>
      <c r="H166" s="278">
        <f t="shared" si="13"/>
        <v>1.1590353617175606</v>
      </c>
      <c r="I166" s="55">
        <f t="shared" si="14"/>
        <v>140778.73882356859</v>
      </c>
    </row>
    <row r="167" spans="1:9" x14ac:dyDescent="0.25">
      <c r="A167" s="49">
        <f>'A) Base RI'!A169</f>
        <v>5673</v>
      </c>
      <c r="B167" s="32" t="str">
        <f>'A) Base RI'!B169</f>
        <v>Hermenches</v>
      </c>
      <c r="C167" s="95">
        <f>'A) Base RI'!AO169</f>
        <v>384</v>
      </c>
      <c r="D167" s="110">
        <f>'D) Ecrêtage'!E167</f>
        <v>27.705021967120185</v>
      </c>
      <c r="E167" s="34">
        <f t="shared" si="11"/>
        <v>20.464331440680223</v>
      </c>
      <c r="F167" s="277">
        <f t="shared" si="12"/>
        <v>155948.02845707483</v>
      </c>
      <c r="G167" s="33">
        <f>+'A) Base RI'!AN169</f>
        <v>73.5</v>
      </c>
      <c r="H167" s="278">
        <f t="shared" si="13"/>
        <v>1.0921679370030859</v>
      </c>
      <c r="I167" s="55">
        <f t="shared" si="14"/>
        <v>170321.43651966195</v>
      </c>
    </row>
    <row r="168" spans="1:9" x14ac:dyDescent="0.25">
      <c r="A168" s="49">
        <f>'A) Base RI'!A170</f>
        <v>5674</v>
      </c>
      <c r="B168" s="32" t="str">
        <f>'A) Base RI'!B170</f>
        <v>Lovatens</v>
      </c>
      <c r="C168" s="95">
        <f>'A) Base RI'!AO170</f>
        <v>142</v>
      </c>
      <c r="D168" s="110">
        <f>'D) Ecrêtage'!E168</f>
        <v>24.160155197853797</v>
      </c>
      <c r="E168" s="34">
        <f t="shared" si="11"/>
        <v>24.009198209946611</v>
      </c>
      <c r="F168" s="277">
        <f t="shared" si="12"/>
        <v>69038.44945270149</v>
      </c>
      <c r="G168" s="33">
        <f>+'A) Base RI'!AN170</f>
        <v>75</v>
      </c>
      <c r="H168" s="278">
        <f t="shared" si="13"/>
        <v>1.1144570785745775</v>
      </c>
      <c r="I168" s="55">
        <f t="shared" si="14"/>
        <v>76940.388686376347</v>
      </c>
    </row>
    <row r="169" spans="1:9" x14ac:dyDescent="0.25">
      <c r="A169" s="49">
        <f>'A) Base RI'!A171</f>
        <v>5675</v>
      </c>
      <c r="B169" s="32" t="str">
        <f>'A) Base RI'!B171</f>
        <v>Lucens</v>
      </c>
      <c r="C169" s="95">
        <f>'A) Base RI'!AO171</f>
        <v>4309</v>
      </c>
      <c r="D169" s="110">
        <f>'D) Ecrêtage'!E169</f>
        <v>22.546813580220864</v>
      </c>
      <c r="E169" s="34">
        <f t="shared" si="11"/>
        <v>25.622539827579544</v>
      </c>
      <c r="F169" s="277">
        <f t="shared" si="12"/>
        <v>2012177.1270330588</v>
      </c>
      <c r="G169" s="33">
        <f>+'A) Base RI'!AN171</f>
        <v>67.5</v>
      </c>
      <c r="H169" s="278">
        <f t="shared" si="13"/>
        <v>1.0030113707171198</v>
      </c>
      <c r="I169" s="55">
        <f t="shared" si="14"/>
        <v>2018236.5383110642</v>
      </c>
    </row>
    <row r="170" spans="1:9" x14ac:dyDescent="0.25">
      <c r="A170" s="49">
        <f>'A) Base RI'!A172</f>
        <v>5678</v>
      </c>
      <c r="B170" s="32" t="str">
        <f>'A) Base RI'!B172</f>
        <v>Moudon</v>
      </c>
      <c r="C170" s="95">
        <f>'A) Base RI'!AO172</f>
        <v>6109</v>
      </c>
      <c r="D170" s="110">
        <f>'D) Ecrêtage'!E170</f>
        <v>20.455953285429636</v>
      </c>
      <c r="E170" s="34">
        <f t="shared" si="11"/>
        <v>27.713400122370771</v>
      </c>
      <c r="F170" s="277">
        <f t="shared" si="12"/>
        <v>3314070.2333785463</v>
      </c>
      <c r="G170" s="33">
        <f>+'A) Base RI'!AN172</f>
        <v>72.5</v>
      </c>
      <c r="H170" s="278">
        <f t="shared" si="13"/>
        <v>1.0773085092887582</v>
      </c>
      <c r="I170" s="55">
        <f t="shared" si="14"/>
        <v>3570276.0627992889</v>
      </c>
    </row>
    <row r="171" spans="1:9" x14ac:dyDescent="0.25">
      <c r="A171" s="49">
        <f>'A) Base RI'!A173</f>
        <v>5680</v>
      </c>
      <c r="B171" s="32" t="str">
        <f>'A) Base RI'!B173</f>
        <v>Ogens</v>
      </c>
      <c r="C171" s="95">
        <f>'A) Base RI'!AO173</f>
        <v>301</v>
      </c>
      <c r="D171" s="110">
        <f>'D) Ecrêtage'!E171</f>
        <v>28.820814663372804</v>
      </c>
      <c r="E171" s="34">
        <f t="shared" si="11"/>
        <v>19.348538744427604</v>
      </c>
      <c r="F171" s="277">
        <f t="shared" si="12"/>
        <v>122651.54801325125</v>
      </c>
      <c r="G171" s="33">
        <f>+'A) Base RI'!AN173</f>
        <v>78</v>
      </c>
      <c r="H171" s="278">
        <f t="shared" si="13"/>
        <v>1.1590353617175606</v>
      </c>
      <c r="I171" s="55">
        <f t="shared" si="14"/>
        <v>142157.48131675742</v>
      </c>
    </row>
    <row r="172" spans="1:9" x14ac:dyDescent="0.25">
      <c r="A172" s="49">
        <f>'A) Base RI'!A174</f>
        <v>5683</v>
      </c>
      <c r="B172" s="32" t="str">
        <f>'A) Base RI'!B174</f>
        <v>Prévonloup</v>
      </c>
      <c r="C172" s="95">
        <f>'A) Base RI'!AO174</f>
        <v>202</v>
      </c>
      <c r="D172" s="110">
        <f>'D) Ecrêtage'!E172</f>
        <v>24.782318197336977</v>
      </c>
      <c r="E172" s="34">
        <f t="shared" si="11"/>
        <v>23.387035210463431</v>
      </c>
      <c r="F172" s="277">
        <f t="shared" si="12"/>
        <v>92475.845277453976</v>
      </c>
      <c r="G172" s="33">
        <f>+'A) Base RI'!AN174</f>
        <v>72.5</v>
      </c>
      <c r="H172" s="278">
        <f t="shared" si="13"/>
        <v>1.0773085092887582</v>
      </c>
      <c r="I172" s="55">
        <f t="shared" si="14"/>
        <v>99625.015021071798</v>
      </c>
    </row>
    <row r="173" spans="1:9" x14ac:dyDescent="0.25">
      <c r="A173" s="49">
        <f>'A) Base RI'!A175</f>
        <v>5684</v>
      </c>
      <c r="B173" s="32" t="str">
        <f>'A) Base RI'!B175</f>
        <v>Rossenges</v>
      </c>
      <c r="C173" s="95">
        <f>'A) Base RI'!AO175</f>
        <v>84</v>
      </c>
      <c r="D173" s="110">
        <f>'D) Ecrêtage'!E173</f>
        <v>51.610992857142868</v>
      </c>
      <c r="E173" s="34">
        <f t="shared" si="11"/>
        <v>0</v>
      </c>
      <c r="F173" s="277">
        <f t="shared" si="12"/>
        <v>0</v>
      </c>
      <c r="G173" s="33">
        <f>+'A) Base RI'!AN175</f>
        <v>75</v>
      </c>
      <c r="H173" s="278">
        <f t="shared" si="13"/>
        <v>1.1144570785745775</v>
      </c>
      <c r="I173" s="55">
        <f t="shared" si="14"/>
        <v>0</v>
      </c>
    </row>
    <row r="174" spans="1:9" x14ac:dyDescent="0.25">
      <c r="A174" s="49">
        <f>'A) Base RI'!A176</f>
        <v>5688</v>
      </c>
      <c r="B174" s="32" t="str">
        <f>'A) Base RI'!B176</f>
        <v>Syens</v>
      </c>
      <c r="C174" s="95">
        <f>'A) Base RI'!AO176</f>
        <v>156</v>
      </c>
      <c r="D174" s="110">
        <f>'D) Ecrêtage'!E174</f>
        <v>32.654336250169585</v>
      </c>
      <c r="E174" s="34">
        <f t="shared" si="11"/>
        <v>15.515017157630822</v>
      </c>
      <c r="F174" s="277">
        <f t="shared" si="12"/>
        <v>49404.034714563408</v>
      </c>
      <c r="G174" s="33">
        <f>+'A) Base RI'!AN176</f>
        <v>75.599999999999994</v>
      </c>
      <c r="H174" s="278">
        <f t="shared" si="13"/>
        <v>1.1233727352031742</v>
      </c>
      <c r="I174" s="55">
        <f t="shared" si="14"/>
        <v>55499.145607371662</v>
      </c>
    </row>
    <row r="175" spans="1:9" x14ac:dyDescent="0.25">
      <c r="A175" s="49">
        <f>'A) Base RI'!A177</f>
        <v>5690</v>
      </c>
      <c r="B175" s="32" t="str">
        <f>'A) Base RI'!B177</f>
        <v>Villars-le-Comte</v>
      </c>
      <c r="C175" s="95">
        <f>'A) Base RI'!AO177</f>
        <v>120</v>
      </c>
      <c r="D175" s="110">
        <f>'D) Ecrêtage'!E175</f>
        <v>29.031490476190477</v>
      </c>
      <c r="E175" s="34">
        <f t="shared" si="11"/>
        <v>19.137862931609931</v>
      </c>
      <c r="F175" s="277">
        <f t="shared" si="12"/>
        <v>43404.673128891329</v>
      </c>
      <c r="G175" s="33">
        <f>+'A) Base RI'!AN177</f>
        <v>70</v>
      </c>
      <c r="H175" s="278">
        <f t="shared" si="13"/>
        <v>1.0401599400029391</v>
      </c>
      <c r="I175" s="55">
        <f t="shared" si="14"/>
        <v>45147.802197594785</v>
      </c>
    </row>
    <row r="176" spans="1:9" x14ac:dyDescent="0.25">
      <c r="A176" s="49">
        <f>'A) Base RI'!A178</f>
        <v>5692</v>
      </c>
      <c r="B176" s="32" t="str">
        <f>'A) Base RI'!B178</f>
        <v>Vucherens</v>
      </c>
      <c r="C176" s="95">
        <f>'A) Base RI'!AO178</f>
        <v>617</v>
      </c>
      <c r="D176" s="110">
        <f>'D) Ecrêtage'!E176</f>
        <v>29.310464122587309</v>
      </c>
      <c r="E176" s="34">
        <f t="shared" si="11"/>
        <v>18.858889285213099</v>
      </c>
      <c r="F176" s="277">
        <f t="shared" si="12"/>
        <v>241911.08218382107</v>
      </c>
      <c r="G176" s="33">
        <f>+'A) Base RI'!AN178</f>
        <v>77</v>
      </c>
      <c r="H176" s="278">
        <f t="shared" si="13"/>
        <v>1.1441759340032329</v>
      </c>
      <c r="I176" s="55">
        <f t="shared" si="14"/>
        <v>276788.83840340632</v>
      </c>
    </row>
    <row r="177" spans="1:9" x14ac:dyDescent="0.25">
      <c r="A177" s="49">
        <f>'A) Base RI'!A179</f>
        <v>5693</v>
      </c>
      <c r="B177" s="32" t="str">
        <f>'A) Base RI'!B179</f>
        <v>Montanaire</v>
      </c>
      <c r="C177" s="95">
        <f>'A) Base RI'!AO179</f>
        <v>2782</v>
      </c>
      <c r="D177" s="110">
        <f>'D) Ecrêtage'!E177</f>
        <v>25.564534557472641</v>
      </c>
      <c r="E177" s="34">
        <f t="shared" si="11"/>
        <v>22.604818850327767</v>
      </c>
      <c r="F177" s="277">
        <f t="shared" si="12"/>
        <v>1222515.6214489343</v>
      </c>
      <c r="G177" s="33">
        <f>+'A) Base RI'!AN179</f>
        <v>72</v>
      </c>
      <c r="H177" s="278">
        <f t="shared" si="13"/>
        <v>1.0698787954315945</v>
      </c>
      <c r="I177" s="55">
        <f t="shared" si="14"/>
        <v>1307943.540472093</v>
      </c>
    </row>
    <row r="178" spans="1:9" x14ac:dyDescent="0.25">
      <c r="A178" s="49">
        <f>'A) Base RI'!A180</f>
        <v>5701</v>
      </c>
      <c r="B178" s="32" t="str">
        <f>'A) Base RI'!B180</f>
        <v>Arnex-sur-Nyon</v>
      </c>
      <c r="C178" s="95">
        <f>'A) Base RI'!AO180</f>
        <v>240</v>
      </c>
      <c r="D178" s="110">
        <f>'D) Ecrêtage'!E178</f>
        <v>52.414132142857149</v>
      </c>
      <c r="E178" s="34">
        <f t="shared" si="11"/>
        <v>0</v>
      </c>
      <c r="F178" s="277">
        <f t="shared" si="12"/>
        <v>0</v>
      </c>
      <c r="G178" s="33">
        <f>+'A) Base RI'!AN180</f>
        <v>70</v>
      </c>
      <c r="H178" s="278">
        <f t="shared" si="13"/>
        <v>1.0401599400029391</v>
      </c>
      <c r="I178" s="55">
        <f t="shared" si="14"/>
        <v>0</v>
      </c>
    </row>
    <row r="179" spans="1:9" x14ac:dyDescent="0.25">
      <c r="A179" s="49">
        <f>'A) Base RI'!A181</f>
        <v>5702</v>
      </c>
      <c r="B179" s="32" t="str">
        <f>'A) Base RI'!B181</f>
        <v>Arzier-Le Muids</v>
      </c>
      <c r="C179" s="95">
        <f>'A) Base RI'!AO181</f>
        <v>2912</v>
      </c>
      <c r="D179" s="110">
        <f>'D) Ecrêtage'!E179</f>
        <v>57.606839675623853</v>
      </c>
      <c r="E179" s="34">
        <f t="shared" si="11"/>
        <v>0</v>
      </c>
      <c r="F179" s="277">
        <f t="shared" si="12"/>
        <v>0</v>
      </c>
      <c r="G179" s="33">
        <f>+'A) Base RI'!AN181</f>
        <v>64</v>
      </c>
      <c r="H179" s="278">
        <f t="shared" si="13"/>
        <v>0.95100337371697286</v>
      </c>
      <c r="I179" s="55">
        <f t="shared" si="14"/>
        <v>0</v>
      </c>
    </row>
    <row r="180" spans="1:9" x14ac:dyDescent="0.25">
      <c r="A180" s="49">
        <f>'A) Base RI'!A182</f>
        <v>5703</v>
      </c>
      <c r="B180" s="32" t="str">
        <f>'A) Base RI'!B182</f>
        <v>Bassins</v>
      </c>
      <c r="C180" s="95">
        <f>'A) Base RI'!AO182</f>
        <v>1475</v>
      </c>
      <c r="D180" s="110">
        <f>'D) Ecrêtage'!E180</f>
        <v>45.358890820739752</v>
      </c>
      <c r="E180" s="34">
        <f t="shared" si="11"/>
        <v>2.8104625870606554</v>
      </c>
      <c r="F180" s="277">
        <f t="shared" si="12"/>
        <v>81146.837584025692</v>
      </c>
      <c r="G180" s="33">
        <f>+'A) Base RI'!AN182</f>
        <v>72.5</v>
      </c>
      <c r="H180" s="278">
        <f t="shared" si="13"/>
        <v>1.0773085092887582</v>
      </c>
      <c r="I180" s="55">
        <f t="shared" si="14"/>
        <v>87420.178631143703</v>
      </c>
    </row>
    <row r="181" spans="1:9" x14ac:dyDescent="0.25">
      <c r="A181" s="49">
        <f>'A) Base RI'!A183</f>
        <v>5704</v>
      </c>
      <c r="B181" s="32" t="str">
        <f>'A) Base RI'!B183</f>
        <v>Begnins</v>
      </c>
      <c r="C181" s="95">
        <f>'A) Base RI'!AO183</f>
        <v>1928</v>
      </c>
      <c r="D181" s="110">
        <f>'D) Ecrêtage'!E181</f>
        <v>73.412237952973712</v>
      </c>
      <c r="E181" s="34">
        <f t="shared" si="11"/>
        <v>0</v>
      </c>
      <c r="F181" s="277">
        <f t="shared" si="12"/>
        <v>0</v>
      </c>
      <c r="G181" s="33">
        <f>+'A) Base RI'!AN183</f>
        <v>62.5</v>
      </c>
      <c r="H181" s="278">
        <f t="shared" si="13"/>
        <v>0.92871423214548132</v>
      </c>
      <c r="I181" s="55">
        <f t="shared" si="14"/>
        <v>0</v>
      </c>
    </row>
    <row r="182" spans="1:9" x14ac:dyDescent="0.25">
      <c r="A182" s="49">
        <f>'A) Base RI'!A184</f>
        <v>5705</v>
      </c>
      <c r="B182" s="32" t="str">
        <f>'A) Base RI'!B184</f>
        <v>Bogis-Bossey</v>
      </c>
      <c r="C182" s="95">
        <f>'A) Base RI'!AO184</f>
        <v>835</v>
      </c>
      <c r="D182" s="110">
        <f>'D) Ecrêtage'!E182</f>
        <v>67.244249166097333</v>
      </c>
      <c r="E182" s="34">
        <f t="shared" si="11"/>
        <v>0</v>
      </c>
      <c r="F182" s="277">
        <f t="shared" si="12"/>
        <v>0</v>
      </c>
      <c r="G182" s="33">
        <f>+'A) Base RI'!AN184</f>
        <v>74.5</v>
      </c>
      <c r="H182" s="278">
        <f t="shared" si="13"/>
        <v>1.1070273647174138</v>
      </c>
      <c r="I182" s="55">
        <f t="shared" si="14"/>
        <v>0</v>
      </c>
    </row>
    <row r="183" spans="1:9" x14ac:dyDescent="0.25">
      <c r="A183" s="49">
        <f>'A) Base RI'!A185</f>
        <v>5706</v>
      </c>
      <c r="B183" s="32" t="str">
        <f>'A) Base RI'!B185</f>
        <v>Borex</v>
      </c>
      <c r="C183" s="95">
        <f>'A) Base RI'!AO185</f>
        <v>1157</v>
      </c>
      <c r="D183" s="110">
        <f>'D) Ecrêtage'!E183</f>
        <v>72.651432015648453</v>
      </c>
      <c r="E183" s="34">
        <f t="shared" si="11"/>
        <v>0</v>
      </c>
      <c r="F183" s="277">
        <f t="shared" si="12"/>
        <v>0</v>
      </c>
      <c r="G183" s="33">
        <f>+'A) Base RI'!AN185</f>
        <v>57</v>
      </c>
      <c r="H183" s="278">
        <f t="shared" si="13"/>
        <v>0.84698737971667892</v>
      </c>
      <c r="I183" s="55">
        <f t="shared" si="14"/>
        <v>0</v>
      </c>
    </row>
    <row r="184" spans="1:9" x14ac:dyDescent="0.25">
      <c r="A184" s="49">
        <f>'A) Base RI'!A186</f>
        <v>5707</v>
      </c>
      <c r="B184" s="32" t="str">
        <f>'A) Base RI'!B186</f>
        <v>Chavannes-de-Bogis</v>
      </c>
      <c r="C184" s="95">
        <f>'A) Base RI'!AO186</f>
        <v>1329</v>
      </c>
      <c r="D184" s="110">
        <f>'D) Ecrêtage'!E184</f>
        <v>61.576614341437242</v>
      </c>
      <c r="E184" s="34">
        <f t="shared" si="11"/>
        <v>0</v>
      </c>
      <c r="F184" s="277">
        <f t="shared" si="12"/>
        <v>0</v>
      </c>
      <c r="G184" s="33">
        <f>+'A) Base RI'!AN186</f>
        <v>58</v>
      </c>
      <c r="H184" s="278">
        <f t="shared" si="13"/>
        <v>0.86184680743100661</v>
      </c>
      <c r="I184" s="55">
        <f t="shared" si="14"/>
        <v>0</v>
      </c>
    </row>
    <row r="185" spans="1:9" x14ac:dyDescent="0.25">
      <c r="A185" s="49">
        <f>'A) Base RI'!A187</f>
        <v>5708</v>
      </c>
      <c r="B185" s="32" t="str">
        <f>'A) Base RI'!B187</f>
        <v>Chavannes-des-Bois</v>
      </c>
      <c r="C185" s="95">
        <f>'A) Base RI'!AO187</f>
        <v>1013</v>
      </c>
      <c r="D185" s="110">
        <f>'D) Ecrêtage'!E185</f>
        <v>66.393003745427094</v>
      </c>
      <c r="E185" s="34">
        <f t="shared" si="11"/>
        <v>0</v>
      </c>
      <c r="F185" s="277">
        <f t="shared" si="12"/>
        <v>0</v>
      </c>
      <c r="G185" s="33">
        <f>+'A) Base RI'!AN187</f>
        <v>68</v>
      </c>
      <c r="H185" s="278">
        <f t="shared" si="13"/>
        <v>1.0104410845742837</v>
      </c>
      <c r="I185" s="55">
        <f t="shared" si="14"/>
        <v>0</v>
      </c>
    </row>
    <row r="186" spans="1:9" x14ac:dyDescent="0.25">
      <c r="A186" s="49">
        <f>'A) Base RI'!A188</f>
        <v>5709</v>
      </c>
      <c r="B186" s="32" t="str">
        <f>'A) Base RI'!B188</f>
        <v>Chéserex</v>
      </c>
      <c r="C186" s="95">
        <f>'A) Base RI'!AO188</f>
        <v>1248</v>
      </c>
      <c r="D186" s="110">
        <f>'D) Ecrêtage'!E186</f>
        <v>78.019283906882578</v>
      </c>
      <c r="E186" s="34">
        <f t="shared" si="11"/>
        <v>0</v>
      </c>
      <c r="F186" s="277">
        <f t="shared" si="12"/>
        <v>0</v>
      </c>
      <c r="G186" s="33">
        <f>+'A) Base RI'!AN188</f>
        <v>57</v>
      </c>
      <c r="H186" s="278">
        <f t="shared" si="13"/>
        <v>0.84698737971667892</v>
      </c>
      <c r="I186" s="55">
        <f t="shared" si="14"/>
        <v>0</v>
      </c>
    </row>
    <row r="187" spans="1:9" x14ac:dyDescent="0.25">
      <c r="A187" s="49">
        <f>'A) Base RI'!A189</f>
        <v>5710</v>
      </c>
      <c r="B187" s="32" t="str">
        <f>'A) Base RI'!B189</f>
        <v>Coinsins</v>
      </c>
      <c r="C187" s="95">
        <f>'A) Base RI'!AO189</f>
        <v>509</v>
      </c>
      <c r="D187" s="110">
        <f>'D) Ecrêtage'!E187</f>
        <v>80.764175430486532</v>
      </c>
      <c r="E187" s="34">
        <f t="shared" si="11"/>
        <v>0</v>
      </c>
      <c r="F187" s="277">
        <f t="shared" si="12"/>
        <v>0</v>
      </c>
      <c r="G187" s="33">
        <f>+'A) Base RI'!AN189</f>
        <v>51</v>
      </c>
      <c r="H187" s="278">
        <f t="shared" si="13"/>
        <v>0.75783081343071279</v>
      </c>
      <c r="I187" s="55">
        <f t="shared" si="14"/>
        <v>0</v>
      </c>
    </row>
    <row r="188" spans="1:9" x14ac:dyDescent="0.25">
      <c r="A188" s="49">
        <f>'A) Base RI'!A190</f>
        <v>5711</v>
      </c>
      <c r="B188" s="32" t="str">
        <f>'A) Base RI'!B190</f>
        <v>Commugny</v>
      </c>
      <c r="C188" s="95">
        <f>'A) Base RI'!AO190</f>
        <v>2997</v>
      </c>
      <c r="D188" s="110">
        <f>'D) Ecrêtage'!E188</f>
        <v>84.341899552590249</v>
      </c>
      <c r="E188" s="34">
        <f t="shared" si="11"/>
        <v>0</v>
      </c>
      <c r="F188" s="277">
        <f t="shared" si="12"/>
        <v>0</v>
      </c>
      <c r="G188" s="33">
        <f>+'A) Base RI'!AN190</f>
        <v>55.5</v>
      </c>
      <c r="H188" s="278">
        <f t="shared" si="13"/>
        <v>0.82469823814518739</v>
      </c>
      <c r="I188" s="55">
        <f t="shared" si="14"/>
        <v>0</v>
      </c>
    </row>
    <row r="189" spans="1:9" x14ac:dyDescent="0.25">
      <c r="A189" s="49">
        <f>'A) Base RI'!A191</f>
        <v>5712</v>
      </c>
      <c r="B189" s="32" t="str">
        <f>'A) Base RI'!B191</f>
        <v>Coppet</v>
      </c>
      <c r="C189" s="95">
        <f>'A) Base RI'!AO191</f>
        <v>3247</v>
      </c>
      <c r="D189" s="110">
        <f>'D) Ecrêtage'!E189</f>
        <v>117.64831643335988</v>
      </c>
      <c r="E189" s="34">
        <f t="shared" si="11"/>
        <v>0</v>
      </c>
      <c r="F189" s="277">
        <f t="shared" si="12"/>
        <v>0</v>
      </c>
      <c r="G189" s="33">
        <f>+'A) Base RI'!AN191</f>
        <v>53</v>
      </c>
      <c r="H189" s="278">
        <f t="shared" si="13"/>
        <v>0.78754966885936817</v>
      </c>
      <c r="I189" s="55">
        <f t="shared" si="14"/>
        <v>0</v>
      </c>
    </row>
    <row r="190" spans="1:9" x14ac:dyDescent="0.25">
      <c r="A190" s="49">
        <f>'A) Base RI'!A192</f>
        <v>5713</v>
      </c>
      <c r="B190" s="32" t="str">
        <f>'A) Base RI'!B192</f>
        <v>Crans-près-Céligny</v>
      </c>
      <c r="C190" s="95">
        <f>'A) Base RI'!AO192</f>
        <v>2340</v>
      </c>
      <c r="D190" s="110">
        <f>'D) Ecrêtage'!E190</f>
        <v>131.90975648656897</v>
      </c>
      <c r="E190" s="34">
        <f t="shared" si="11"/>
        <v>0</v>
      </c>
      <c r="F190" s="277">
        <f t="shared" si="12"/>
        <v>0</v>
      </c>
      <c r="G190" s="33">
        <f>+'A) Base RI'!AN192</f>
        <v>56</v>
      </c>
      <c r="H190" s="278">
        <f t="shared" si="13"/>
        <v>0.83212795200235123</v>
      </c>
      <c r="I190" s="55">
        <f t="shared" si="14"/>
        <v>0</v>
      </c>
    </row>
    <row r="191" spans="1:9" x14ac:dyDescent="0.25">
      <c r="A191" s="49">
        <f>'A) Base RI'!A193</f>
        <v>5714</v>
      </c>
      <c r="B191" s="32" t="str">
        <f>'A) Base RI'!B193</f>
        <v>Crassier</v>
      </c>
      <c r="C191" s="95">
        <f>'A) Base RI'!AO193</f>
        <v>1174</v>
      </c>
      <c r="D191" s="110">
        <f>'D) Ecrêtage'!E191</f>
        <v>45.510810577212141</v>
      </c>
      <c r="E191" s="34">
        <f t="shared" si="11"/>
        <v>2.6585428305882672</v>
      </c>
      <c r="F191" s="277">
        <f t="shared" si="12"/>
        <v>57303.93363791109</v>
      </c>
      <c r="G191" s="33">
        <f>+'A) Base RI'!AN193</f>
        <v>68</v>
      </c>
      <c r="H191" s="278">
        <f t="shared" si="13"/>
        <v>1.0104410845742837</v>
      </c>
      <c r="I191" s="55">
        <f t="shared" si="14"/>
        <v>57902.248855463658</v>
      </c>
    </row>
    <row r="192" spans="1:9" x14ac:dyDescent="0.25">
      <c r="A192" s="49">
        <f>'A) Base RI'!A194</f>
        <v>5715</v>
      </c>
      <c r="B192" s="32" t="str">
        <f>'A) Base RI'!B194</f>
        <v>Duillier</v>
      </c>
      <c r="C192" s="95">
        <f>'A) Base RI'!AO194</f>
        <v>1128</v>
      </c>
      <c r="D192" s="110">
        <f>'D) Ecrêtage'!E192</f>
        <v>54.586626101439926</v>
      </c>
      <c r="E192" s="34">
        <f t="shared" si="11"/>
        <v>0</v>
      </c>
      <c r="F192" s="277">
        <f t="shared" si="12"/>
        <v>0</v>
      </c>
      <c r="G192" s="33">
        <f>+'A) Base RI'!AN194</f>
        <v>66</v>
      </c>
      <c r="H192" s="278">
        <f t="shared" si="13"/>
        <v>0.98072222914562823</v>
      </c>
      <c r="I192" s="55">
        <f t="shared" si="14"/>
        <v>0</v>
      </c>
    </row>
    <row r="193" spans="1:9" x14ac:dyDescent="0.25">
      <c r="A193" s="49">
        <f>'A) Base RI'!A195</f>
        <v>5716</v>
      </c>
      <c r="B193" s="32" t="str">
        <f>'A) Base RI'!B195</f>
        <v>Eysins</v>
      </c>
      <c r="C193" s="95">
        <f>'A) Base RI'!AO195</f>
        <v>1740</v>
      </c>
      <c r="D193" s="110">
        <f>'D) Ecrêtage'!E193</f>
        <v>179.02265488264274</v>
      </c>
      <c r="E193" s="34">
        <f t="shared" si="11"/>
        <v>0</v>
      </c>
      <c r="F193" s="277">
        <f t="shared" si="12"/>
        <v>0</v>
      </c>
      <c r="G193" s="33">
        <f>+'A) Base RI'!AN195</f>
        <v>59.5</v>
      </c>
      <c r="H193" s="278">
        <f t="shared" si="13"/>
        <v>0.88413594900249814</v>
      </c>
      <c r="I193" s="55">
        <f t="shared" si="14"/>
        <v>0</v>
      </c>
    </row>
    <row r="194" spans="1:9" x14ac:dyDescent="0.25">
      <c r="A194" s="49">
        <f>'A) Base RI'!A196</f>
        <v>5717</v>
      </c>
      <c r="B194" s="32" t="str">
        <f>'A) Base RI'!B196</f>
        <v>Founex</v>
      </c>
      <c r="C194" s="95">
        <f>'A) Base RI'!AO196</f>
        <v>3834</v>
      </c>
      <c r="D194" s="110">
        <f>'D) Ecrêtage'!E194</f>
        <v>100.88722020884239</v>
      </c>
      <c r="E194" s="34">
        <f t="shared" si="11"/>
        <v>0</v>
      </c>
      <c r="F194" s="277">
        <f t="shared" si="12"/>
        <v>0</v>
      </c>
      <c r="G194" s="33">
        <f>+'A) Base RI'!AN196</f>
        <v>57</v>
      </c>
      <c r="H194" s="278">
        <f t="shared" si="13"/>
        <v>0.84698737971667892</v>
      </c>
      <c r="I194" s="55">
        <f t="shared" si="14"/>
        <v>0</v>
      </c>
    </row>
    <row r="195" spans="1:9" x14ac:dyDescent="0.25">
      <c r="A195" s="49">
        <f>'A) Base RI'!A197</f>
        <v>5718</v>
      </c>
      <c r="B195" s="32" t="str">
        <f>'A) Base RI'!B197</f>
        <v>Genolier</v>
      </c>
      <c r="C195" s="95">
        <f>'A) Base RI'!AO197</f>
        <v>1996</v>
      </c>
      <c r="D195" s="110">
        <f>'D) Ecrêtage'!E195</f>
        <v>122.78671306248862</v>
      </c>
      <c r="E195" s="34">
        <f t="shared" si="11"/>
        <v>0</v>
      </c>
      <c r="F195" s="277">
        <f t="shared" si="12"/>
        <v>0</v>
      </c>
      <c r="G195" s="33">
        <f>+'A) Base RI'!AN197</f>
        <v>55</v>
      </c>
      <c r="H195" s="278">
        <f t="shared" si="13"/>
        <v>0.81726852428802355</v>
      </c>
      <c r="I195" s="55">
        <f t="shared" si="14"/>
        <v>0</v>
      </c>
    </row>
    <row r="196" spans="1:9" x14ac:dyDescent="0.25">
      <c r="A196" s="49">
        <f>'A) Base RI'!A198</f>
        <v>5719</v>
      </c>
      <c r="B196" s="32" t="str">
        <f>'A) Base RI'!B198</f>
        <v>Gingins</v>
      </c>
      <c r="C196" s="95">
        <f>'A) Base RI'!AO198</f>
        <v>1257</v>
      </c>
      <c r="D196" s="110">
        <f>'D) Ecrêtage'!E196</f>
        <v>115.95975817294494</v>
      </c>
      <c r="E196" s="34">
        <f t="shared" si="11"/>
        <v>0</v>
      </c>
      <c r="F196" s="277">
        <f t="shared" si="12"/>
        <v>0</v>
      </c>
      <c r="G196" s="33">
        <f>+'A) Base RI'!AN198</f>
        <v>57</v>
      </c>
      <c r="H196" s="278">
        <f t="shared" si="13"/>
        <v>0.84698737971667892</v>
      </c>
      <c r="I196" s="55">
        <f t="shared" si="14"/>
        <v>0</v>
      </c>
    </row>
    <row r="197" spans="1:9" x14ac:dyDescent="0.25">
      <c r="A197" s="49">
        <f>'A) Base RI'!A199</f>
        <v>5720</v>
      </c>
      <c r="B197" s="32" t="str">
        <f>'A) Base RI'!B199</f>
        <v>Givrins</v>
      </c>
      <c r="C197" s="95">
        <f>'A) Base RI'!AO199</f>
        <v>1031</v>
      </c>
      <c r="D197" s="110">
        <f>'D) Ecrêtage'!E197</f>
        <v>81.641372011587706</v>
      </c>
      <c r="E197" s="34">
        <f t="shared" si="11"/>
        <v>0</v>
      </c>
      <c r="F197" s="277">
        <f t="shared" si="12"/>
        <v>0</v>
      </c>
      <c r="G197" s="33">
        <f>+'A) Base RI'!AN199</f>
        <v>67</v>
      </c>
      <c r="H197" s="278">
        <f t="shared" si="13"/>
        <v>0.99558165685995592</v>
      </c>
      <c r="I197" s="55">
        <f t="shared" si="14"/>
        <v>0</v>
      </c>
    </row>
    <row r="198" spans="1:9" x14ac:dyDescent="0.25">
      <c r="A198" s="49">
        <f>'A) Base RI'!A200</f>
        <v>5721</v>
      </c>
      <c r="B198" s="32" t="str">
        <f>'A) Base RI'!B200</f>
        <v>Gland</v>
      </c>
      <c r="C198" s="95">
        <f>'A) Base RI'!AO200</f>
        <v>13243</v>
      </c>
      <c r="D198" s="110">
        <f>'D) Ecrêtage'!E198</f>
        <v>49.166128557864795</v>
      </c>
      <c r="E198" s="34">
        <f t="shared" ref="E198:E261" si="15">IF($D$314-D198&lt;0,0,$D$314-D198)</f>
        <v>0</v>
      </c>
      <c r="F198" s="277">
        <f t="shared" ref="F198:F261" si="16">(C198*E198*G198)*$E$4</f>
        <v>0</v>
      </c>
      <c r="G198" s="33">
        <f>+'A) Base RI'!AN200</f>
        <v>61</v>
      </c>
      <c r="H198" s="278">
        <f t="shared" ref="H198:H261" si="17">G198/$G$314</f>
        <v>0.90642509057398979</v>
      </c>
      <c r="I198" s="55">
        <f t="shared" ref="I198:I261" si="18">F198*H198</f>
        <v>0</v>
      </c>
    </row>
    <row r="199" spans="1:9" x14ac:dyDescent="0.25">
      <c r="A199" s="49">
        <f>'A) Base RI'!A201</f>
        <v>5722</v>
      </c>
      <c r="B199" s="32" t="str">
        <f>'A) Base RI'!B201</f>
        <v>Grens</v>
      </c>
      <c r="C199" s="95">
        <f>'A) Base RI'!AO201</f>
        <v>405</v>
      </c>
      <c r="D199" s="110">
        <f>'D) Ecrêtage'!E199</f>
        <v>63.026177618478698</v>
      </c>
      <c r="E199" s="34">
        <f t="shared" si="15"/>
        <v>0</v>
      </c>
      <c r="F199" s="277">
        <f t="shared" si="16"/>
        <v>0</v>
      </c>
      <c r="G199" s="33">
        <f>+'A) Base RI'!AN201</f>
        <v>62</v>
      </c>
      <c r="H199" s="278">
        <f t="shared" si="17"/>
        <v>0.92128451828831748</v>
      </c>
      <c r="I199" s="55">
        <f t="shared" si="18"/>
        <v>0</v>
      </c>
    </row>
    <row r="200" spans="1:9" x14ac:dyDescent="0.25">
      <c r="A200" s="49">
        <f>'A) Base RI'!A202</f>
        <v>5723</v>
      </c>
      <c r="B200" s="32" t="str">
        <f>'A) Base RI'!B202</f>
        <v>Mies</v>
      </c>
      <c r="C200" s="95">
        <f>'A) Base RI'!AO202</f>
        <v>2172</v>
      </c>
      <c r="D200" s="110">
        <f>'D) Ecrêtage'!E200</f>
        <v>91.070522648392142</v>
      </c>
      <c r="E200" s="34">
        <f t="shared" si="15"/>
        <v>0</v>
      </c>
      <c r="F200" s="277">
        <f t="shared" si="16"/>
        <v>0</v>
      </c>
      <c r="G200" s="33">
        <f>+'A) Base RI'!AN202</f>
        <v>52</v>
      </c>
      <c r="H200" s="278">
        <f t="shared" si="17"/>
        <v>0.77269024114504048</v>
      </c>
      <c r="I200" s="55">
        <f t="shared" si="18"/>
        <v>0</v>
      </c>
    </row>
    <row r="201" spans="1:9" x14ac:dyDescent="0.25">
      <c r="A201" s="49">
        <f>'A) Base RI'!A203</f>
        <v>5724</v>
      </c>
      <c r="B201" s="32" t="str">
        <f>'A) Base RI'!B203</f>
        <v>Nyon</v>
      </c>
      <c r="C201" s="95">
        <f>'A) Base RI'!AO203</f>
        <v>21743</v>
      </c>
      <c r="D201" s="110">
        <f>'D) Ecrêtage'!E201</f>
        <v>65.112021161763252</v>
      </c>
      <c r="E201" s="34">
        <f t="shared" si="15"/>
        <v>0</v>
      </c>
      <c r="F201" s="277">
        <f t="shared" si="16"/>
        <v>0</v>
      </c>
      <c r="G201" s="33">
        <f>+'A) Base RI'!AN203</f>
        <v>61</v>
      </c>
      <c r="H201" s="278">
        <f t="shared" si="17"/>
        <v>0.90642509057398979</v>
      </c>
      <c r="I201" s="55">
        <f t="shared" si="18"/>
        <v>0</v>
      </c>
    </row>
    <row r="202" spans="1:9" x14ac:dyDescent="0.25">
      <c r="A202" s="49">
        <f>'A) Base RI'!A204</f>
        <v>5725</v>
      </c>
      <c r="B202" s="32" t="str">
        <f>'A) Base RI'!B204</f>
        <v>Prangins</v>
      </c>
      <c r="C202" s="95">
        <f>'A) Base RI'!AO204</f>
        <v>4101</v>
      </c>
      <c r="D202" s="110">
        <f>'D) Ecrêtage'!E202</f>
        <v>76.275282620330159</v>
      </c>
      <c r="E202" s="34">
        <f t="shared" si="15"/>
        <v>0</v>
      </c>
      <c r="F202" s="277">
        <f t="shared" si="16"/>
        <v>0</v>
      </c>
      <c r="G202" s="33">
        <f>+'A) Base RI'!AN204</f>
        <v>55</v>
      </c>
      <c r="H202" s="278">
        <f t="shared" si="17"/>
        <v>0.81726852428802355</v>
      </c>
      <c r="I202" s="55">
        <f t="shared" si="18"/>
        <v>0</v>
      </c>
    </row>
    <row r="203" spans="1:9" x14ac:dyDescent="0.25">
      <c r="A203" s="49">
        <f>'A) Base RI'!A205</f>
        <v>5726</v>
      </c>
      <c r="B203" s="32" t="str">
        <f>'A) Base RI'!B205</f>
        <v>La Rippe</v>
      </c>
      <c r="C203" s="95">
        <f>'A) Base RI'!AO205</f>
        <v>1131</v>
      </c>
      <c r="D203" s="110">
        <f>'D) Ecrêtage'!E203</f>
        <v>58.642585458749906</v>
      </c>
      <c r="E203" s="34">
        <f t="shared" si="15"/>
        <v>0</v>
      </c>
      <c r="F203" s="277">
        <f t="shared" si="16"/>
        <v>0</v>
      </c>
      <c r="G203" s="33">
        <f>+'A) Base RI'!AN205</f>
        <v>65</v>
      </c>
      <c r="H203" s="278">
        <f t="shared" si="17"/>
        <v>0.96586280143130054</v>
      </c>
      <c r="I203" s="55">
        <f t="shared" si="18"/>
        <v>0</v>
      </c>
    </row>
    <row r="204" spans="1:9" x14ac:dyDescent="0.25">
      <c r="A204" s="49">
        <f>'A) Base RI'!A206</f>
        <v>5727</v>
      </c>
      <c r="B204" s="32" t="str">
        <f>'A) Base RI'!B206</f>
        <v>Saint-Cergue</v>
      </c>
      <c r="C204" s="95">
        <f>'A) Base RI'!AO206</f>
        <v>2674</v>
      </c>
      <c r="D204" s="110">
        <f>'D) Ecrêtage'!E204</f>
        <v>39.313781381503894</v>
      </c>
      <c r="E204" s="34">
        <f t="shared" si="15"/>
        <v>8.8555720262965139</v>
      </c>
      <c r="F204" s="277">
        <f t="shared" si="16"/>
        <v>421974.02884200675</v>
      </c>
      <c r="G204" s="33">
        <f>+'A) Base RI'!AN206</f>
        <v>66</v>
      </c>
      <c r="H204" s="278">
        <f t="shared" si="17"/>
        <v>0.98072222914562823</v>
      </c>
      <c r="I204" s="55">
        <f t="shared" si="18"/>
        <v>413839.31020749448</v>
      </c>
    </row>
    <row r="205" spans="1:9" x14ac:dyDescent="0.25">
      <c r="A205" s="49">
        <f>'A) Base RI'!A207</f>
        <v>5728</v>
      </c>
      <c r="B205" s="32" t="str">
        <f>'A) Base RI'!B207</f>
        <v>Signy-Avenex</v>
      </c>
      <c r="C205" s="95">
        <f>'A) Base RI'!AO207</f>
        <v>581</v>
      </c>
      <c r="D205" s="110">
        <f>'D) Ecrêtage'!E205</f>
        <v>84.83101697430115</v>
      </c>
      <c r="E205" s="34">
        <f t="shared" si="15"/>
        <v>0</v>
      </c>
      <c r="F205" s="277">
        <f t="shared" si="16"/>
        <v>0</v>
      </c>
      <c r="G205" s="33">
        <f>+'A) Base RI'!AN207</f>
        <v>58</v>
      </c>
      <c r="H205" s="278">
        <f t="shared" si="17"/>
        <v>0.86184680743100661</v>
      </c>
      <c r="I205" s="55">
        <f t="shared" si="18"/>
        <v>0</v>
      </c>
    </row>
    <row r="206" spans="1:9" x14ac:dyDescent="0.25">
      <c r="A206" s="49">
        <f>'A) Base RI'!A208</f>
        <v>5729</v>
      </c>
      <c r="B206" s="32" t="str">
        <f>'A) Base RI'!B208</f>
        <v>Tannay</v>
      </c>
      <c r="C206" s="95">
        <f>'A) Base RI'!AO208</f>
        <v>1636</v>
      </c>
      <c r="D206" s="110">
        <f>'D) Ecrêtage'!E206</f>
        <v>79.967401375389812</v>
      </c>
      <c r="E206" s="34">
        <f t="shared" si="15"/>
        <v>0</v>
      </c>
      <c r="F206" s="277">
        <f t="shared" si="16"/>
        <v>0</v>
      </c>
      <c r="G206" s="33">
        <f>+'A) Base RI'!AN208</f>
        <v>60.5</v>
      </c>
      <c r="H206" s="278">
        <f t="shared" si="17"/>
        <v>0.89899537671682594</v>
      </c>
      <c r="I206" s="55">
        <f t="shared" si="18"/>
        <v>0</v>
      </c>
    </row>
    <row r="207" spans="1:9" x14ac:dyDescent="0.25">
      <c r="A207" s="49">
        <f>'A) Base RI'!A209</f>
        <v>5730</v>
      </c>
      <c r="B207" s="32" t="str">
        <f>'A) Base RI'!B209</f>
        <v>Trélex</v>
      </c>
      <c r="C207" s="95">
        <f>'A) Base RI'!AO209</f>
        <v>1445</v>
      </c>
      <c r="D207" s="110">
        <f>'D) Ecrêtage'!E207</f>
        <v>77.249818385859911</v>
      </c>
      <c r="E207" s="34">
        <f t="shared" si="15"/>
        <v>0</v>
      </c>
      <c r="F207" s="277">
        <f t="shared" si="16"/>
        <v>0</v>
      </c>
      <c r="G207" s="33">
        <f>+'A) Base RI'!AN209</f>
        <v>55.5</v>
      </c>
      <c r="H207" s="278">
        <f t="shared" si="17"/>
        <v>0.82469823814518739</v>
      </c>
      <c r="I207" s="55">
        <f t="shared" si="18"/>
        <v>0</v>
      </c>
    </row>
    <row r="208" spans="1:9" x14ac:dyDescent="0.25">
      <c r="A208" s="49">
        <f>'A) Base RI'!A210</f>
        <v>5731</v>
      </c>
      <c r="B208" s="32" t="str">
        <f>'A) Base RI'!B210</f>
        <v>Le Vaud</v>
      </c>
      <c r="C208" s="95">
        <f>'A) Base RI'!AO210</f>
        <v>1366</v>
      </c>
      <c r="D208" s="110">
        <f>'D) Ecrêtage'!E208</f>
        <v>46.809814477728082</v>
      </c>
      <c r="E208" s="34">
        <f t="shared" si="15"/>
        <v>1.3595389300723255</v>
      </c>
      <c r="F208" s="277">
        <f t="shared" si="16"/>
        <v>37105.460966006358</v>
      </c>
      <c r="G208" s="33">
        <f>+'A) Base RI'!AN210</f>
        <v>74</v>
      </c>
      <c r="H208" s="278">
        <f t="shared" si="17"/>
        <v>1.0995976508602499</v>
      </c>
      <c r="I208" s="55">
        <f t="shared" si="18"/>
        <v>40801.077712307291</v>
      </c>
    </row>
    <row r="209" spans="1:9" x14ac:dyDescent="0.25">
      <c r="A209" s="49">
        <f>'A) Base RI'!A211</f>
        <v>5732</v>
      </c>
      <c r="B209" s="32" t="str">
        <f>'A) Base RI'!B211</f>
        <v>Vich</v>
      </c>
      <c r="C209" s="95">
        <f>'A) Base RI'!AO211</f>
        <v>1156</v>
      </c>
      <c r="D209" s="110">
        <f>'D) Ecrêtage'!E209</f>
        <v>61.424716592519353</v>
      </c>
      <c r="E209" s="34">
        <f t="shared" si="15"/>
        <v>0</v>
      </c>
      <c r="F209" s="277">
        <f t="shared" si="16"/>
        <v>0</v>
      </c>
      <c r="G209" s="33">
        <f>+'A) Base RI'!AN211</f>
        <v>63</v>
      </c>
      <c r="H209" s="278">
        <f t="shared" si="17"/>
        <v>0.93614394600264517</v>
      </c>
      <c r="I209" s="55">
        <f t="shared" si="18"/>
        <v>0</v>
      </c>
    </row>
    <row r="210" spans="1:9" x14ac:dyDescent="0.25">
      <c r="A210" s="49">
        <f>'A) Base RI'!A212</f>
        <v>5741</v>
      </c>
      <c r="B210" s="32" t="str">
        <f>'A) Base RI'!B212</f>
        <v>L'Abergement</v>
      </c>
      <c r="C210" s="95">
        <f>'A) Base RI'!AO212</f>
        <v>256</v>
      </c>
      <c r="D210" s="110">
        <f>'D) Ecrêtage'!E210</f>
        <v>28.784881767618302</v>
      </c>
      <c r="E210" s="34">
        <f t="shared" si="15"/>
        <v>19.384471640182106</v>
      </c>
      <c r="F210" s="277">
        <f t="shared" si="16"/>
        <v>108528.22906132037</v>
      </c>
      <c r="G210" s="33">
        <f>+'A) Base RI'!AN212</f>
        <v>81</v>
      </c>
      <c r="H210" s="278">
        <f t="shared" si="17"/>
        <v>1.2036136448605437</v>
      </c>
      <c r="I210" s="55">
        <f t="shared" si="18"/>
        <v>130626.05735075579</v>
      </c>
    </row>
    <row r="211" spans="1:9" x14ac:dyDescent="0.25">
      <c r="A211" s="49">
        <f>'A) Base RI'!A213</f>
        <v>5742</v>
      </c>
      <c r="B211" s="32" t="str">
        <f>'A) Base RI'!B213</f>
        <v>Agiez</v>
      </c>
      <c r="C211" s="95">
        <f>'A) Base RI'!AO213</f>
        <v>377</v>
      </c>
      <c r="D211" s="110">
        <f>'D) Ecrêtage'!E211</f>
        <v>23.766940876727634</v>
      </c>
      <c r="E211" s="34">
        <f t="shared" si="15"/>
        <v>24.402412531072773</v>
      </c>
      <c r="F211" s="277">
        <f t="shared" si="16"/>
        <v>188778.03943688021</v>
      </c>
      <c r="G211" s="33">
        <f>+'A) Base RI'!AN213</f>
        <v>76</v>
      </c>
      <c r="H211" s="278">
        <f t="shared" si="17"/>
        <v>1.1293165062889052</v>
      </c>
      <c r="I211" s="55">
        <f t="shared" si="18"/>
        <v>213190.15596092673</v>
      </c>
    </row>
    <row r="212" spans="1:9" x14ac:dyDescent="0.25">
      <c r="A212" s="49">
        <f>'A) Base RI'!A214</f>
        <v>5743</v>
      </c>
      <c r="B212" s="32" t="str">
        <f>'A) Base RI'!B214</f>
        <v>Arnex-sur-Orbe</v>
      </c>
      <c r="C212" s="95">
        <f>'A) Base RI'!AO214</f>
        <v>637</v>
      </c>
      <c r="D212" s="110">
        <f>'D) Ecrêtage'!E212</f>
        <v>32.259944391624465</v>
      </c>
      <c r="E212" s="34">
        <f t="shared" si="15"/>
        <v>15.909409016175942</v>
      </c>
      <c r="F212" s="277">
        <f t="shared" si="16"/>
        <v>194274.40722513912</v>
      </c>
      <c r="G212" s="33">
        <f>+'A) Base RI'!AN214</f>
        <v>71</v>
      </c>
      <c r="H212" s="278">
        <f t="shared" si="17"/>
        <v>1.0550193677172668</v>
      </c>
      <c r="I212" s="55">
        <f t="shared" si="18"/>
        <v>204963.26227431308</v>
      </c>
    </row>
    <row r="213" spans="1:9" x14ac:dyDescent="0.25">
      <c r="A213" s="49">
        <f>'A) Base RI'!A215</f>
        <v>5744</v>
      </c>
      <c r="B213" s="32" t="str">
        <f>'A) Base RI'!B215</f>
        <v>Ballaigues</v>
      </c>
      <c r="C213" s="95">
        <f>'A) Base RI'!AO215</f>
        <v>1143</v>
      </c>
      <c r="D213" s="110">
        <f>'D) Ecrêtage'!E213</f>
        <v>35.392264889965688</v>
      </c>
      <c r="E213" s="34">
        <f t="shared" si="15"/>
        <v>12.77708851783472</v>
      </c>
      <c r="F213" s="277">
        <f t="shared" si="16"/>
        <v>256303.92368678327</v>
      </c>
      <c r="G213" s="33">
        <f>+'A) Base RI'!AN215</f>
        <v>65</v>
      </c>
      <c r="H213" s="278">
        <f t="shared" si="17"/>
        <v>0.96586280143130054</v>
      </c>
      <c r="I213" s="55">
        <f t="shared" si="18"/>
        <v>247554.42574995075</v>
      </c>
    </row>
    <row r="214" spans="1:9" x14ac:dyDescent="0.25">
      <c r="A214" s="49">
        <f>'A) Base RI'!A216</f>
        <v>5745</v>
      </c>
      <c r="B214" s="32" t="str">
        <f>'A) Base RI'!B216</f>
        <v>Baulmes</v>
      </c>
      <c r="C214" s="95">
        <f>'A) Base RI'!AO216</f>
        <v>1074</v>
      </c>
      <c r="D214" s="110">
        <f>'D) Ecrêtage'!E214</f>
        <v>24.979133287082675</v>
      </c>
      <c r="E214" s="34">
        <f t="shared" si="15"/>
        <v>23.190220120717733</v>
      </c>
      <c r="F214" s="277">
        <f t="shared" si="16"/>
        <v>514439.55234133819</v>
      </c>
      <c r="G214" s="33">
        <f>+'A) Base RI'!AN216</f>
        <v>76.5</v>
      </c>
      <c r="H214" s="278">
        <f t="shared" si="17"/>
        <v>1.1367462201460692</v>
      </c>
      <c r="I214" s="55">
        <f t="shared" si="18"/>
        <v>584787.2166176521</v>
      </c>
    </row>
    <row r="215" spans="1:9" x14ac:dyDescent="0.25">
      <c r="A215" s="49">
        <f>'A) Base RI'!A217</f>
        <v>5746</v>
      </c>
      <c r="B215" s="32" t="str">
        <f>'A) Base RI'!B217</f>
        <v>Bavois</v>
      </c>
      <c r="C215" s="95">
        <f>'A) Base RI'!AO217</f>
        <v>994</v>
      </c>
      <c r="D215" s="110">
        <f>'D) Ecrêtage'!E215</f>
        <v>30.650514226913987</v>
      </c>
      <c r="E215" s="34">
        <f t="shared" si="15"/>
        <v>17.51883918088642</v>
      </c>
      <c r="F215" s="277">
        <f t="shared" si="16"/>
        <v>343224.54233373975</v>
      </c>
      <c r="G215" s="33">
        <f>+'A) Base RI'!AN217</f>
        <v>73</v>
      </c>
      <c r="H215" s="278">
        <f t="shared" si="17"/>
        <v>1.0847382231459222</v>
      </c>
      <c r="I215" s="55">
        <f t="shared" si="18"/>
        <v>372308.78019117319</v>
      </c>
    </row>
    <row r="216" spans="1:9" x14ac:dyDescent="0.25">
      <c r="A216" s="49">
        <f>'A) Base RI'!A218</f>
        <v>5747</v>
      </c>
      <c r="B216" s="32" t="str">
        <f>'A) Base RI'!B218</f>
        <v>Bofflens</v>
      </c>
      <c r="C216" s="95">
        <f>'A) Base RI'!AO218</f>
        <v>206</v>
      </c>
      <c r="D216" s="110">
        <f>'D) Ecrêtage'!E216</f>
        <v>27.227081046855215</v>
      </c>
      <c r="E216" s="34">
        <f t="shared" si="15"/>
        <v>20.942272360945193</v>
      </c>
      <c r="F216" s="277">
        <f t="shared" si="16"/>
        <v>80371.834021388247</v>
      </c>
      <c r="G216" s="33">
        <f>+'A) Base RI'!AN218</f>
        <v>69</v>
      </c>
      <c r="H216" s="278">
        <f t="shared" si="17"/>
        <v>1.0253005122886114</v>
      </c>
      <c r="I216" s="55">
        <f t="shared" si="18"/>
        <v>82405.282595704615</v>
      </c>
    </row>
    <row r="217" spans="1:9" x14ac:dyDescent="0.25">
      <c r="A217" s="49">
        <f>'A) Base RI'!A219</f>
        <v>5748</v>
      </c>
      <c r="B217" s="32" t="str">
        <f>'A) Base RI'!B219</f>
        <v>Bretonnières</v>
      </c>
      <c r="C217" s="95">
        <f>'A) Base RI'!AO219</f>
        <v>268</v>
      </c>
      <c r="D217" s="110">
        <f>'D) Ecrêtage'!E217</f>
        <v>21.604434388341975</v>
      </c>
      <c r="E217" s="34">
        <f t="shared" si="15"/>
        <v>26.564919019458433</v>
      </c>
      <c r="F217" s="277">
        <f t="shared" si="16"/>
        <v>135517.74658748487</v>
      </c>
      <c r="G217" s="33">
        <f>+'A) Base RI'!AN219</f>
        <v>70.5</v>
      </c>
      <c r="H217" s="278">
        <f t="shared" si="17"/>
        <v>1.0475896538601028</v>
      </c>
      <c r="I217" s="55">
        <f t="shared" si="18"/>
        <v>141966.98923948442</v>
      </c>
    </row>
    <row r="218" spans="1:9" x14ac:dyDescent="0.25">
      <c r="A218" s="49">
        <f>'A) Base RI'!A220</f>
        <v>5749</v>
      </c>
      <c r="B218" s="32" t="str">
        <f>'A) Base RI'!B220</f>
        <v>Chavornay</v>
      </c>
      <c r="C218" s="95">
        <f>'A) Base RI'!AO220</f>
        <v>5227</v>
      </c>
      <c r="D218" s="110">
        <f>'D) Ecrêtage'!E218</f>
        <v>26.913489044201754</v>
      </c>
      <c r="E218" s="34">
        <f t="shared" si="15"/>
        <v>21.255864363598654</v>
      </c>
      <c r="F218" s="277">
        <f t="shared" si="16"/>
        <v>2114872.3116480717</v>
      </c>
      <c r="G218" s="33">
        <f>+'A) Base RI'!AN220</f>
        <v>70.5</v>
      </c>
      <c r="H218" s="278">
        <f t="shared" si="17"/>
        <v>1.0475896538601028</v>
      </c>
      <c r="I218" s="55">
        <f t="shared" si="18"/>
        <v>2215518.3529177192</v>
      </c>
    </row>
    <row r="219" spans="1:9" x14ac:dyDescent="0.25">
      <c r="A219" s="49">
        <f>'A) Base RI'!A221</f>
        <v>5750</v>
      </c>
      <c r="B219" s="32" t="str">
        <f>'A) Base RI'!B221</f>
        <v>Les Clées</v>
      </c>
      <c r="C219" s="95">
        <f>'A) Base RI'!AO221</f>
        <v>187</v>
      </c>
      <c r="D219" s="110">
        <f>'D) Ecrêtage'!E219</f>
        <v>32.288469251336899</v>
      </c>
      <c r="E219" s="34">
        <f t="shared" si="15"/>
        <v>15.880884156463509</v>
      </c>
      <c r="F219" s="277">
        <f t="shared" si="16"/>
        <v>64146.067284787408</v>
      </c>
      <c r="G219" s="33">
        <f>+'A) Base RI'!AN221</f>
        <v>80</v>
      </c>
      <c r="H219" s="278">
        <f t="shared" si="17"/>
        <v>1.188754217146216</v>
      </c>
      <c r="I219" s="55">
        <f t="shared" si="18"/>
        <v>76253.907998135954</v>
      </c>
    </row>
    <row r="220" spans="1:9" x14ac:dyDescent="0.25">
      <c r="A220" s="49">
        <f>'A) Base RI'!A222</f>
        <v>5752</v>
      </c>
      <c r="B220" s="32" t="str">
        <f>'A) Base RI'!B222</f>
        <v>Croy</v>
      </c>
      <c r="C220" s="95">
        <f>'A) Base RI'!AO222</f>
        <v>397</v>
      </c>
      <c r="D220" s="110">
        <f>'D) Ecrêtage'!E220</f>
        <v>23.719891998871848</v>
      </c>
      <c r="E220" s="34">
        <f t="shared" si="15"/>
        <v>24.44946140892856</v>
      </c>
      <c r="F220" s="277">
        <f t="shared" si="16"/>
        <v>193934.59486330589</v>
      </c>
      <c r="G220" s="33">
        <f>+'A) Base RI'!AN222</f>
        <v>74</v>
      </c>
      <c r="H220" s="278">
        <f t="shared" si="17"/>
        <v>1.0995976508602499</v>
      </c>
      <c r="I220" s="55">
        <f t="shared" si="18"/>
        <v>213250.02493222544</v>
      </c>
    </row>
    <row r="221" spans="1:9" x14ac:dyDescent="0.25">
      <c r="A221" s="49">
        <f>'A) Base RI'!A223</f>
        <v>5754</v>
      </c>
      <c r="B221" s="32" t="str">
        <f>'A) Base RI'!B223</f>
        <v>Juriens</v>
      </c>
      <c r="C221" s="95">
        <f>'A) Base RI'!AO223</f>
        <v>336</v>
      </c>
      <c r="D221" s="110">
        <f>'D) Ecrêtage'!E221</f>
        <v>23.939839135021099</v>
      </c>
      <c r="E221" s="34">
        <f t="shared" si="15"/>
        <v>24.229514272779308</v>
      </c>
      <c r="F221" s="277">
        <f t="shared" si="16"/>
        <v>173650.02125129657</v>
      </c>
      <c r="G221" s="33">
        <f>+'A) Base RI'!AN223</f>
        <v>79</v>
      </c>
      <c r="H221" s="278">
        <f t="shared" si="17"/>
        <v>1.1738947894318883</v>
      </c>
      <c r="I221" s="55">
        <f t="shared" si="18"/>
        <v>203846.8551316337</v>
      </c>
    </row>
    <row r="222" spans="1:9" x14ac:dyDescent="0.25">
      <c r="A222" s="49">
        <f>'A) Base RI'!A224</f>
        <v>5755</v>
      </c>
      <c r="B222" s="32" t="str">
        <f>'A) Base RI'!B224</f>
        <v>Lignerolle</v>
      </c>
      <c r="C222" s="95">
        <f>'A) Base RI'!AO224</f>
        <v>435</v>
      </c>
      <c r="D222" s="110">
        <f>'D) Ecrêtage'!E222</f>
        <v>20.816721157164817</v>
      </c>
      <c r="E222" s="34">
        <f t="shared" si="15"/>
        <v>27.35263225063559</v>
      </c>
      <c r="F222" s="277">
        <f t="shared" si="16"/>
        <v>252186.4826402163</v>
      </c>
      <c r="G222" s="33">
        <f>+'A) Base RI'!AN224</f>
        <v>78.5</v>
      </c>
      <c r="H222" s="278">
        <f t="shared" si="17"/>
        <v>1.1664650755747246</v>
      </c>
      <c r="I222" s="55">
        <f t="shared" si="18"/>
        <v>294166.72453184385</v>
      </c>
    </row>
    <row r="223" spans="1:9" x14ac:dyDescent="0.25">
      <c r="A223" s="49">
        <f>'A) Base RI'!A225</f>
        <v>5756</v>
      </c>
      <c r="B223" s="32" t="str">
        <f>'A) Base RI'!B225</f>
        <v>Montcherand</v>
      </c>
      <c r="C223" s="95">
        <f>'A) Base RI'!AO225</f>
        <v>506</v>
      </c>
      <c r="D223" s="110">
        <f>'D) Ecrêtage'!E223</f>
        <v>31.142902393500222</v>
      </c>
      <c r="E223" s="34">
        <f t="shared" si="15"/>
        <v>17.026451014300186</v>
      </c>
      <c r="F223" s="277">
        <f t="shared" si="16"/>
        <v>167483.0691053058</v>
      </c>
      <c r="G223" s="33">
        <f>+'A) Base RI'!AN225</f>
        <v>72</v>
      </c>
      <c r="H223" s="278">
        <f t="shared" si="17"/>
        <v>1.0698787954315945</v>
      </c>
      <c r="I223" s="55">
        <f t="shared" si="18"/>
        <v>179186.58422957105</v>
      </c>
    </row>
    <row r="224" spans="1:9" x14ac:dyDescent="0.25">
      <c r="A224" s="49">
        <f>'A) Base RI'!A226</f>
        <v>5757</v>
      </c>
      <c r="B224" s="32" t="str">
        <f>'A) Base RI'!B226</f>
        <v>Orbe</v>
      </c>
      <c r="C224" s="95">
        <f>'A) Base RI'!AO226</f>
        <v>7124</v>
      </c>
      <c r="D224" s="110">
        <f>'D) Ecrêtage'!E224</f>
        <v>28.605198601128169</v>
      </c>
      <c r="E224" s="34">
        <f t="shared" si="15"/>
        <v>19.564154806672239</v>
      </c>
      <c r="F224" s="277">
        <f t="shared" si="16"/>
        <v>2841160.1668091128</v>
      </c>
      <c r="G224" s="33">
        <f>+'A) Base RI'!AN226</f>
        <v>75.5</v>
      </c>
      <c r="H224" s="278">
        <f t="shared" si="17"/>
        <v>1.1218867924317415</v>
      </c>
      <c r="I224" s="55">
        <f t="shared" si="18"/>
        <v>3187460.0663263071</v>
      </c>
    </row>
    <row r="225" spans="1:9" x14ac:dyDescent="0.25">
      <c r="A225" s="49">
        <f>'A) Base RI'!A227</f>
        <v>5758</v>
      </c>
      <c r="B225" s="32" t="str">
        <f>'A) Base RI'!B227</f>
        <v>La Praz</v>
      </c>
      <c r="C225" s="95">
        <f>'A) Base RI'!AO227</f>
        <v>175</v>
      </c>
      <c r="D225" s="110">
        <f>'D) Ecrêtage'!E225</f>
        <v>24.647965576592078</v>
      </c>
      <c r="E225" s="34">
        <f t="shared" si="15"/>
        <v>23.52138783120833</v>
      </c>
      <c r="F225" s="277">
        <f t="shared" si="16"/>
        <v>92245.002727041283</v>
      </c>
      <c r="G225" s="33">
        <f>+'A) Base RI'!AN227</f>
        <v>83</v>
      </c>
      <c r="H225" s="278">
        <f t="shared" si="17"/>
        <v>1.2333325002891991</v>
      </c>
      <c r="I225" s="55">
        <f t="shared" si="18"/>
        <v>113768.75985252581</v>
      </c>
    </row>
    <row r="226" spans="1:9" x14ac:dyDescent="0.25">
      <c r="A226" s="49">
        <f>'A) Base RI'!A228</f>
        <v>5759</v>
      </c>
      <c r="B226" s="32" t="str">
        <f>'A) Base RI'!B228</f>
        <v>Premier</v>
      </c>
      <c r="C226" s="95">
        <f>'A) Base RI'!AO228</f>
        <v>218</v>
      </c>
      <c r="D226" s="110">
        <f>'D) Ecrêtage'!E226</f>
        <v>24.346256996134098</v>
      </c>
      <c r="E226" s="34">
        <f t="shared" si="15"/>
        <v>23.82309641166631</v>
      </c>
      <c r="F226" s="277">
        <f t="shared" si="16"/>
        <v>111477.08265585899</v>
      </c>
      <c r="G226" s="33">
        <f>+'A) Base RI'!AN228</f>
        <v>79.5</v>
      </c>
      <c r="H226" s="278">
        <f t="shared" si="17"/>
        <v>1.1813245032890523</v>
      </c>
      <c r="I226" s="55">
        <f t="shared" si="18"/>
        <v>131690.60929654524</v>
      </c>
    </row>
    <row r="227" spans="1:9" x14ac:dyDescent="0.25">
      <c r="A227" s="49">
        <f>'A) Base RI'!A229</f>
        <v>5760</v>
      </c>
      <c r="B227" s="32" t="str">
        <f>'A) Base RI'!B229</f>
        <v>Rances</v>
      </c>
      <c r="C227" s="95">
        <f>'A) Base RI'!AO229</f>
        <v>513</v>
      </c>
      <c r="D227" s="110">
        <f>'D) Ecrêtage'!E227</f>
        <v>25.001986350528941</v>
      </c>
      <c r="E227" s="34">
        <f t="shared" si="15"/>
        <v>23.167367057271466</v>
      </c>
      <c r="F227" s="277">
        <f t="shared" si="16"/>
        <v>245481.76884935432</v>
      </c>
      <c r="G227" s="33">
        <f>+'A) Base RI'!AN229</f>
        <v>76.5</v>
      </c>
      <c r="H227" s="278">
        <f t="shared" si="17"/>
        <v>1.1367462201460692</v>
      </c>
      <c r="I227" s="55">
        <f t="shared" si="18"/>
        <v>279050.47285427462</v>
      </c>
    </row>
    <row r="228" spans="1:9" x14ac:dyDescent="0.25">
      <c r="A228" s="49">
        <f>'A) Base RI'!A230</f>
        <v>5761</v>
      </c>
      <c r="B228" s="32" t="str">
        <f>'A) Base RI'!B230</f>
        <v>Romainmôtier-Envy</v>
      </c>
      <c r="C228" s="95">
        <f>'A) Base RI'!AO230</f>
        <v>525</v>
      </c>
      <c r="D228" s="110">
        <f>'D) Ecrêtage'!E228</f>
        <v>23.114294051627386</v>
      </c>
      <c r="E228" s="34">
        <f t="shared" si="15"/>
        <v>25.055059356173022</v>
      </c>
      <c r="F228" s="277">
        <f t="shared" si="16"/>
        <v>287675.92776273959</v>
      </c>
      <c r="G228" s="33">
        <f>+'A) Base RI'!AN230</f>
        <v>81</v>
      </c>
      <c r="H228" s="278">
        <f t="shared" si="17"/>
        <v>1.2036136448605437</v>
      </c>
      <c r="I228" s="55">
        <f t="shared" si="18"/>
        <v>346250.67195314949</v>
      </c>
    </row>
    <row r="229" spans="1:9" x14ac:dyDescent="0.25">
      <c r="A229" s="49">
        <f>'A) Base RI'!A231</f>
        <v>5762</v>
      </c>
      <c r="B229" s="32" t="str">
        <f>'A) Base RI'!B231</f>
        <v>Sergey</v>
      </c>
      <c r="C229" s="95">
        <f>'A) Base RI'!AO231</f>
        <v>145</v>
      </c>
      <c r="D229" s="110">
        <f>'D) Ecrêtage'!E229</f>
        <v>26.020884173297965</v>
      </c>
      <c r="E229" s="34">
        <f t="shared" si="15"/>
        <v>22.148469234502443</v>
      </c>
      <c r="F229" s="277">
        <f t="shared" si="16"/>
        <v>67634.780501400106</v>
      </c>
      <c r="G229" s="33">
        <f>+'A) Base RI'!AN231</f>
        <v>78</v>
      </c>
      <c r="H229" s="278">
        <f t="shared" si="17"/>
        <v>1.1590353617175606</v>
      </c>
      <c r="I229" s="55">
        <f t="shared" si="18"/>
        <v>78391.102283128086</v>
      </c>
    </row>
    <row r="230" spans="1:9" x14ac:dyDescent="0.25">
      <c r="A230" s="49">
        <f>'A) Base RI'!A232</f>
        <v>5763</v>
      </c>
      <c r="B230" s="32" t="str">
        <f>'A) Base RI'!B232</f>
        <v>Valeyres-sous-Rances</v>
      </c>
      <c r="C230" s="95">
        <f>'A) Base RI'!AO232</f>
        <v>609</v>
      </c>
      <c r="D230" s="110">
        <f>'D) Ecrêtage'!E230</f>
        <v>33.590123635661158</v>
      </c>
      <c r="E230" s="34">
        <f t="shared" si="15"/>
        <v>14.57922977213925</v>
      </c>
      <c r="F230" s="277">
        <f t="shared" si="16"/>
        <v>163013.8670974343</v>
      </c>
      <c r="G230" s="33">
        <f>+'A) Base RI'!AN232</f>
        <v>68</v>
      </c>
      <c r="H230" s="278">
        <f t="shared" si="17"/>
        <v>1.0104410845742837</v>
      </c>
      <c r="I230" s="55">
        <f t="shared" si="18"/>
        <v>164715.90867057967</v>
      </c>
    </row>
    <row r="231" spans="1:9" x14ac:dyDescent="0.25">
      <c r="A231" s="49">
        <f>'A) Base RI'!A233</f>
        <v>5764</v>
      </c>
      <c r="B231" s="32" t="str">
        <f>'A) Base RI'!B233</f>
        <v>Vallorbe</v>
      </c>
      <c r="C231" s="95">
        <f>'A) Base RI'!AO233</f>
        <v>3874</v>
      </c>
      <c r="D231" s="110">
        <f>'D) Ecrêtage'!E231</f>
        <v>21.763217505261899</v>
      </c>
      <c r="E231" s="34">
        <f t="shared" si="15"/>
        <v>26.406135902538509</v>
      </c>
      <c r="F231" s="277">
        <f t="shared" si="16"/>
        <v>1974850.737240612</v>
      </c>
      <c r="G231" s="33">
        <f>+'A) Base RI'!AN233</f>
        <v>71.5</v>
      </c>
      <c r="H231" s="278">
        <f t="shared" si="17"/>
        <v>1.0624490815744305</v>
      </c>
      <c r="I231" s="55">
        <f t="shared" si="18"/>
        <v>2098178.3520278754</v>
      </c>
    </row>
    <row r="232" spans="1:9" x14ac:dyDescent="0.25">
      <c r="A232" s="49">
        <f>'A) Base RI'!A234</f>
        <v>5765</v>
      </c>
      <c r="B232" s="32" t="str">
        <f>'A) Base RI'!B234</f>
        <v>Vaulion</v>
      </c>
      <c r="C232" s="95">
        <f>'A) Base RI'!AO234</f>
        <v>506</v>
      </c>
      <c r="D232" s="110">
        <f>'D) Ecrêtage'!E232</f>
        <v>22.360863709559361</v>
      </c>
      <c r="E232" s="34">
        <f t="shared" si="15"/>
        <v>25.808489698241047</v>
      </c>
      <c r="F232" s="277">
        <f t="shared" si="16"/>
        <v>285602.42486846907</v>
      </c>
      <c r="G232" s="33">
        <f>+'A) Base RI'!AN234</f>
        <v>81</v>
      </c>
      <c r="H232" s="278">
        <f t="shared" si="17"/>
        <v>1.2036136448605437</v>
      </c>
      <c r="I232" s="55">
        <f t="shared" si="18"/>
        <v>343754.97557694762</v>
      </c>
    </row>
    <row r="233" spans="1:9" x14ac:dyDescent="0.25">
      <c r="A233" s="49">
        <f>'A) Base RI'!A235</f>
        <v>5766</v>
      </c>
      <c r="B233" s="32" t="str">
        <f>'A) Base RI'!B235</f>
        <v>Vuiteboeuf</v>
      </c>
      <c r="C233" s="95">
        <f>'A) Base RI'!AO235</f>
        <v>584</v>
      </c>
      <c r="D233" s="110">
        <f>'D) Ecrêtage'!E233</f>
        <v>27.386232209571247</v>
      </c>
      <c r="E233" s="34">
        <f t="shared" si="15"/>
        <v>20.783121198229161</v>
      </c>
      <c r="F233" s="277">
        <f t="shared" si="16"/>
        <v>252335.35639133162</v>
      </c>
      <c r="G233" s="33">
        <f>+'A) Base RI'!AN235</f>
        <v>77</v>
      </c>
      <c r="H233" s="278">
        <f t="shared" si="17"/>
        <v>1.1441759340032329</v>
      </c>
      <c r="I233" s="55">
        <f t="shared" si="18"/>
        <v>288716.04208109051</v>
      </c>
    </row>
    <row r="234" spans="1:9" x14ac:dyDescent="0.25">
      <c r="A234" s="49">
        <f>'A) Base RI'!A236</f>
        <v>5785</v>
      </c>
      <c r="B234" s="32" t="str">
        <f>'A) Base RI'!B236</f>
        <v>Corcelles-le-Jorat</v>
      </c>
      <c r="C234" s="95">
        <f>'A) Base RI'!AO236</f>
        <v>451</v>
      </c>
      <c r="D234" s="110">
        <f>'D) Ecrêtage'!E234</f>
        <v>38.817433409162909</v>
      </c>
      <c r="E234" s="34">
        <f t="shared" si="15"/>
        <v>9.3519199986374986</v>
      </c>
      <c r="F234" s="277">
        <f t="shared" si="16"/>
        <v>87686.313964024812</v>
      </c>
      <c r="G234" s="33">
        <f>+'A) Base RI'!AN236</f>
        <v>77</v>
      </c>
      <c r="H234" s="278">
        <f t="shared" si="17"/>
        <v>1.1441759340032329</v>
      </c>
      <c r="I234" s="55">
        <f t="shared" si="18"/>
        <v>100328.57017908881</v>
      </c>
    </row>
    <row r="235" spans="1:9" x14ac:dyDescent="0.25">
      <c r="A235" s="49">
        <f>'A) Base RI'!A237</f>
        <v>5788</v>
      </c>
      <c r="B235" s="32" t="str">
        <f>'A) Base RI'!B237</f>
        <v>Essertes</v>
      </c>
      <c r="C235" s="95">
        <f>'A) Base RI'!AO237</f>
        <v>389</v>
      </c>
      <c r="D235" s="110">
        <f>'D) Ecrêtage'!E235</f>
        <v>41.709238319521084</v>
      </c>
      <c r="E235" s="34">
        <f t="shared" si="15"/>
        <v>6.4601150882793235</v>
      </c>
      <c r="F235" s="277">
        <f t="shared" si="16"/>
        <v>48513.170972121377</v>
      </c>
      <c r="G235" s="33">
        <f>+'A) Base RI'!AN237</f>
        <v>71.5</v>
      </c>
      <c r="H235" s="278">
        <f t="shared" si="17"/>
        <v>1.0624490815744305</v>
      </c>
      <c r="I235" s="55">
        <f t="shared" si="18"/>
        <v>51542.773943593682</v>
      </c>
    </row>
    <row r="236" spans="1:9" x14ac:dyDescent="0.25">
      <c r="A236" s="49">
        <f>'A) Base RI'!A238</f>
        <v>5790</v>
      </c>
      <c r="B236" s="32" t="str">
        <f>'A) Base RI'!B238</f>
        <v>Maracon</v>
      </c>
      <c r="C236" s="95">
        <f>'A) Base RI'!AO238</f>
        <v>538</v>
      </c>
      <c r="D236" s="110">
        <f>'D) Ecrêtage'!E236</f>
        <v>24.903503655098426</v>
      </c>
      <c r="E236" s="34">
        <f t="shared" si="15"/>
        <v>23.265849752701982</v>
      </c>
      <c r="F236" s="277">
        <f t="shared" si="16"/>
        <v>251780.00146327302</v>
      </c>
      <c r="G236" s="33">
        <f>+'A) Base RI'!AN238</f>
        <v>74.5</v>
      </c>
      <c r="H236" s="278">
        <f t="shared" si="17"/>
        <v>1.1070273647174138</v>
      </c>
      <c r="I236" s="55">
        <f t="shared" si="18"/>
        <v>278727.3515084337</v>
      </c>
    </row>
    <row r="237" spans="1:9" x14ac:dyDescent="0.25">
      <c r="A237" s="49">
        <f>'A) Base RI'!A239</f>
        <v>5792</v>
      </c>
      <c r="B237" s="32" t="str">
        <f>'A) Base RI'!B239</f>
        <v>Montpreveyres</v>
      </c>
      <c r="C237" s="95">
        <f>'A) Base RI'!AO239</f>
        <v>653</v>
      </c>
      <c r="D237" s="110">
        <f>'D) Ecrêtage'!E237</f>
        <v>26.96666278713629</v>
      </c>
      <c r="E237" s="34">
        <f t="shared" si="15"/>
        <v>21.202690620664118</v>
      </c>
      <c r="F237" s="277">
        <f t="shared" si="16"/>
        <v>280368.47874969681</v>
      </c>
      <c r="G237" s="33">
        <f>+'A) Base RI'!AN239</f>
        <v>75</v>
      </c>
      <c r="H237" s="278">
        <f t="shared" si="17"/>
        <v>1.1144570785745775</v>
      </c>
      <c r="I237" s="55">
        <f t="shared" si="18"/>
        <v>312458.63575178565</v>
      </c>
    </row>
    <row r="238" spans="1:9" x14ac:dyDescent="0.25">
      <c r="A238" s="49">
        <f>'A) Base RI'!A240</f>
        <v>5798</v>
      </c>
      <c r="B238" s="32" t="str">
        <f>'A) Base RI'!B240</f>
        <v>Ropraz</v>
      </c>
      <c r="C238" s="95">
        <f>'A) Base RI'!AO240</f>
        <v>528</v>
      </c>
      <c r="D238" s="110">
        <f>'D) Ecrêtage'!E238</f>
        <v>29.848797165200391</v>
      </c>
      <c r="E238" s="34">
        <f t="shared" si="15"/>
        <v>18.320556242600016</v>
      </c>
      <c r="F238" s="277">
        <f t="shared" si="16"/>
        <v>202412.83359074203</v>
      </c>
      <c r="G238" s="33">
        <f>+'A) Base RI'!AN240</f>
        <v>77.5</v>
      </c>
      <c r="H238" s="278">
        <f t="shared" si="17"/>
        <v>1.1516056478603969</v>
      </c>
      <c r="I238" s="55">
        <f t="shared" si="18"/>
        <v>233099.76236252519</v>
      </c>
    </row>
    <row r="239" spans="1:9" x14ac:dyDescent="0.25">
      <c r="A239" s="49">
        <f>'A) Base RI'!A241</f>
        <v>5799</v>
      </c>
      <c r="B239" s="32" t="str">
        <f>'A) Base RI'!B241</f>
        <v>Servion</v>
      </c>
      <c r="C239" s="95">
        <f>'A) Base RI'!AO241</f>
        <v>2076</v>
      </c>
      <c r="D239" s="110">
        <f>'D) Ecrêtage'!E239</f>
        <v>33.423517773868355</v>
      </c>
      <c r="E239" s="34">
        <f t="shared" si="15"/>
        <v>14.745835633932053</v>
      </c>
      <c r="F239" s="277">
        <f t="shared" si="16"/>
        <v>570308.16947768012</v>
      </c>
      <c r="G239" s="33">
        <f>+'A) Base RI'!AN241</f>
        <v>69</v>
      </c>
      <c r="H239" s="278">
        <f t="shared" si="17"/>
        <v>1.0253005122886114</v>
      </c>
      <c r="I239" s="55">
        <f t="shared" si="18"/>
        <v>584737.2583278456</v>
      </c>
    </row>
    <row r="240" spans="1:9" x14ac:dyDescent="0.25">
      <c r="A240" s="49">
        <f>'A) Base RI'!A242</f>
        <v>5803</v>
      </c>
      <c r="B240" s="32" t="str">
        <f>'A) Base RI'!B242</f>
        <v>Vulliens</v>
      </c>
      <c r="C240" s="95">
        <f>'A) Base RI'!AO242</f>
        <v>624</v>
      </c>
      <c r="D240" s="110">
        <f>'D) Ecrêtage'!E240</f>
        <v>30.249893302968967</v>
      </c>
      <c r="E240" s="34">
        <f t="shared" si="15"/>
        <v>17.91946010483144</v>
      </c>
      <c r="F240" s="277">
        <f t="shared" si="16"/>
        <v>229449.36852311209</v>
      </c>
      <c r="G240" s="33">
        <f>+'A) Base RI'!AN242</f>
        <v>76</v>
      </c>
      <c r="H240" s="278">
        <f t="shared" si="17"/>
        <v>1.1293165062889052</v>
      </c>
      <c r="I240" s="55">
        <f t="shared" si="18"/>
        <v>259120.95923071646</v>
      </c>
    </row>
    <row r="241" spans="1:9" x14ac:dyDescent="0.25">
      <c r="A241" s="49">
        <f>'A) Base RI'!A243</f>
        <v>5804</v>
      </c>
      <c r="B241" s="32" t="str">
        <f>'A) Base RI'!B243</f>
        <v>Jorat-Menthue</v>
      </c>
      <c r="C241" s="95">
        <f>'A) Base RI'!AO243</f>
        <v>1602</v>
      </c>
      <c r="D241" s="110">
        <f>'D) Ecrêtage'!E241</f>
        <v>29.146607432199115</v>
      </c>
      <c r="E241" s="34">
        <f t="shared" si="15"/>
        <v>19.022745975601293</v>
      </c>
      <c r="F241" s="277">
        <f t="shared" si="16"/>
        <v>580080.94737220416</v>
      </c>
      <c r="G241" s="33">
        <f>+'A) Base RI'!AN243</f>
        <v>70.5</v>
      </c>
      <c r="H241" s="278">
        <f t="shared" si="17"/>
        <v>1.0475896538601028</v>
      </c>
      <c r="I241" s="55">
        <f t="shared" si="18"/>
        <v>607686.79886848794</v>
      </c>
    </row>
    <row r="242" spans="1:9" x14ac:dyDescent="0.25">
      <c r="A242" s="49">
        <f>'A) Base RI'!A244</f>
        <v>5805</v>
      </c>
      <c r="B242" s="32" t="str">
        <f>'A) Base RI'!B244</f>
        <v>Oron</v>
      </c>
      <c r="C242" s="95">
        <f>'A) Base RI'!AO244</f>
        <v>5663</v>
      </c>
      <c r="D242" s="110">
        <f>'D) Ecrêtage'!E242</f>
        <v>27.322527038537142</v>
      </c>
      <c r="E242" s="34">
        <f t="shared" si="15"/>
        <v>20.846826369263265</v>
      </c>
      <c r="F242" s="277">
        <f t="shared" si="16"/>
        <v>2199375.4130938388</v>
      </c>
      <c r="G242" s="33">
        <f>+'A) Base RI'!AN244</f>
        <v>69</v>
      </c>
      <c r="H242" s="278">
        <f t="shared" si="17"/>
        <v>1.0253005122886114</v>
      </c>
      <c r="I242" s="55">
        <f t="shared" si="18"/>
        <v>2255020.7377600893</v>
      </c>
    </row>
    <row r="243" spans="1:9" x14ac:dyDescent="0.25">
      <c r="A243" s="49">
        <f>'A) Base RI'!A245</f>
        <v>5806</v>
      </c>
      <c r="B243" s="32" t="str">
        <f>'A) Base RI'!B245</f>
        <v>Jorat-Mézières</v>
      </c>
      <c r="C243" s="95">
        <f>'A) Base RI'!AO245</f>
        <v>2966</v>
      </c>
      <c r="D243" s="110">
        <f>'D) Ecrêtage'!E243</f>
        <v>30.704743254602391</v>
      </c>
      <c r="E243" s="34">
        <f t="shared" si="15"/>
        <v>17.464610153198016</v>
      </c>
      <c r="F243" s="277">
        <f t="shared" si="16"/>
        <v>1020978.6645105347</v>
      </c>
      <c r="G243" s="33">
        <f>+'A) Base RI'!AN245</f>
        <v>73</v>
      </c>
      <c r="H243" s="278">
        <f t="shared" si="17"/>
        <v>1.0847382231459222</v>
      </c>
      <c r="I243" s="55">
        <f t="shared" si="18"/>
        <v>1107494.5824110541</v>
      </c>
    </row>
    <row r="244" spans="1:9" x14ac:dyDescent="0.25">
      <c r="A244" s="49">
        <f>'A) Base RI'!A246</f>
        <v>5812</v>
      </c>
      <c r="B244" s="32" t="str">
        <f>'A) Base RI'!B246</f>
        <v>Champtauroz</v>
      </c>
      <c r="C244" s="95">
        <f>'A) Base RI'!AO246</f>
        <v>144</v>
      </c>
      <c r="D244" s="110">
        <f>'D) Ecrêtage'!E244</f>
        <v>17.38286616161616</v>
      </c>
      <c r="E244" s="34">
        <f t="shared" si="15"/>
        <v>30.786487246184247</v>
      </c>
      <c r="F244" s="277">
        <f t="shared" si="16"/>
        <v>92167.354058136552</v>
      </c>
      <c r="G244" s="33">
        <f>+'A) Base RI'!AN246</f>
        <v>77</v>
      </c>
      <c r="H244" s="278">
        <f t="shared" si="17"/>
        <v>1.1441759340032329</v>
      </c>
      <c r="I244" s="55">
        <f t="shared" si="18"/>
        <v>105455.66841407504</v>
      </c>
    </row>
    <row r="245" spans="1:9" x14ac:dyDescent="0.25">
      <c r="A245" s="49">
        <f>'A) Base RI'!A247</f>
        <v>5813</v>
      </c>
      <c r="B245" s="32" t="str">
        <f>'A) Base RI'!B247</f>
        <v>Chevroux</v>
      </c>
      <c r="C245" s="95">
        <f>'A) Base RI'!AO247</f>
        <v>495</v>
      </c>
      <c r="D245" s="110">
        <f>'D) Ecrêtage'!E245</f>
        <v>30.666216323822166</v>
      </c>
      <c r="E245" s="34">
        <f t="shared" si="15"/>
        <v>17.503137083978242</v>
      </c>
      <c r="F245" s="277">
        <f t="shared" si="16"/>
        <v>160241.65758224792</v>
      </c>
      <c r="G245" s="33">
        <f>+'A) Base RI'!AN247</f>
        <v>68.5</v>
      </c>
      <c r="H245" s="278">
        <f t="shared" si="17"/>
        <v>1.0178707984314475</v>
      </c>
      <c r="I245" s="55">
        <f t="shared" si="18"/>
        <v>163105.3039452213</v>
      </c>
    </row>
    <row r="246" spans="1:9" x14ac:dyDescent="0.25">
      <c r="A246" s="49">
        <f>'A) Base RI'!A248</f>
        <v>5816</v>
      </c>
      <c r="B246" s="32" t="str">
        <f>'A) Base RI'!B248</f>
        <v>Corcelles-près-Payerne</v>
      </c>
      <c r="C246" s="95">
        <f>'A) Base RI'!AO248</f>
        <v>2681</v>
      </c>
      <c r="D246" s="110">
        <f>'D) Ecrêtage'!E246</f>
        <v>22.577022347426897</v>
      </c>
      <c r="E246" s="34">
        <f t="shared" si="15"/>
        <v>25.59233106037351</v>
      </c>
      <c r="F246" s="277">
        <f t="shared" si="16"/>
        <v>1268998.1669000713</v>
      </c>
      <c r="G246" s="33">
        <f>+'A) Base RI'!AN248</f>
        <v>68.5</v>
      </c>
      <c r="H246" s="278">
        <f t="shared" si="17"/>
        <v>1.0178707984314475</v>
      </c>
      <c r="I246" s="55">
        <f t="shared" si="18"/>
        <v>1291676.1773506189</v>
      </c>
    </row>
    <row r="247" spans="1:9" x14ac:dyDescent="0.25">
      <c r="A247" s="49">
        <f>'A) Base RI'!A249</f>
        <v>5817</v>
      </c>
      <c r="B247" s="32" t="str">
        <f>'A) Base RI'!B249</f>
        <v>Grandcour</v>
      </c>
      <c r="C247" s="95">
        <f>'A) Base RI'!AO249</f>
        <v>967</v>
      </c>
      <c r="D247" s="110">
        <f>'D) Ecrêtage'!E247</f>
        <v>22.600567010671899</v>
      </c>
      <c r="E247" s="34">
        <f t="shared" si="15"/>
        <v>25.568786397128509</v>
      </c>
      <c r="F247" s="277">
        <f t="shared" si="16"/>
        <v>490667.95137133182</v>
      </c>
      <c r="G247" s="33">
        <f>+'A) Base RI'!AN249</f>
        <v>73.5</v>
      </c>
      <c r="H247" s="278">
        <f t="shared" si="17"/>
        <v>1.0921679370030859</v>
      </c>
      <c r="I247" s="55">
        <f t="shared" si="18"/>
        <v>535891.80420275789</v>
      </c>
    </row>
    <row r="248" spans="1:9" x14ac:dyDescent="0.25">
      <c r="A248" s="49">
        <f>'A) Base RI'!A250</f>
        <v>5819</v>
      </c>
      <c r="B248" s="32" t="str">
        <f>'A) Base RI'!B250</f>
        <v>Henniez</v>
      </c>
      <c r="C248" s="95">
        <f>'A) Base RI'!AO250</f>
        <v>396</v>
      </c>
      <c r="D248" s="110">
        <f>'D) Ecrêtage'!E248</f>
        <v>28.960146025472117</v>
      </c>
      <c r="E248" s="34">
        <f t="shared" si="15"/>
        <v>19.209207382328291</v>
      </c>
      <c r="F248" s="277">
        <f t="shared" si="16"/>
        <v>141715.54327897934</v>
      </c>
      <c r="G248" s="33">
        <f>+'A) Base RI'!AN250</f>
        <v>69</v>
      </c>
      <c r="H248" s="278">
        <f t="shared" si="17"/>
        <v>1.0253005122886114</v>
      </c>
      <c r="I248" s="55">
        <f t="shared" si="18"/>
        <v>145301.0191231964</v>
      </c>
    </row>
    <row r="249" spans="1:9" x14ac:dyDescent="0.25">
      <c r="A249" s="49">
        <f>'A) Base RI'!A251</f>
        <v>5821</v>
      </c>
      <c r="B249" s="32" t="str">
        <f>'A) Base RI'!B251</f>
        <v>Missy</v>
      </c>
      <c r="C249" s="95">
        <f>'A) Base RI'!AO251</f>
        <v>368</v>
      </c>
      <c r="D249" s="110">
        <f>'D) Ecrêtage'!E249</f>
        <v>21.393298233695656</v>
      </c>
      <c r="E249" s="34">
        <f t="shared" si="15"/>
        <v>26.776055174104751</v>
      </c>
      <c r="F249" s="277">
        <f t="shared" si="16"/>
        <v>191553.75663113149</v>
      </c>
      <c r="G249" s="33">
        <f>+'A) Base RI'!AN251</f>
        <v>72</v>
      </c>
      <c r="H249" s="278">
        <f t="shared" si="17"/>
        <v>1.0698787954315945</v>
      </c>
      <c r="I249" s="55">
        <f t="shared" si="18"/>
        <v>204939.30240491175</v>
      </c>
    </row>
    <row r="250" spans="1:9" x14ac:dyDescent="0.25">
      <c r="A250" s="49">
        <f>'A) Base RI'!A252</f>
        <v>5822</v>
      </c>
      <c r="B250" s="32" t="str">
        <f>'A) Base RI'!B252</f>
        <v>Payerne</v>
      </c>
      <c r="C250" s="95">
        <f>'A) Base RI'!AO252</f>
        <v>10108</v>
      </c>
      <c r="D250" s="110">
        <f>'D) Ecrêtage'!E250</f>
        <v>23.531022138981193</v>
      </c>
      <c r="E250" s="34">
        <f t="shared" si="15"/>
        <v>24.638331268819215</v>
      </c>
      <c r="F250" s="277">
        <f t="shared" si="16"/>
        <v>4908662.2160895774</v>
      </c>
      <c r="G250" s="33">
        <f>+'A) Base RI'!AN252</f>
        <v>73</v>
      </c>
      <c r="H250" s="278">
        <f t="shared" si="17"/>
        <v>1.0847382231459222</v>
      </c>
      <c r="I250" s="55">
        <f t="shared" si="18"/>
        <v>5324613.5303045325</v>
      </c>
    </row>
    <row r="251" spans="1:9" x14ac:dyDescent="0.25">
      <c r="A251" s="49">
        <f>'A) Base RI'!A253</f>
        <v>5827</v>
      </c>
      <c r="B251" s="32" t="str">
        <f>'A) Base RI'!B253</f>
        <v>Trey</v>
      </c>
      <c r="C251" s="95">
        <f>'A) Base RI'!AO253</f>
        <v>302</v>
      </c>
      <c r="D251" s="110">
        <f>'D) Ecrêtage'!E251</f>
        <v>20.409367889285111</v>
      </c>
      <c r="E251" s="34">
        <f t="shared" si="15"/>
        <v>27.759985518515297</v>
      </c>
      <c r="F251" s="277">
        <f t="shared" si="16"/>
        <v>176556.83909601954</v>
      </c>
      <c r="G251" s="33">
        <f>+'A) Base RI'!AN253</f>
        <v>78</v>
      </c>
      <c r="H251" s="278">
        <f t="shared" si="17"/>
        <v>1.1590353617175606</v>
      </c>
      <c r="I251" s="55">
        <f t="shared" si="18"/>
        <v>204635.61986536416</v>
      </c>
    </row>
    <row r="252" spans="1:9" x14ac:dyDescent="0.25">
      <c r="A252" s="49">
        <f>'A) Base RI'!A254</f>
        <v>5828</v>
      </c>
      <c r="B252" s="32" t="str">
        <f>'A) Base RI'!B254</f>
        <v>Treytorrens (Payerne)</v>
      </c>
      <c r="C252" s="95">
        <f>'A) Base RI'!AO254</f>
        <v>114</v>
      </c>
      <c r="D252" s="110">
        <f>'D) Ecrêtage'!E252</f>
        <v>20.073824839877467</v>
      </c>
      <c r="E252" s="34">
        <f t="shared" si="15"/>
        <v>28.095528567922941</v>
      </c>
      <c r="F252" s="277">
        <f t="shared" si="16"/>
        <v>72641.551022936124</v>
      </c>
      <c r="G252" s="33">
        <f>+'A) Base RI'!AN254</f>
        <v>84</v>
      </c>
      <c r="H252" s="278">
        <f t="shared" si="17"/>
        <v>1.248191928003527</v>
      </c>
      <c r="I252" s="55">
        <f t="shared" si="18"/>
        <v>90670.597624485221</v>
      </c>
    </row>
    <row r="253" spans="1:9" x14ac:dyDescent="0.25">
      <c r="A253" s="49">
        <f>'A) Base RI'!A255</f>
        <v>5830</v>
      </c>
      <c r="B253" s="32" t="str">
        <f>'A) Base RI'!B255</f>
        <v>Villarzel</v>
      </c>
      <c r="C253" s="95">
        <f>'A) Base RI'!AO255</f>
        <v>477</v>
      </c>
      <c r="D253" s="110">
        <f>'D) Ecrêtage'!E253</f>
        <v>26.144478477497348</v>
      </c>
      <c r="E253" s="34">
        <f t="shared" si="15"/>
        <v>22.02487493030306</v>
      </c>
      <c r="F253" s="277">
        <f t="shared" si="16"/>
        <v>218416.9404550773</v>
      </c>
      <c r="G253" s="33">
        <f>+'A) Base RI'!AN255</f>
        <v>77</v>
      </c>
      <c r="H253" s="278">
        <f t="shared" si="17"/>
        <v>1.1441759340032329</v>
      </c>
      <c r="I253" s="55">
        <f t="shared" si="18"/>
        <v>249907.4068473166</v>
      </c>
    </row>
    <row r="254" spans="1:9" x14ac:dyDescent="0.25">
      <c r="A254" s="49">
        <f>'A) Base RI'!A256</f>
        <v>5831</v>
      </c>
      <c r="B254" s="32" t="str">
        <f>'A) Base RI'!B256</f>
        <v>Valbroye</v>
      </c>
      <c r="C254" s="95">
        <f>'A) Base RI'!AO256</f>
        <v>3373</v>
      </c>
      <c r="D254" s="110">
        <f>'D) Ecrêtage'!E254</f>
        <v>24.831524686023556</v>
      </c>
      <c r="E254" s="34">
        <f t="shared" si="15"/>
        <v>23.337828721776852</v>
      </c>
      <c r="F254" s="277">
        <f t="shared" si="16"/>
        <v>1498406.5766622624</v>
      </c>
      <c r="G254" s="33">
        <f>+'A) Base RI'!AN256</f>
        <v>70.5</v>
      </c>
      <c r="H254" s="278">
        <f t="shared" si="17"/>
        <v>1.0475896538601028</v>
      </c>
      <c r="I254" s="55">
        <f t="shared" si="18"/>
        <v>1569715.2269873212</v>
      </c>
    </row>
    <row r="255" spans="1:9" x14ac:dyDescent="0.25">
      <c r="A255" s="49">
        <f>'A) Base RI'!A257</f>
        <v>5841</v>
      </c>
      <c r="B255" s="32" t="str">
        <f>'A) Base RI'!B257</f>
        <v>Château-d'Oex</v>
      </c>
      <c r="C255" s="95">
        <f>'A) Base RI'!AO257</f>
        <v>3494</v>
      </c>
      <c r="D255" s="110">
        <f>'D) Ecrêtage'!E255</f>
        <v>31.098566306481576</v>
      </c>
      <c r="E255" s="34">
        <f t="shared" si="15"/>
        <v>17.070787101318832</v>
      </c>
      <c r="F255" s="277">
        <f t="shared" si="16"/>
        <v>1312495.4895548362</v>
      </c>
      <c r="G255" s="33">
        <f>+'A) Base RI'!AN257</f>
        <v>81.5</v>
      </c>
      <c r="H255" s="278">
        <f t="shared" si="17"/>
        <v>1.2110433587177076</v>
      </c>
      <c r="I255" s="55">
        <f t="shared" si="18"/>
        <v>1589488.9459723309</v>
      </c>
    </row>
    <row r="256" spans="1:9" x14ac:dyDescent="0.25">
      <c r="A256" s="49">
        <f>'A) Base RI'!A258</f>
        <v>5842</v>
      </c>
      <c r="B256" s="32" t="str">
        <f>'A) Base RI'!B258</f>
        <v>Rossinière</v>
      </c>
      <c r="C256" s="95">
        <f>'A) Base RI'!AO258</f>
        <v>537</v>
      </c>
      <c r="D256" s="110">
        <f>'D) Ecrêtage'!E256</f>
        <v>27.020392977293451</v>
      </c>
      <c r="E256" s="34">
        <f t="shared" si="15"/>
        <v>21.148960430506957</v>
      </c>
      <c r="F256" s="277">
        <f t="shared" si="16"/>
        <v>248377.4095983555</v>
      </c>
      <c r="G256" s="33">
        <f>+'A) Base RI'!AN258</f>
        <v>81</v>
      </c>
      <c r="H256" s="278">
        <f t="shared" si="17"/>
        <v>1.2036136448605437</v>
      </c>
      <c r="I256" s="55">
        <f t="shared" si="18"/>
        <v>298950.43926769687</v>
      </c>
    </row>
    <row r="257" spans="1:9" x14ac:dyDescent="0.25">
      <c r="A257" s="49">
        <f>'A) Base RI'!A259</f>
        <v>5843</v>
      </c>
      <c r="B257" s="32" t="str">
        <f>'A) Base RI'!B259</f>
        <v>Rougemont</v>
      </c>
      <c r="C257" s="95">
        <f>'A) Base RI'!AO259</f>
        <v>863</v>
      </c>
      <c r="D257" s="110">
        <f>'D) Ecrêtage'!E257</f>
        <v>116.41830587830007</v>
      </c>
      <c r="E257" s="34">
        <f t="shared" si="15"/>
        <v>0</v>
      </c>
      <c r="F257" s="277">
        <f t="shared" si="16"/>
        <v>0</v>
      </c>
      <c r="G257" s="33">
        <f>+'A) Base RI'!AN259</f>
        <v>74</v>
      </c>
      <c r="H257" s="278">
        <f t="shared" si="17"/>
        <v>1.0995976508602499</v>
      </c>
      <c r="I257" s="55">
        <f t="shared" si="18"/>
        <v>0</v>
      </c>
    </row>
    <row r="258" spans="1:9" x14ac:dyDescent="0.25">
      <c r="A258" s="49">
        <f>'A) Base RI'!A260</f>
        <v>5851</v>
      </c>
      <c r="B258" s="32" t="str">
        <f>'A) Base RI'!B260</f>
        <v>Allaman</v>
      </c>
      <c r="C258" s="95">
        <f>'A) Base RI'!AO260</f>
        <v>443</v>
      </c>
      <c r="D258" s="110">
        <f>'D) Ecrêtage'!E258</f>
        <v>54.885358813872351</v>
      </c>
      <c r="E258" s="34">
        <f t="shared" si="15"/>
        <v>0</v>
      </c>
      <c r="F258" s="277">
        <f t="shared" si="16"/>
        <v>0</v>
      </c>
      <c r="G258" s="33">
        <f>+'A) Base RI'!AN260</f>
        <v>60</v>
      </c>
      <c r="H258" s="278">
        <f t="shared" si="17"/>
        <v>0.89156566285966199</v>
      </c>
      <c r="I258" s="55">
        <f t="shared" si="18"/>
        <v>0</v>
      </c>
    </row>
    <row r="259" spans="1:9" x14ac:dyDescent="0.25">
      <c r="A259" s="49">
        <f>'A) Base RI'!A261</f>
        <v>5852</v>
      </c>
      <c r="B259" s="32" t="str">
        <f>'A) Base RI'!B261</f>
        <v>Bursinel</v>
      </c>
      <c r="C259" s="95">
        <f>'A) Base RI'!AO261</f>
        <v>491</v>
      </c>
      <c r="D259" s="110">
        <f>'D) Ecrêtage'!E259</f>
        <v>82.904716137290563</v>
      </c>
      <c r="E259" s="34">
        <f t="shared" si="15"/>
        <v>0</v>
      </c>
      <c r="F259" s="277">
        <f t="shared" si="16"/>
        <v>0</v>
      </c>
      <c r="G259" s="33">
        <f>+'A) Base RI'!AN261</f>
        <v>65.5</v>
      </c>
      <c r="H259" s="278">
        <f t="shared" si="17"/>
        <v>0.97329251528846439</v>
      </c>
      <c r="I259" s="55">
        <f t="shared" si="18"/>
        <v>0</v>
      </c>
    </row>
    <row r="260" spans="1:9" x14ac:dyDescent="0.25">
      <c r="A260" s="49">
        <f>'A) Base RI'!A262</f>
        <v>5853</v>
      </c>
      <c r="B260" s="32" t="str">
        <f>'A) Base RI'!B262</f>
        <v>Bursins</v>
      </c>
      <c r="C260" s="95">
        <f>'A) Base RI'!AO262</f>
        <v>773</v>
      </c>
      <c r="D260" s="110">
        <f>'D) Ecrêtage'!E260</f>
        <v>54.354310260007637</v>
      </c>
      <c r="E260" s="34">
        <f t="shared" si="15"/>
        <v>0</v>
      </c>
      <c r="F260" s="277">
        <f t="shared" si="16"/>
        <v>0</v>
      </c>
      <c r="G260" s="33">
        <f>+'A) Base RI'!AN262</f>
        <v>71</v>
      </c>
      <c r="H260" s="278">
        <f t="shared" si="17"/>
        <v>1.0550193677172668</v>
      </c>
      <c r="I260" s="55">
        <f t="shared" si="18"/>
        <v>0</v>
      </c>
    </row>
    <row r="261" spans="1:9" x14ac:dyDescent="0.25">
      <c r="A261" s="49">
        <f>'A) Base RI'!A263</f>
        <v>5854</v>
      </c>
      <c r="B261" s="32" t="str">
        <f>'A) Base RI'!B263</f>
        <v>Burtigny</v>
      </c>
      <c r="C261" s="95">
        <f>'A) Base RI'!AO263</f>
        <v>404</v>
      </c>
      <c r="D261" s="110">
        <f>'D) Ecrêtage'!E261</f>
        <v>26.690331580033011</v>
      </c>
      <c r="E261" s="34">
        <f t="shared" si="15"/>
        <v>21.479021827767397</v>
      </c>
      <c r="F261" s="277">
        <f t="shared" si="16"/>
        <v>187434.53607782946</v>
      </c>
      <c r="G261" s="33">
        <f>+'A) Base RI'!AN263</f>
        <v>80</v>
      </c>
      <c r="H261" s="278">
        <f t="shared" si="17"/>
        <v>1.188754217146216</v>
      </c>
      <c r="I261" s="55">
        <f t="shared" si="18"/>
        <v>222813.59520136434</v>
      </c>
    </row>
    <row r="262" spans="1:9" x14ac:dyDescent="0.25">
      <c r="A262" s="49">
        <f>'A) Base RI'!A264</f>
        <v>5855</v>
      </c>
      <c r="B262" s="32" t="str">
        <f>'A) Base RI'!B264</f>
        <v>Dully</v>
      </c>
      <c r="C262" s="95">
        <f>'A) Base RI'!AO264</f>
        <v>628</v>
      </c>
      <c r="D262" s="110">
        <f>'D) Ecrêtage'!E262</f>
        <v>156.30336767190951</v>
      </c>
      <c r="E262" s="34">
        <f t="shared" ref="E262:E313" si="19">IF($D$314-D262&lt;0,0,$D$314-D262)</f>
        <v>0</v>
      </c>
      <c r="F262" s="277">
        <f t="shared" ref="F262:F313" si="20">(C262*E262*G262)*$E$4</f>
        <v>0</v>
      </c>
      <c r="G262" s="33">
        <f>+'A) Base RI'!AN264</f>
        <v>49</v>
      </c>
      <c r="H262" s="278">
        <f t="shared" ref="H262:H313" si="21">G262/$G$314</f>
        <v>0.7281119580020573</v>
      </c>
      <c r="I262" s="55">
        <f t="shared" ref="I262:I313" si="22">F262*H262</f>
        <v>0</v>
      </c>
    </row>
    <row r="263" spans="1:9" x14ac:dyDescent="0.25">
      <c r="A263" s="49">
        <f>'A) Base RI'!A265</f>
        <v>5856</v>
      </c>
      <c r="B263" s="32" t="str">
        <f>'A) Base RI'!B265</f>
        <v>Essertines-sur-Rolle</v>
      </c>
      <c r="C263" s="95">
        <f>'A) Base RI'!AO265</f>
        <v>740</v>
      </c>
      <c r="D263" s="110">
        <f>'D) Ecrêtage'!E263</f>
        <v>48.258984509089771</v>
      </c>
      <c r="E263" s="34">
        <f t="shared" si="19"/>
        <v>0</v>
      </c>
      <c r="F263" s="277">
        <f t="shared" si="20"/>
        <v>0</v>
      </c>
      <c r="G263" s="33">
        <f>+'A) Base RI'!AN265</f>
        <v>66.5</v>
      </c>
      <c r="H263" s="278">
        <f t="shared" si="21"/>
        <v>0.98815194300279208</v>
      </c>
      <c r="I263" s="55">
        <f t="shared" si="22"/>
        <v>0</v>
      </c>
    </row>
    <row r="264" spans="1:9" x14ac:dyDescent="0.25">
      <c r="A264" s="49">
        <f>'A) Base RI'!A266</f>
        <v>5857</v>
      </c>
      <c r="B264" s="32" t="str">
        <f>'A) Base RI'!B266</f>
        <v>Gilly</v>
      </c>
      <c r="C264" s="95">
        <f>'A) Base RI'!AO266</f>
        <v>1428</v>
      </c>
      <c r="D264" s="110">
        <f>'D) Ecrêtage'!E264</f>
        <v>57.512901765357299</v>
      </c>
      <c r="E264" s="34">
        <f t="shared" si="19"/>
        <v>0</v>
      </c>
      <c r="F264" s="277">
        <f t="shared" si="20"/>
        <v>0</v>
      </c>
      <c r="G264" s="33">
        <f>+'A) Base RI'!AN266</f>
        <v>64.5</v>
      </c>
      <c r="H264" s="278">
        <f t="shared" si="21"/>
        <v>0.9584330875741367</v>
      </c>
      <c r="I264" s="55">
        <f t="shared" si="22"/>
        <v>0</v>
      </c>
    </row>
    <row r="265" spans="1:9" x14ac:dyDescent="0.25">
      <c r="A265" s="49">
        <f>'A) Base RI'!A267</f>
        <v>5858</v>
      </c>
      <c r="B265" s="32" t="str">
        <f>'A) Base RI'!B267</f>
        <v>Luins</v>
      </c>
      <c r="C265" s="95">
        <f>'A) Base RI'!AO267</f>
        <v>619</v>
      </c>
      <c r="D265" s="110">
        <f>'D) Ecrêtage'!E265</f>
        <v>65.08994730035117</v>
      </c>
      <c r="E265" s="34">
        <f t="shared" si="19"/>
        <v>0</v>
      </c>
      <c r="F265" s="277">
        <f t="shared" si="20"/>
        <v>0</v>
      </c>
      <c r="G265" s="33">
        <f>+'A) Base RI'!AN267</f>
        <v>58.5</v>
      </c>
      <c r="H265" s="278">
        <f t="shared" si="21"/>
        <v>0.86927652128817046</v>
      </c>
      <c r="I265" s="55">
        <f t="shared" si="22"/>
        <v>0</v>
      </c>
    </row>
    <row r="266" spans="1:9" x14ac:dyDescent="0.25">
      <c r="A266" s="49">
        <f>'A) Base RI'!A268</f>
        <v>5859</v>
      </c>
      <c r="B266" s="32" t="str">
        <f>'A) Base RI'!B268</f>
        <v>Mont-sur-Rolle</v>
      </c>
      <c r="C266" s="95">
        <f>'A) Base RI'!AO268</f>
        <v>2646</v>
      </c>
      <c r="D266" s="110">
        <f>'D) Ecrêtage'!E266</f>
        <v>55.353659304491678</v>
      </c>
      <c r="E266" s="34">
        <f t="shared" si="19"/>
        <v>0</v>
      </c>
      <c r="F266" s="277">
        <f t="shared" si="20"/>
        <v>0</v>
      </c>
      <c r="G266" s="33">
        <f>+'A) Base RI'!AN268</f>
        <v>63.5</v>
      </c>
      <c r="H266" s="278">
        <f t="shared" si="21"/>
        <v>0.94357365985980901</v>
      </c>
      <c r="I266" s="55">
        <f t="shared" si="22"/>
        <v>0</v>
      </c>
    </row>
    <row r="267" spans="1:9" x14ac:dyDescent="0.25">
      <c r="A267" s="49">
        <f>'A) Base RI'!A269</f>
        <v>5860</v>
      </c>
      <c r="B267" s="32" t="str">
        <f>'A) Base RI'!B269</f>
        <v>Perroy</v>
      </c>
      <c r="C267" s="95">
        <f>'A) Base RI'!AO269</f>
        <v>1518</v>
      </c>
      <c r="D267" s="110">
        <f>'D) Ecrêtage'!E267</f>
        <v>123.30404760234192</v>
      </c>
      <c r="E267" s="34">
        <f t="shared" si="19"/>
        <v>0</v>
      </c>
      <c r="F267" s="277">
        <f t="shared" si="20"/>
        <v>0</v>
      </c>
      <c r="G267" s="33">
        <f>+'A) Base RI'!AN269</f>
        <v>58.5</v>
      </c>
      <c r="H267" s="278">
        <f t="shared" si="21"/>
        <v>0.86927652128817046</v>
      </c>
      <c r="I267" s="55">
        <f t="shared" si="22"/>
        <v>0</v>
      </c>
    </row>
    <row r="268" spans="1:9" x14ac:dyDescent="0.25">
      <c r="A268" s="49">
        <f>'A) Base RI'!A270</f>
        <v>5861</v>
      </c>
      <c r="B268" s="32" t="str">
        <f>'A) Base RI'!B270</f>
        <v>Rolle</v>
      </c>
      <c r="C268" s="95">
        <f>'A) Base RI'!AO270</f>
        <v>6259</v>
      </c>
      <c r="D268" s="110">
        <f>'D) Ecrêtage'!E268</f>
        <v>309.68778836794343</v>
      </c>
      <c r="E268" s="34">
        <f t="shared" si="19"/>
        <v>0</v>
      </c>
      <c r="F268" s="277">
        <f t="shared" si="20"/>
        <v>0</v>
      </c>
      <c r="G268" s="33">
        <f>+'A) Base RI'!AN270</f>
        <v>59.5</v>
      </c>
      <c r="H268" s="278">
        <f t="shared" si="21"/>
        <v>0.88413594900249814</v>
      </c>
      <c r="I268" s="55">
        <f t="shared" si="22"/>
        <v>0</v>
      </c>
    </row>
    <row r="269" spans="1:9" x14ac:dyDescent="0.25">
      <c r="A269" s="49">
        <f>'A) Base RI'!A271</f>
        <v>5862</v>
      </c>
      <c r="B269" s="32" t="str">
        <f>'A) Base RI'!B271</f>
        <v>Tartegnin</v>
      </c>
      <c r="C269" s="95">
        <f>'A) Base RI'!AO271</f>
        <v>236</v>
      </c>
      <c r="D269" s="110">
        <f>'D) Ecrêtage'!E269</f>
        <v>34.306941107058563</v>
      </c>
      <c r="E269" s="34">
        <f t="shared" si="19"/>
        <v>13.862412300741845</v>
      </c>
      <c r="F269" s="277">
        <f t="shared" si="20"/>
        <v>69781.720032458368</v>
      </c>
      <c r="G269" s="33">
        <f>+'A) Base RI'!AN271</f>
        <v>79</v>
      </c>
      <c r="H269" s="278">
        <f t="shared" si="21"/>
        <v>1.1738947894318883</v>
      </c>
      <c r="I269" s="55">
        <f t="shared" si="22"/>
        <v>81916.397543697691</v>
      </c>
    </row>
    <row r="270" spans="1:9" x14ac:dyDescent="0.25">
      <c r="A270" s="49">
        <f>'A) Base RI'!A272</f>
        <v>5863</v>
      </c>
      <c r="B270" s="32" t="str">
        <f>'A) Base RI'!B272</f>
        <v>Vinzel</v>
      </c>
      <c r="C270" s="95">
        <f>'A) Base RI'!AO272</f>
        <v>385</v>
      </c>
      <c r="D270" s="110">
        <f>'D) Ecrêtage'!E270</f>
        <v>56.970636169800365</v>
      </c>
      <c r="E270" s="34">
        <f t="shared" si="19"/>
        <v>0</v>
      </c>
      <c r="F270" s="277">
        <f t="shared" si="20"/>
        <v>0</v>
      </c>
      <c r="G270" s="33">
        <f>+'A) Base RI'!AN272</f>
        <v>67</v>
      </c>
      <c r="H270" s="278">
        <f t="shared" si="21"/>
        <v>0.99558165685995592</v>
      </c>
      <c r="I270" s="55">
        <f t="shared" si="22"/>
        <v>0</v>
      </c>
    </row>
    <row r="271" spans="1:9" x14ac:dyDescent="0.25">
      <c r="A271" s="49">
        <f>'A) Base RI'!A273</f>
        <v>5871</v>
      </c>
      <c r="B271" s="32" t="str">
        <f>'A) Base RI'!B273</f>
        <v>L'Abbaye</v>
      </c>
      <c r="C271" s="95">
        <f>'A) Base RI'!AO273</f>
        <v>1473</v>
      </c>
      <c r="D271" s="110">
        <f>'D) Ecrêtage'!E271</f>
        <v>33.614067395690775</v>
      </c>
      <c r="E271" s="34">
        <f t="shared" si="19"/>
        <v>14.555286012109633</v>
      </c>
      <c r="F271" s="277">
        <f t="shared" si="20"/>
        <v>448977.99395839206</v>
      </c>
      <c r="G271" s="33">
        <f>+'A) Base RI'!AN273</f>
        <v>77.56</v>
      </c>
      <c r="H271" s="278">
        <f t="shared" si="21"/>
        <v>1.1524972135232565</v>
      </c>
      <c r="I271" s="55">
        <f t="shared" si="22"/>
        <v>517445.88697030838</v>
      </c>
    </row>
    <row r="272" spans="1:9" x14ac:dyDescent="0.25">
      <c r="A272" s="49">
        <f>'A) Base RI'!A274</f>
        <v>5872</v>
      </c>
      <c r="B272" s="32" t="str">
        <f>'A) Base RI'!B274</f>
        <v>Le Chenit</v>
      </c>
      <c r="C272" s="95">
        <f>'A) Base RI'!AO274</f>
        <v>4600</v>
      </c>
      <c r="D272" s="110">
        <f>'D) Ecrêtage'!E272</f>
        <v>51.313648309900316</v>
      </c>
      <c r="E272" s="34">
        <f t="shared" si="19"/>
        <v>0</v>
      </c>
      <c r="F272" s="277">
        <f t="shared" si="20"/>
        <v>0</v>
      </c>
      <c r="G272" s="33">
        <f>+'A) Base RI'!AN274</f>
        <v>66.95</v>
      </c>
      <c r="H272" s="278">
        <f t="shared" si="21"/>
        <v>0.99483868547423959</v>
      </c>
      <c r="I272" s="55">
        <f t="shared" si="22"/>
        <v>0</v>
      </c>
    </row>
    <row r="273" spans="1:9" x14ac:dyDescent="0.25">
      <c r="A273" s="49">
        <f>'A) Base RI'!A275</f>
        <v>5873</v>
      </c>
      <c r="B273" s="32" t="str">
        <f>'A) Base RI'!B275</f>
        <v>Le Lieu</v>
      </c>
      <c r="C273" s="95">
        <f>'A) Base RI'!AO275</f>
        <v>888</v>
      </c>
      <c r="D273" s="110">
        <f>'D) Ecrêtage'!E273</f>
        <v>34.279739181145437</v>
      </c>
      <c r="E273" s="34">
        <f t="shared" si="19"/>
        <v>13.88961422665497</v>
      </c>
      <c r="F273" s="277">
        <f t="shared" si="20"/>
        <v>233112.17348879573</v>
      </c>
      <c r="G273" s="33">
        <f>+'A) Base RI'!AN275</f>
        <v>70</v>
      </c>
      <c r="H273" s="278">
        <f t="shared" si="21"/>
        <v>1.0401599400029391</v>
      </c>
      <c r="I273" s="55">
        <f t="shared" si="22"/>
        <v>242473.9443900605</v>
      </c>
    </row>
    <row r="274" spans="1:9" x14ac:dyDescent="0.25">
      <c r="A274" s="49">
        <f>'A) Base RI'!A276</f>
        <v>5881</v>
      </c>
      <c r="B274" s="32" t="str">
        <f>'A) Base RI'!B276</f>
        <v>Blonay</v>
      </c>
      <c r="C274" s="95">
        <f>'A) Base RI'!AO276</f>
        <v>6215</v>
      </c>
      <c r="D274" s="110">
        <f>'D) Ecrêtage'!E274</f>
        <v>58.449948523409915</v>
      </c>
      <c r="E274" s="34">
        <f t="shared" si="19"/>
        <v>0</v>
      </c>
      <c r="F274" s="277">
        <f t="shared" si="20"/>
        <v>0</v>
      </c>
      <c r="G274" s="33">
        <f>+'A) Base RI'!AN276</f>
        <v>68.5</v>
      </c>
      <c r="H274" s="278">
        <f t="shared" si="21"/>
        <v>1.0178707984314475</v>
      </c>
      <c r="I274" s="55">
        <f t="shared" si="22"/>
        <v>0</v>
      </c>
    </row>
    <row r="275" spans="1:9" x14ac:dyDescent="0.25">
      <c r="A275" s="49">
        <f>'A) Base RI'!A277</f>
        <v>5882</v>
      </c>
      <c r="B275" s="32" t="str">
        <f>'A) Base RI'!B277</f>
        <v>Chardonne</v>
      </c>
      <c r="C275" s="95">
        <f>'A) Base RI'!AO277</f>
        <v>3093</v>
      </c>
      <c r="D275" s="110">
        <f>'D) Ecrêtage'!E275</f>
        <v>57.883082434719775</v>
      </c>
      <c r="E275" s="34">
        <f t="shared" si="19"/>
        <v>0</v>
      </c>
      <c r="F275" s="277">
        <f t="shared" si="20"/>
        <v>0</v>
      </c>
      <c r="G275" s="33">
        <f>+'A) Base RI'!AN277</f>
        <v>68</v>
      </c>
      <c r="H275" s="278">
        <f t="shared" si="21"/>
        <v>1.0104410845742837</v>
      </c>
      <c r="I275" s="55">
        <f t="shared" si="22"/>
        <v>0</v>
      </c>
    </row>
    <row r="276" spans="1:9" x14ac:dyDescent="0.25">
      <c r="A276" s="49">
        <f>'A) Base RI'!A278</f>
        <v>5883</v>
      </c>
      <c r="B276" s="32" t="str">
        <f>'A) Base RI'!B278</f>
        <v>Corseaux</v>
      </c>
      <c r="C276" s="95">
        <f>'A) Base RI'!AO278</f>
        <v>2311</v>
      </c>
      <c r="D276" s="110">
        <f>'D) Ecrêtage'!E276</f>
        <v>72.649675785694839</v>
      </c>
      <c r="E276" s="34">
        <f t="shared" si="19"/>
        <v>0</v>
      </c>
      <c r="F276" s="277">
        <f t="shared" si="20"/>
        <v>0</v>
      </c>
      <c r="G276" s="33">
        <f>+'A) Base RI'!AN278</f>
        <v>67.5</v>
      </c>
      <c r="H276" s="278">
        <f t="shared" si="21"/>
        <v>1.0030113707171198</v>
      </c>
      <c r="I276" s="55">
        <f t="shared" si="22"/>
        <v>0</v>
      </c>
    </row>
    <row r="277" spans="1:9" x14ac:dyDescent="0.25">
      <c r="A277" s="49">
        <f>'A) Base RI'!A279</f>
        <v>5884</v>
      </c>
      <c r="B277" s="32" t="str">
        <f>'A) Base RI'!B279</f>
        <v>Corsier-sur-Vevey</v>
      </c>
      <c r="C277" s="95">
        <f>'A) Base RI'!AO279</f>
        <v>3420</v>
      </c>
      <c r="D277" s="110">
        <f>'D) Ecrêtage'!E277</f>
        <v>35.722439091204443</v>
      </c>
      <c r="E277" s="34">
        <f t="shared" si="19"/>
        <v>12.446914316595965</v>
      </c>
      <c r="F277" s="277">
        <f t="shared" si="20"/>
        <v>758569.72487635119</v>
      </c>
      <c r="G277" s="33">
        <f>+'A) Base RI'!AN279</f>
        <v>66</v>
      </c>
      <c r="H277" s="278">
        <f t="shared" si="21"/>
        <v>0.98072222914562823</v>
      </c>
      <c r="I277" s="55">
        <f t="shared" si="22"/>
        <v>743946.19154312101</v>
      </c>
    </row>
    <row r="278" spans="1:9" x14ac:dyDescent="0.25">
      <c r="A278" s="49">
        <f>'A) Base RI'!A280</f>
        <v>5885</v>
      </c>
      <c r="B278" s="32" t="str">
        <f>'A) Base RI'!B280</f>
        <v>Jongny</v>
      </c>
      <c r="C278" s="95">
        <f>'A) Base RI'!AO280</f>
        <v>1670</v>
      </c>
      <c r="D278" s="110">
        <f>'D) Ecrêtage'!E278</f>
        <v>50.95881022128404</v>
      </c>
      <c r="E278" s="34">
        <f t="shared" si="19"/>
        <v>0</v>
      </c>
      <c r="F278" s="277">
        <f t="shared" si="20"/>
        <v>0</v>
      </c>
      <c r="G278" s="33">
        <f>+'A) Base RI'!AN280</f>
        <v>69.5</v>
      </c>
      <c r="H278" s="278">
        <f t="shared" si="21"/>
        <v>1.0327302261457751</v>
      </c>
      <c r="I278" s="55">
        <f t="shared" si="22"/>
        <v>0</v>
      </c>
    </row>
    <row r="279" spans="1:9" x14ac:dyDescent="0.25">
      <c r="A279" s="49">
        <f>'A) Base RI'!A281</f>
        <v>5886</v>
      </c>
      <c r="B279" s="32" t="str">
        <f>'A) Base RI'!B281</f>
        <v>Montreux</v>
      </c>
      <c r="C279" s="95">
        <f>'A) Base RI'!AO281</f>
        <v>26180</v>
      </c>
      <c r="D279" s="110">
        <f>'D) Ecrêtage'!E279</f>
        <v>41.905095283148214</v>
      </c>
      <c r="E279" s="34">
        <f t="shared" si="19"/>
        <v>6.2642581246521942</v>
      </c>
      <c r="F279" s="277">
        <f t="shared" si="20"/>
        <v>2878169.773694573</v>
      </c>
      <c r="G279" s="33">
        <f>+'A) Base RI'!AN281</f>
        <v>65</v>
      </c>
      <c r="H279" s="278">
        <f t="shared" si="21"/>
        <v>0.96586280143130054</v>
      </c>
      <c r="I279" s="55">
        <f t="shared" si="22"/>
        <v>2779917.1206155326</v>
      </c>
    </row>
    <row r="280" spans="1:9" x14ac:dyDescent="0.25">
      <c r="A280" s="49">
        <f>'A) Base RI'!A282</f>
        <v>5888</v>
      </c>
      <c r="B280" s="32" t="str">
        <f>'A) Base RI'!B282</f>
        <v>Saint-Légier-La Chiésaz</v>
      </c>
      <c r="C280" s="95">
        <f>'A) Base RI'!AO282</f>
        <v>5522</v>
      </c>
      <c r="D280" s="110">
        <f>'D) Ecrêtage'!E280</f>
        <v>58.961702568183362</v>
      </c>
      <c r="E280" s="34">
        <f t="shared" si="19"/>
        <v>0</v>
      </c>
      <c r="F280" s="277">
        <f t="shared" si="20"/>
        <v>0</v>
      </c>
      <c r="G280" s="33">
        <f>+'A) Base RI'!AN282</f>
        <v>68.5</v>
      </c>
      <c r="H280" s="278">
        <f t="shared" si="21"/>
        <v>1.0178707984314475</v>
      </c>
      <c r="I280" s="55">
        <f t="shared" si="22"/>
        <v>0</v>
      </c>
    </row>
    <row r="281" spans="1:9" x14ac:dyDescent="0.25">
      <c r="A281" s="49">
        <f>'A) Base RI'!A283</f>
        <v>5889</v>
      </c>
      <c r="B281" s="32" t="str">
        <f>'A) Base RI'!B283</f>
        <v>La Tour-de-Peilz</v>
      </c>
      <c r="C281" s="95">
        <f>'A) Base RI'!AO283</f>
        <v>12088</v>
      </c>
      <c r="D281" s="110">
        <f>'D) Ecrêtage'!E281</f>
        <v>55.920143957333721</v>
      </c>
      <c r="E281" s="34">
        <f t="shared" si="19"/>
        <v>0</v>
      </c>
      <c r="F281" s="277">
        <f t="shared" si="20"/>
        <v>0</v>
      </c>
      <c r="G281" s="33">
        <f>+'A) Base RI'!AN283</f>
        <v>64</v>
      </c>
      <c r="H281" s="278">
        <f t="shared" si="21"/>
        <v>0.95100337371697286</v>
      </c>
      <c r="I281" s="55">
        <f t="shared" si="22"/>
        <v>0</v>
      </c>
    </row>
    <row r="282" spans="1:9" x14ac:dyDescent="0.25">
      <c r="A282" s="49">
        <f>'A) Base RI'!A284</f>
        <v>5890</v>
      </c>
      <c r="B282" s="32" t="str">
        <f>'A) Base RI'!B284</f>
        <v>Vevey</v>
      </c>
      <c r="C282" s="95">
        <f>'A) Base RI'!AO284</f>
        <v>19780</v>
      </c>
      <c r="D282" s="110">
        <f>'D) Ecrêtage'!E282</f>
        <v>43.611014164760924</v>
      </c>
      <c r="E282" s="34">
        <f t="shared" si="19"/>
        <v>4.5583392430394838</v>
      </c>
      <c r="F282" s="277">
        <f t="shared" si="20"/>
        <v>1813647.858822562</v>
      </c>
      <c r="G282" s="33">
        <f>+'A) Base RI'!AN284</f>
        <v>74.5</v>
      </c>
      <c r="H282" s="278">
        <f t="shared" si="21"/>
        <v>1.1070273647174138</v>
      </c>
      <c r="I282" s="55">
        <f t="shared" si="22"/>
        <v>2007757.809677721</v>
      </c>
    </row>
    <row r="283" spans="1:9" x14ac:dyDescent="0.25">
      <c r="A283" s="49">
        <f>'A) Base RI'!A285</f>
        <v>5891</v>
      </c>
      <c r="B283" s="32" t="str">
        <f>'A) Base RI'!B285</f>
        <v>Veytaux</v>
      </c>
      <c r="C283" s="95">
        <f>'A) Base RI'!AO285</f>
        <v>956</v>
      </c>
      <c r="D283" s="110">
        <f>'D) Ecrêtage'!E283</f>
        <v>45.973206756770317</v>
      </c>
      <c r="E283" s="34">
        <f t="shared" si="19"/>
        <v>2.1961466510300909</v>
      </c>
      <c r="F283" s="277">
        <f t="shared" si="20"/>
        <v>39397.421462690152</v>
      </c>
      <c r="G283" s="33">
        <f>+'A) Base RI'!AN285</f>
        <v>69.5</v>
      </c>
      <c r="H283" s="278">
        <f t="shared" si="21"/>
        <v>1.0327302261457751</v>
      </c>
      <c r="I283" s="55">
        <f t="shared" si="22"/>
        <v>40686.907976724418</v>
      </c>
    </row>
    <row r="284" spans="1:9" x14ac:dyDescent="0.25">
      <c r="A284" s="49">
        <f>'A) Base RI'!A286</f>
        <v>5902</v>
      </c>
      <c r="B284" s="32" t="str">
        <f>'A) Base RI'!B286</f>
        <v>Belmont-sur-Yverdon</v>
      </c>
      <c r="C284" s="95">
        <f>'A) Base RI'!AO286</f>
        <v>396</v>
      </c>
      <c r="D284" s="110">
        <f>'D) Ecrêtage'!E284</f>
        <v>29.594217893217902</v>
      </c>
      <c r="E284" s="34">
        <f t="shared" si="19"/>
        <v>18.575135514582506</v>
      </c>
      <c r="F284" s="277">
        <f t="shared" si="20"/>
        <v>139023.74424534134</v>
      </c>
      <c r="G284" s="33">
        <f>+'A) Base RI'!AN286</f>
        <v>70</v>
      </c>
      <c r="H284" s="278">
        <f t="shared" si="21"/>
        <v>1.0401599400029391</v>
      </c>
      <c r="I284" s="55">
        <f t="shared" si="22"/>
        <v>144606.92947321819</v>
      </c>
    </row>
    <row r="285" spans="1:9" x14ac:dyDescent="0.25">
      <c r="A285" s="49">
        <f>'A) Base RI'!A287</f>
        <v>5903</v>
      </c>
      <c r="B285" s="32" t="str">
        <f>'A) Base RI'!B287</f>
        <v>Bioley-Magnoux</v>
      </c>
      <c r="C285" s="95">
        <f>'A) Base RI'!AO287</f>
        <v>230</v>
      </c>
      <c r="D285" s="110">
        <f>'D) Ecrêtage'!E285</f>
        <v>21.813970755693578</v>
      </c>
      <c r="E285" s="34">
        <f t="shared" si="19"/>
        <v>26.35538265210683</v>
      </c>
      <c r="F285" s="277">
        <f t="shared" si="20"/>
        <v>117840.18691410005</v>
      </c>
      <c r="G285" s="33">
        <f>+'A) Base RI'!AN287</f>
        <v>72</v>
      </c>
      <c r="H285" s="278">
        <f t="shared" si="21"/>
        <v>1.0698787954315945</v>
      </c>
      <c r="I285" s="55">
        <f t="shared" si="22"/>
        <v>126074.7172290913</v>
      </c>
    </row>
    <row r="286" spans="1:9" x14ac:dyDescent="0.25">
      <c r="A286" s="49">
        <f>'A) Base RI'!A288</f>
        <v>5904</v>
      </c>
      <c r="B286" s="32" t="str">
        <f>'A) Base RI'!B288</f>
        <v>Chamblon</v>
      </c>
      <c r="C286" s="95">
        <f>'A) Base RI'!AO288</f>
        <v>559</v>
      </c>
      <c r="D286" s="110">
        <f>'D) Ecrêtage'!E286</f>
        <v>38.808687591478282</v>
      </c>
      <c r="E286" s="34">
        <f t="shared" si="19"/>
        <v>9.3606658163221255</v>
      </c>
      <c r="F286" s="277">
        <f t="shared" si="20"/>
        <v>93245.14924939489</v>
      </c>
      <c r="G286" s="33">
        <f>+'A) Base RI'!AN288</f>
        <v>66</v>
      </c>
      <c r="H286" s="278">
        <f t="shared" si="21"/>
        <v>0.98072222914562823</v>
      </c>
      <c r="I286" s="55">
        <f t="shared" si="22"/>
        <v>91447.590628883365</v>
      </c>
    </row>
    <row r="287" spans="1:9" x14ac:dyDescent="0.25">
      <c r="A287" s="49">
        <f>'A) Base RI'!A289</f>
        <v>5905</v>
      </c>
      <c r="B287" s="32" t="str">
        <f>'A) Base RI'!B289</f>
        <v>Champvent</v>
      </c>
      <c r="C287" s="95">
        <f>'A) Base RI'!AO289</f>
        <v>696</v>
      </c>
      <c r="D287" s="110">
        <f>'D) Ecrêtage'!E287</f>
        <v>31.139889104743407</v>
      </c>
      <c r="E287" s="34">
        <f t="shared" si="19"/>
        <v>17.029464303057001</v>
      </c>
      <c r="F287" s="277">
        <f t="shared" si="20"/>
        <v>227212.56215996351</v>
      </c>
      <c r="G287" s="33">
        <f>+'A) Base RI'!AN289</f>
        <v>71</v>
      </c>
      <c r="H287" s="278">
        <f t="shared" si="21"/>
        <v>1.0550193677172668</v>
      </c>
      <c r="I287" s="55">
        <f t="shared" si="22"/>
        <v>239713.65366742486</v>
      </c>
    </row>
    <row r="288" spans="1:9" x14ac:dyDescent="0.25">
      <c r="A288" s="49">
        <f>'A) Base RI'!A290</f>
        <v>5907</v>
      </c>
      <c r="B288" s="32" t="str">
        <f>'A) Base RI'!B290</f>
        <v>Chavannes-le-Chêne</v>
      </c>
      <c r="C288" s="95">
        <f>'A) Base RI'!AO290</f>
        <v>324</v>
      </c>
      <c r="D288" s="110">
        <f>'D) Ecrêtage'!E288</f>
        <v>30.527918518518522</v>
      </c>
      <c r="E288" s="34">
        <f t="shared" si="19"/>
        <v>17.641434889281886</v>
      </c>
      <c r="F288" s="277">
        <f t="shared" si="20"/>
        <v>115745.45430857847</v>
      </c>
      <c r="G288" s="33">
        <f>+'A) Base RI'!AN290</f>
        <v>75</v>
      </c>
      <c r="H288" s="278">
        <f t="shared" si="21"/>
        <v>1.1144570785745775</v>
      </c>
      <c r="I288" s="55">
        <f t="shared" si="22"/>
        <v>128993.3408670256</v>
      </c>
    </row>
    <row r="289" spans="1:9" x14ac:dyDescent="0.25">
      <c r="A289" s="49">
        <f>'A) Base RI'!A291</f>
        <v>5908</v>
      </c>
      <c r="B289" s="32" t="str">
        <f>'A) Base RI'!B291</f>
        <v>Chêne-Pâquier</v>
      </c>
      <c r="C289" s="95">
        <f>'A) Base RI'!AO291</f>
        <v>144</v>
      </c>
      <c r="D289" s="110">
        <f>'D) Ecrêtage'!E289</f>
        <v>45.156155063291145</v>
      </c>
      <c r="E289" s="34">
        <f t="shared" si="19"/>
        <v>3.0131983445092629</v>
      </c>
      <c r="F289" s="277">
        <f t="shared" si="20"/>
        <v>9255.0989791270931</v>
      </c>
      <c r="G289" s="33">
        <f>+'A) Base RI'!AN291</f>
        <v>79</v>
      </c>
      <c r="H289" s="278">
        <f t="shared" si="21"/>
        <v>1.1738947894318883</v>
      </c>
      <c r="I289" s="55">
        <f t="shared" si="22"/>
        <v>10864.512467273684</v>
      </c>
    </row>
    <row r="290" spans="1:9" x14ac:dyDescent="0.25">
      <c r="A290" s="49">
        <f>'A) Base RI'!A292</f>
        <v>5909</v>
      </c>
      <c r="B290" s="32" t="str">
        <f>'A) Base RI'!B292</f>
        <v>Cheseaux-Noréaz</v>
      </c>
      <c r="C290" s="95">
        <f>'A) Base RI'!AO292</f>
        <v>741</v>
      </c>
      <c r="D290" s="110">
        <f>'D) Ecrêtage'!E290</f>
        <v>52.981263721876452</v>
      </c>
      <c r="E290" s="34">
        <f t="shared" si="19"/>
        <v>0</v>
      </c>
      <c r="F290" s="277">
        <f t="shared" si="20"/>
        <v>0</v>
      </c>
      <c r="G290" s="33">
        <f>+'A) Base RI'!AN292</f>
        <v>67</v>
      </c>
      <c r="H290" s="278">
        <f t="shared" si="21"/>
        <v>0.99558165685995592</v>
      </c>
      <c r="I290" s="55">
        <f t="shared" si="22"/>
        <v>0</v>
      </c>
    </row>
    <row r="291" spans="1:9" x14ac:dyDescent="0.25">
      <c r="A291" s="49">
        <f>'A) Base RI'!A293</f>
        <v>5910</v>
      </c>
      <c r="B291" s="32" t="str">
        <f>'A) Base RI'!B293</f>
        <v>Cronay</v>
      </c>
      <c r="C291" s="95">
        <f>'A) Base RI'!AO293</f>
        <v>393</v>
      </c>
      <c r="D291" s="110">
        <f>'D) Ecrêtage'!E291</f>
        <v>25.384229205908589</v>
      </c>
      <c r="E291" s="34">
        <f t="shared" si="19"/>
        <v>22.785124201891819</v>
      </c>
      <c r="F291" s="277">
        <f t="shared" si="20"/>
        <v>186165.17373783106</v>
      </c>
      <c r="G291" s="33">
        <f>+'A) Base RI'!AN293</f>
        <v>77</v>
      </c>
      <c r="H291" s="278">
        <f t="shared" si="21"/>
        <v>1.1441759340032329</v>
      </c>
      <c r="I291" s="55">
        <f t="shared" si="22"/>
        <v>213005.71154035698</v>
      </c>
    </row>
    <row r="292" spans="1:9" x14ac:dyDescent="0.25">
      <c r="A292" s="49">
        <f>'A) Base RI'!A294</f>
        <v>5911</v>
      </c>
      <c r="B292" s="32" t="str">
        <f>'A) Base RI'!B294</f>
        <v>Cuarny</v>
      </c>
      <c r="C292" s="95">
        <f>'A) Base RI'!AO294</f>
        <v>234</v>
      </c>
      <c r="D292" s="110">
        <f>'D) Ecrêtage'!E292</f>
        <v>29.655841935841934</v>
      </c>
      <c r="E292" s="34">
        <f t="shared" si="19"/>
        <v>18.513511471958473</v>
      </c>
      <c r="F292" s="277">
        <f t="shared" si="20"/>
        <v>90065.641419471896</v>
      </c>
      <c r="G292" s="33">
        <f>+'A) Base RI'!AN294</f>
        <v>77</v>
      </c>
      <c r="H292" s="278">
        <f t="shared" si="21"/>
        <v>1.1441759340032329</v>
      </c>
      <c r="I292" s="55">
        <f t="shared" si="22"/>
        <v>103050.93939272451</v>
      </c>
    </row>
    <row r="293" spans="1:9" x14ac:dyDescent="0.25">
      <c r="A293" s="49">
        <f>'A) Base RI'!A295</f>
        <v>5912</v>
      </c>
      <c r="B293" s="32" t="str">
        <f>'A) Base RI'!B295</f>
        <v>Démoret</v>
      </c>
      <c r="C293" s="95">
        <f>'A) Base RI'!AO295</f>
        <v>158</v>
      </c>
      <c r="D293" s="110">
        <f>'D) Ecrêtage'!E293</f>
        <v>25.763488045007026</v>
      </c>
      <c r="E293" s="34">
        <f t="shared" si="19"/>
        <v>22.405865362793381</v>
      </c>
      <c r="F293" s="277">
        <f t="shared" si="20"/>
        <v>77422.571526518019</v>
      </c>
      <c r="G293" s="33">
        <f>+'A) Base RI'!AN295</f>
        <v>81</v>
      </c>
      <c r="H293" s="278">
        <f t="shared" si="21"/>
        <v>1.2036136448605437</v>
      </c>
      <c r="I293" s="55">
        <f t="shared" si="22"/>
        <v>93186.863509508505</v>
      </c>
    </row>
    <row r="294" spans="1:9" x14ac:dyDescent="0.25">
      <c r="A294" s="49">
        <f>'A) Base RI'!A296</f>
        <v>5913</v>
      </c>
      <c r="B294" s="32" t="str">
        <f>'A) Base RI'!B296</f>
        <v>Donneloye</v>
      </c>
      <c r="C294" s="95">
        <f>'A) Base RI'!AO296</f>
        <v>829</v>
      </c>
      <c r="D294" s="110">
        <f>'D) Ecrêtage'!E294</f>
        <v>23.981699026719763</v>
      </c>
      <c r="E294" s="34">
        <f t="shared" si="19"/>
        <v>24.187654381080645</v>
      </c>
      <c r="F294" s="277">
        <f t="shared" si="20"/>
        <v>395216.35564856156</v>
      </c>
      <c r="G294" s="33">
        <f>+'A) Base RI'!AN296</f>
        <v>73</v>
      </c>
      <c r="H294" s="278">
        <f t="shared" si="21"/>
        <v>1.0847382231459222</v>
      </c>
      <c r="I294" s="55">
        <f t="shared" si="22"/>
        <v>428706.2873844275</v>
      </c>
    </row>
    <row r="295" spans="1:9" x14ac:dyDescent="0.25">
      <c r="A295" s="49">
        <f>'A) Base RI'!A297</f>
        <v>5914</v>
      </c>
      <c r="B295" s="32" t="str">
        <f>'A) Base RI'!B297</f>
        <v>Ependes</v>
      </c>
      <c r="C295" s="95">
        <f>'A) Base RI'!AO297</f>
        <v>388</v>
      </c>
      <c r="D295" s="110">
        <f>'D) Ecrêtage'!E295</f>
        <v>27.479574654604107</v>
      </c>
      <c r="E295" s="34">
        <f t="shared" si="19"/>
        <v>20.6897787531963</v>
      </c>
      <c r="F295" s="277">
        <f t="shared" si="20"/>
        <v>159308.39983058607</v>
      </c>
      <c r="G295" s="33">
        <f>+'A) Base RI'!AN297</f>
        <v>73.5</v>
      </c>
      <c r="H295" s="278">
        <f t="shared" si="21"/>
        <v>1.0921679370030859</v>
      </c>
      <c r="I295" s="55">
        <f t="shared" si="22"/>
        <v>173991.52639023395</v>
      </c>
    </row>
    <row r="296" spans="1:9" x14ac:dyDescent="0.25">
      <c r="A296" s="49">
        <f>'A) Base RI'!A298</f>
        <v>5919</v>
      </c>
      <c r="B296" s="32" t="str">
        <f>'A) Base RI'!B298</f>
        <v>Mathod</v>
      </c>
      <c r="C296" s="95">
        <f>'A) Base RI'!AO298</f>
        <v>651</v>
      </c>
      <c r="D296" s="110">
        <f>'D) Ecrêtage'!E296</f>
        <v>33.126878769130116</v>
      </c>
      <c r="E296" s="34">
        <f t="shared" si="19"/>
        <v>15.042474638670292</v>
      </c>
      <c r="F296" s="277">
        <f t="shared" si="20"/>
        <v>190369.13524121355</v>
      </c>
      <c r="G296" s="33">
        <f>+'A) Base RI'!AN298</f>
        <v>72</v>
      </c>
      <c r="H296" s="278">
        <f t="shared" si="21"/>
        <v>1.0698787954315945</v>
      </c>
      <c r="I296" s="55">
        <f t="shared" si="22"/>
        <v>203671.90109922385</v>
      </c>
    </row>
    <row r="297" spans="1:9" x14ac:dyDescent="0.25">
      <c r="A297" s="49">
        <f>'A) Base RI'!A299</f>
        <v>5921</v>
      </c>
      <c r="B297" s="32" t="str">
        <f>'A) Base RI'!B299</f>
        <v>Molondin</v>
      </c>
      <c r="C297" s="95">
        <f>'A) Base RI'!AO299</f>
        <v>252</v>
      </c>
      <c r="D297" s="110">
        <f>'D) Ecrêtage'!E297</f>
        <v>22.523386243386245</v>
      </c>
      <c r="E297" s="34">
        <f t="shared" si="19"/>
        <v>25.645967164414163</v>
      </c>
      <c r="F297" s="277">
        <f t="shared" si="20"/>
        <v>141341.08007520594</v>
      </c>
      <c r="G297" s="33">
        <f>+'A) Base RI'!AN299</f>
        <v>81</v>
      </c>
      <c r="H297" s="278">
        <f t="shared" si="21"/>
        <v>1.2036136448605437</v>
      </c>
      <c r="I297" s="55">
        <f t="shared" si="22"/>
        <v>170120.05255784458</v>
      </c>
    </row>
    <row r="298" spans="1:9" x14ac:dyDescent="0.25">
      <c r="A298" s="49">
        <f>'A) Base RI'!A300</f>
        <v>5922</v>
      </c>
      <c r="B298" s="32" t="str">
        <f>'A) Base RI'!B300</f>
        <v>Montagny-près-Yverdon</v>
      </c>
      <c r="C298" s="95">
        <f>'A) Base RI'!AO300</f>
        <v>737</v>
      </c>
      <c r="D298" s="110">
        <f>'D) Ecrêtage'!E298</f>
        <v>45.218993418733099</v>
      </c>
      <c r="E298" s="34">
        <f t="shared" si="19"/>
        <v>2.9503599890673087</v>
      </c>
      <c r="F298" s="277">
        <f t="shared" si="20"/>
        <v>37280.350523255984</v>
      </c>
      <c r="G298" s="33">
        <f>+'A) Base RI'!AN300</f>
        <v>63.5</v>
      </c>
      <c r="H298" s="278">
        <f t="shared" si="21"/>
        <v>0.94357365985980901</v>
      </c>
      <c r="I298" s="55">
        <f t="shared" si="22"/>
        <v>35176.756784085192</v>
      </c>
    </row>
    <row r="299" spans="1:9" x14ac:dyDescent="0.25">
      <c r="A299" s="49">
        <f>'A) Base RI'!A301</f>
        <v>5923</v>
      </c>
      <c r="B299" s="32" t="str">
        <f>'A) Base RI'!B301</f>
        <v>Oppens</v>
      </c>
      <c r="C299" s="95">
        <f>'A) Base RI'!AO301</f>
        <v>201</v>
      </c>
      <c r="D299" s="110">
        <f>'D) Ecrêtage'!E299</f>
        <v>23.876818991462443</v>
      </c>
      <c r="E299" s="34">
        <f t="shared" si="19"/>
        <v>24.292534416337965</v>
      </c>
      <c r="F299" s="277">
        <f t="shared" si="20"/>
        <v>106786.82326474758</v>
      </c>
      <c r="G299" s="33">
        <f>+'A) Base RI'!AN301</f>
        <v>81</v>
      </c>
      <c r="H299" s="278">
        <f t="shared" si="21"/>
        <v>1.2036136448605437</v>
      </c>
      <c r="I299" s="55">
        <f t="shared" si="22"/>
        <v>128530.07757276154</v>
      </c>
    </row>
    <row r="300" spans="1:9" x14ac:dyDescent="0.25">
      <c r="A300" s="49">
        <f>'A) Base RI'!A302</f>
        <v>5924</v>
      </c>
      <c r="B300" s="32" t="str">
        <f>'A) Base RI'!B302</f>
        <v>Orges</v>
      </c>
      <c r="C300" s="95">
        <f>'A) Base RI'!AO302</f>
        <v>343</v>
      </c>
      <c r="D300" s="110">
        <f>'D) Ecrêtage'!E300</f>
        <v>36.517274840438105</v>
      </c>
      <c r="E300" s="34">
        <f t="shared" si="19"/>
        <v>11.652078567362302</v>
      </c>
      <c r="F300" s="277">
        <f t="shared" si="20"/>
        <v>79853.325713133294</v>
      </c>
      <c r="G300" s="33">
        <f>+'A) Base RI'!AN302</f>
        <v>74</v>
      </c>
      <c r="H300" s="278">
        <f t="shared" si="21"/>
        <v>1.0995976508602499</v>
      </c>
      <c r="I300" s="55">
        <f t="shared" si="22"/>
        <v>87806.529367539755</v>
      </c>
    </row>
    <row r="301" spans="1:9" x14ac:dyDescent="0.25">
      <c r="A301" s="49">
        <f>'A) Base RI'!A303</f>
        <v>5925</v>
      </c>
      <c r="B301" s="32" t="str">
        <f>'A) Base RI'!B303</f>
        <v>Orzens</v>
      </c>
      <c r="C301" s="95">
        <f>'A) Base RI'!AO303</f>
        <v>201</v>
      </c>
      <c r="D301" s="110">
        <f>'D) Ecrêtage'!E301</f>
        <v>29.251052963032933</v>
      </c>
      <c r="E301" s="34">
        <f t="shared" si="19"/>
        <v>18.918300444767475</v>
      </c>
      <c r="F301" s="277">
        <f t="shared" si="20"/>
        <v>81108.997045864933</v>
      </c>
      <c r="G301" s="33">
        <f>+'A) Base RI'!AN303</f>
        <v>79</v>
      </c>
      <c r="H301" s="278">
        <f t="shared" si="21"/>
        <v>1.1738947894318883</v>
      </c>
      <c r="I301" s="55">
        <f t="shared" si="22"/>
        <v>95213.42900818726</v>
      </c>
    </row>
    <row r="302" spans="1:9" x14ac:dyDescent="0.25">
      <c r="A302" s="49">
        <f>'A) Base RI'!A304</f>
        <v>5926</v>
      </c>
      <c r="B302" s="32" t="str">
        <f>'A) Base RI'!B304</f>
        <v>Pomy</v>
      </c>
      <c r="C302" s="95">
        <f>'A) Base RI'!AO304</f>
        <v>803</v>
      </c>
      <c r="D302" s="110">
        <f>'D) Ecrêtage'!E302</f>
        <v>34.076197007699996</v>
      </c>
      <c r="E302" s="34">
        <f t="shared" si="19"/>
        <v>14.093156400100412</v>
      </c>
      <c r="F302" s="277">
        <f t="shared" si="20"/>
        <v>216943.14397650972</v>
      </c>
      <c r="G302" s="33">
        <f>+'A) Base RI'!AN304</f>
        <v>71</v>
      </c>
      <c r="H302" s="278">
        <f t="shared" si="21"/>
        <v>1.0550193677172668</v>
      </c>
      <c r="I302" s="55">
        <f t="shared" si="22"/>
        <v>228879.21858869324</v>
      </c>
    </row>
    <row r="303" spans="1:9" x14ac:dyDescent="0.25">
      <c r="A303" s="49">
        <f>'A) Base RI'!A305</f>
        <v>5928</v>
      </c>
      <c r="B303" s="32" t="str">
        <f>'A) Base RI'!B305</f>
        <v>Rovray</v>
      </c>
      <c r="C303" s="95">
        <f>'A) Base RI'!AO305</f>
        <v>204</v>
      </c>
      <c r="D303" s="110">
        <f>'D) Ecrêtage'!E303</f>
        <v>27.271598107774579</v>
      </c>
      <c r="E303" s="34">
        <f t="shared" si="19"/>
        <v>20.897755300025828</v>
      </c>
      <c r="F303" s="277">
        <f t="shared" si="20"/>
        <v>82299.957877667723</v>
      </c>
      <c r="G303" s="33">
        <f>+'A) Base RI'!AN305</f>
        <v>71.5</v>
      </c>
      <c r="H303" s="278">
        <f t="shared" si="21"/>
        <v>1.0624490815744305</v>
      </c>
      <c r="I303" s="55">
        <f t="shared" si="22"/>
        <v>87439.514660742396</v>
      </c>
    </row>
    <row r="304" spans="1:9" x14ac:dyDescent="0.25">
      <c r="A304" s="49">
        <f>'A) Base RI'!A306</f>
        <v>5929</v>
      </c>
      <c r="B304" s="32" t="str">
        <f>'A) Base RI'!B306</f>
        <v>Suchy</v>
      </c>
      <c r="C304" s="95">
        <f>'A) Base RI'!AO306</f>
        <v>656</v>
      </c>
      <c r="D304" s="110">
        <f>'D) Ecrêtage'!E304</f>
        <v>30.224699967334494</v>
      </c>
      <c r="E304" s="34">
        <f t="shared" si="19"/>
        <v>17.944653440465913</v>
      </c>
      <c r="F304" s="277">
        <f t="shared" si="20"/>
        <v>222484.99121627258</v>
      </c>
      <c r="G304" s="33">
        <f>+'A) Base RI'!AN306</f>
        <v>70</v>
      </c>
      <c r="H304" s="278">
        <f t="shared" si="21"/>
        <v>1.0401599400029391</v>
      </c>
      <c r="I304" s="55">
        <f t="shared" si="22"/>
        <v>231419.97511507251</v>
      </c>
    </row>
    <row r="305" spans="1:9" x14ac:dyDescent="0.25">
      <c r="A305" s="49">
        <f>'A) Base RI'!A307</f>
        <v>5930</v>
      </c>
      <c r="B305" s="32" t="str">
        <f>'A) Base RI'!B307</f>
        <v>Suscévaz</v>
      </c>
      <c r="C305" s="95">
        <f>'A) Base RI'!AO307</f>
        <v>204</v>
      </c>
      <c r="D305" s="110">
        <f>'D) Ecrêtage'!E305</f>
        <v>28.28017088779956</v>
      </c>
      <c r="E305" s="34">
        <f t="shared" si="19"/>
        <v>19.889182520000848</v>
      </c>
      <c r="F305" s="277">
        <f t="shared" si="20"/>
        <v>78875.724470518559</v>
      </c>
      <c r="G305" s="33">
        <f>+'A) Base RI'!AN307</f>
        <v>72</v>
      </c>
      <c r="H305" s="278">
        <f t="shared" si="21"/>
        <v>1.0698787954315945</v>
      </c>
      <c r="I305" s="55">
        <f t="shared" si="22"/>
        <v>84387.465085312739</v>
      </c>
    </row>
    <row r="306" spans="1:9" x14ac:dyDescent="0.25">
      <c r="A306" s="49">
        <f>'A) Base RI'!A308</f>
        <v>5931</v>
      </c>
      <c r="B306" s="32" t="str">
        <f>'A) Base RI'!B308</f>
        <v>Treycovagnes</v>
      </c>
      <c r="C306" s="95">
        <f>'A) Base RI'!AO308</f>
        <v>485</v>
      </c>
      <c r="D306" s="110">
        <f>'D) Ecrêtage'!E306</f>
        <v>31.718769209621986</v>
      </c>
      <c r="E306" s="34">
        <f t="shared" si="19"/>
        <v>16.450584198178422</v>
      </c>
      <c r="F306" s="277">
        <f t="shared" si="20"/>
        <v>161565.30005635985</v>
      </c>
      <c r="G306" s="33">
        <f>+'A) Base RI'!AN308</f>
        <v>75</v>
      </c>
      <c r="H306" s="278">
        <f t="shared" si="21"/>
        <v>1.1144570785745775</v>
      </c>
      <c r="I306" s="55">
        <f t="shared" si="22"/>
        <v>180057.59229983581</v>
      </c>
    </row>
    <row r="307" spans="1:9" x14ac:dyDescent="0.25">
      <c r="A307" s="49">
        <f>'A) Base RI'!A309</f>
        <v>5932</v>
      </c>
      <c r="B307" s="32" t="str">
        <f>'A) Base RI'!B309</f>
        <v>Ursins</v>
      </c>
      <c r="C307" s="95">
        <f>'A) Base RI'!AO309</f>
        <v>238</v>
      </c>
      <c r="D307" s="110">
        <f>'D) Ecrêtage'!E307</f>
        <v>28.652951260504203</v>
      </c>
      <c r="E307" s="34">
        <f t="shared" si="19"/>
        <v>19.516402147296205</v>
      </c>
      <c r="F307" s="277">
        <f t="shared" si="20"/>
        <v>94059.300148894064</v>
      </c>
      <c r="G307" s="33">
        <f>+'A) Base RI'!AN309</f>
        <v>75</v>
      </c>
      <c r="H307" s="278">
        <f t="shared" si="21"/>
        <v>1.1144570785745775</v>
      </c>
      <c r="I307" s="55">
        <f t="shared" si="22"/>
        <v>104825.05285670581</v>
      </c>
    </row>
    <row r="308" spans="1:9" x14ac:dyDescent="0.25">
      <c r="A308" s="49">
        <f>'A) Base RI'!A310</f>
        <v>5933</v>
      </c>
      <c r="B308" s="32" t="str">
        <f>'A) Base RI'!B310</f>
        <v>Valeyres-sous-Montagny</v>
      </c>
      <c r="C308" s="95">
        <f>'A) Base RI'!AO310</f>
        <v>714</v>
      </c>
      <c r="D308" s="110">
        <f>'D) Ecrêtage'!E308</f>
        <v>31.613974611121048</v>
      </c>
      <c r="E308" s="34">
        <f t="shared" si="19"/>
        <v>16.55537879667936</v>
      </c>
      <c r="F308" s="277">
        <f t="shared" si="20"/>
        <v>225003.98767188124</v>
      </c>
      <c r="G308" s="33">
        <f>+'A) Base RI'!AN310</f>
        <v>70.5</v>
      </c>
      <c r="H308" s="278">
        <f t="shared" si="21"/>
        <v>1.0475896538601028</v>
      </c>
      <c r="I308" s="55">
        <f t="shared" si="22"/>
        <v>235711.84956232892</v>
      </c>
    </row>
    <row r="309" spans="1:9" x14ac:dyDescent="0.25">
      <c r="A309" s="49">
        <f>'A) Base RI'!A311</f>
        <v>5934</v>
      </c>
      <c r="B309" s="32" t="str">
        <f>'A) Base RI'!B311</f>
        <v>Valeyres-sous-Ursins</v>
      </c>
      <c r="C309" s="95">
        <f>'A) Base RI'!AO311</f>
        <v>241</v>
      </c>
      <c r="D309" s="110">
        <f>'D) Ecrêtage'!E309</f>
        <v>31.441406061242706</v>
      </c>
      <c r="E309" s="34">
        <f t="shared" si="19"/>
        <v>16.727947346557702</v>
      </c>
      <c r="F309" s="277">
        <f t="shared" si="20"/>
        <v>85990.515173400272</v>
      </c>
      <c r="G309" s="33">
        <f>+'A) Base RI'!AN311</f>
        <v>79</v>
      </c>
      <c r="H309" s="278">
        <f t="shared" si="21"/>
        <v>1.1738947894318883</v>
      </c>
      <c r="I309" s="55">
        <f t="shared" si="22"/>
        <v>100943.81770261831</v>
      </c>
    </row>
    <row r="310" spans="1:9" x14ac:dyDescent="0.25">
      <c r="A310" s="49">
        <f>'A) Base RI'!A312</f>
        <v>5935</v>
      </c>
      <c r="B310" s="32" t="str">
        <f>'A) Base RI'!B312</f>
        <v>Villars-Epeney</v>
      </c>
      <c r="C310" s="95">
        <f>'A) Base RI'!AO312</f>
        <v>101</v>
      </c>
      <c r="D310" s="110">
        <f>'D) Ecrêtage'!E310</f>
        <v>38.893272277227723</v>
      </c>
      <c r="E310" s="34">
        <f t="shared" si="19"/>
        <v>9.2760811305726847</v>
      </c>
      <c r="F310" s="277">
        <f t="shared" si="20"/>
        <v>15177.523945843026</v>
      </c>
      <c r="G310" s="33">
        <f>+'A) Base RI'!AN312</f>
        <v>60</v>
      </c>
      <c r="H310" s="278">
        <f t="shared" si="21"/>
        <v>0.89156566285966199</v>
      </c>
      <c r="I310" s="55">
        <f t="shared" si="22"/>
        <v>13531.75919734393</v>
      </c>
    </row>
    <row r="311" spans="1:9" x14ac:dyDescent="0.25">
      <c r="A311" s="49">
        <f>'A) Base RI'!A313</f>
        <v>5937</v>
      </c>
      <c r="B311" s="32" t="str">
        <f>'A) Base RI'!B313</f>
        <v>Vugelles-La Mothe</v>
      </c>
      <c r="C311" s="95">
        <f>'A) Base RI'!AO313</f>
        <v>138</v>
      </c>
      <c r="D311" s="110">
        <f>'D) Ecrêtage'!E311</f>
        <v>23.099244750073943</v>
      </c>
      <c r="E311" s="34">
        <f t="shared" si="19"/>
        <v>25.070108657726465</v>
      </c>
      <c r="F311" s="277">
        <f t="shared" si="20"/>
        <v>65387.857401082169</v>
      </c>
      <c r="G311" s="33">
        <f>+'A) Base RI'!AN313</f>
        <v>70</v>
      </c>
      <c r="H311" s="278">
        <f t="shared" si="21"/>
        <v>1.0401599400029391</v>
      </c>
      <c r="I311" s="55">
        <f t="shared" si="22"/>
        <v>68013.829831230367</v>
      </c>
    </row>
    <row r="312" spans="1:9" x14ac:dyDescent="0.25">
      <c r="A312" s="49">
        <f>'A) Base RI'!A314</f>
        <v>5938</v>
      </c>
      <c r="B312" s="32" t="str">
        <f>'A) Base RI'!B314</f>
        <v>Yverdon-les-Bains</v>
      </c>
      <c r="C312" s="95">
        <f>'A) Base RI'!AO314</f>
        <v>29981</v>
      </c>
      <c r="D312" s="110">
        <f>'D) Ecrêtage'!E312</f>
        <v>26.56854014208999</v>
      </c>
      <c r="E312" s="34">
        <f t="shared" si="19"/>
        <v>21.600813265710418</v>
      </c>
      <c r="F312" s="277">
        <f t="shared" si="20"/>
        <v>13114183.146015096</v>
      </c>
      <c r="G312" s="33">
        <f>+'A) Base RI'!AN314</f>
        <v>75</v>
      </c>
      <c r="H312" s="278">
        <f t="shared" si="21"/>
        <v>1.1144570785745775</v>
      </c>
      <c r="I312" s="55">
        <f t="shared" si="22"/>
        <v>14615194.236799946</v>
      </c>
    </row>
    <row r="313" spans="1:9" x14ac:dyDescent="0.25">
      <c r="A313" s="49">
        <f>'A) Base RI'!A315</f>
        <v>5939</v>
      </c>
      <c r="B313" s="32" t="str">
        <f>'A) Base RI'!B315</f>
        <v>Yvonand</v>
      </c>
      <c r="C313" s="95">
        <f>'A) Base RI'!AO315</f>
        <v>3467</v>
      </c>
      <c r="D313" s="110">
        <f>'D) Ecrêtage'!E313</f>
        <v>26.7926284791067</v>
      </c>
      <c r="E313" s="34">
        <f t="shared" si="19"/>
        <v>21.376724928693708</v>
      </c>
      <c r="F313" s="277">
        <f t="shared" si="20"/>
        <v>1430753.4983528138</v>
      </c>
      <c r="G313" s="33">
        <f>+'A) Base RI'!AN315</f>
        <v>71.5</v>
      </c>
      <c r="H313" s="278">
        <f t="shared" si="21"/>
        <v>1.0624490815744305</v>
      </c>
      <c r="I313" s="55">
        <f t="shared" si="22"/>
        <v>1520102.7402843505</v>
      </c>
    </row>
    <row r="314" spans="1:9" x14ac:dyDescent="0.25">
      <c r="A314" s="30"/>
      <c r="B314" s="118">
        <f>COUNTA(B5:B313)</f>
        <v>309</v>
      </c>
      <c r="C314" s="97">
        <f>SUM(C5:C313)</f>
        <v>815300</v>
      </c>
      <c r="D314" s="109">
        <f>'D) Ecrêtage'!E314</f>
        <v>48.169353407800408</v>
      </c>
      <c r="E314" s="275"/>
      <c r="F314" s="11">
        <f>SUM(F5:F313)</f>
        <v>136786212.43789795</v>
      </c>
      <c r="G314" s="279">
        <f>'B) D RI'!S316</f>
        <v>67.297342752694561</v>
      </c>
      <c r="H314" s="276">
        <f>G314/G$314</f>
        <v>1</v>
      </c>
      <c r="I314" s="37">
        <f>SUM(I5:I313)</f>
        <v>148159190.91565391</v>
      </c>
    </row>
  </sheetData>
  <mergeCells count="8">
    <mergeCell ref="A3:A4"/>
    <mergeCell ref="I3:I4"/>
    <mergeCell ref="H3:H4"/>
    <mergeCell ref="G3:G4"/>
    <mergeCell ref="F3:F4"/>
    <mergeCell ref="B3:B4"/>
    <mergeCell ref="C3:C4"/>
    <mergeCell ref="D3:D4"/>
  </mergeCells>
  <phoneticPr fontId="21" type="noConversion"/>
  <pageMargins left="0.78740157499999996" right="0.78740157499999996" top="0.984251969" bottom="0.984251969" header="0.4921259845" footer="0.4921259845"/>
  <pageSetup paperSize="9" orientation="portrait" horizontalDpi="4294967292" verticalDpi="4294967292"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17</vt:i4>
      </vt:variant>
      <vt:variant>
        <vt:lpstr>Plages nommées</vt:lpstr>
      </vt:variant>
      <vt:variant>
        <vt:i4>12</vt:i4>
      </vt:variant>
    </vt:vector>
  </HeadingPairs>
  <TitlesOfParts>
    <vt:vector size="29" baseType="lpstr">
      <vt:lpstr>Paramètres</vt:lpstr>
      <vt:lpstr>Recherche</vt:lpstr>
      <vt:lpstr>A) Base RI</vt:lpstr>
      <vt:lpstr>B) D RI</vt:lpstr>
      <vt:lpstr>C) Prél. conj.</vt:lpstr>
      <vt:lpstr>D) Ecrêtage</vt:lpstr>
      <vt:lpstr>E) Fact soc</vt:lpstr>
      <vt:lpstr>F) Population</vt:lpstr>
      <vt:lpstr>G) Solidarité</vt:lpstr>
      <vt:lpstr>H) Péréquation directe</vt:lpstr>
      <vt:lpstr>I) Dépenses thématiques</vt:lpstr>
      <vt:lpstr>J) Plafonnement effort</vt:lpstr>
      <vt:lpstr>K) Plafonnement aide</vt:lpstr>
      <vt:lpstr>L) Plafonnement taux</vt:lpstr>
      <vt:lpstr>M) Police</vt:lpstr>
      <vt:lpstr>Synthèse</vt:lpstr>
      <vt:lpstr>Acomptes vs Décompte</vt:lpstr>
      <vt:lpstr>'C) Prél. conj.'!Impression_des_titres</vt:lpstr>
      <vt:lpstr>'E) Fact soc'!Impression_des_titres</vt:lpstr>
      <vt:lpstr>'I) Dépenses thématiques'!Impression_des_titres</vt:lpstr>
      <vt:lpstr>'J) Plafonnement effort'!Impression_des_titres</vt:lpstr>
      <vt:lpstr>'L) Plafonnement taux'!Impression_des_titres</vt:lpstr>
      <vt:lpstr>'M) Police'!Impression_des_titres</vt:lpstr>
      <vt:lpstr>Synthèse!Impression_des_titres</vt:lpstr>
      <vt:lpstr>'H) Péréquation directe'!Zone_d_impression</vt:lpstr>
      <vt:lpstr>'L) Plafonnement taux'!Zone_d_impression</vt:lpstr>
      <vt:lpstr>'M) Police'!Zone_d_impression</vt:lpstr>
      <vt:lpstr>Recherche!Zone_d_impression</vt:lpstr>
      <vt:lpstr>Synthèse!Zone_d_impression</vt:lpstr>
    </vt:vector>
  </TitlesOfParts>
  <Company>Etat de Vaud / ASFiCo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Brochet Antoine</dc:creator>
  <cp:lastModifiedBy>Delija Sofia</cp:lastModifiedBy>
  <cp:lastPrinted>2021-07-09T10:24:12Z</cp:lastPrinted>
  <dcterms:created xsi:type="dcterms:W3CDTF">2005-06-06T00:37:42Z</dcterms:created>
  <dcterms:modified xsi:type="dcterms:W3CDTF">2021-07-12T14:19:10Z</dcterms:modified>
</cp:coreProperties>
</file>